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orestecology\Documents\My Web Sites\melnhe\restricted\data\litter_and_debris\"/>
    </mc:Choice>
  </mc:AlternateContent>
  <bookViews>
    <workbookView xWindow="0" yWindow="0" windowWidth="19170" windowHeight="10050"/>
  </bookViews>
  <sheets>
    <sheet name="Metadata" sheetId="1" r:id="rId1"/>
    <sheet name="Notes" sheetId="2" r:id="rId2"/>
    <sheet name="Litterfall mass 2009" sheetId="3" r:id="rId3"/>
    <sheet name="Litterfall mass 2010" sheetId="4" r:id="rId4"/>
    <sheet name="Litterfall mass 2011" sheetId="5" r:id="rId5"/>
    <sheet name="raw 2012 literfall" sheetId="6" r:id="rId6"/>
    <sheet name="Litterfall mass 2012" sheetId="7" r:id="rId7"/>
    <sheet name="Litter springsummer mass 2014" sheetId="8" r:id="rId8"/>
    <sheet name="Litterfall Mass 2014" sheetId="9" r:id="rId9"/>
    <sheet name="litterfall mass summer 2015" sheetId="10" r:id="rId10"/>
    <sheet name="Litterfall Mass 2015" sheetId="11" r:id="rId11"/>
    <sheet name="Sheet16" sheetId="12" r:id="rId12"/>
    <sheet name="Bag weights" sheetId="13" r:id="rId13"/>
    <sheet name="Sheet12" sheetId="14" r:id="rId14"/>
    <sheet name="Spring 2016 (Found on Spring 20" sheetId="15" r:id="rId15"/>
  </sheets>
  <calcPr calcId="162913"/>
</workbook>
</file>

<file path=xl/calcChain.xml><?xml version="1.0" encoding="utf-8"?>
<calcChain xmlns="http://schemas.openxmlformats.org/spreadsheetml/2006/main">
  <c r="C35" i="15" l="1"/>
  <c r="C34" i="15"/>
  <c r="C33" i="15"/>
  <c r="C32" i="15"/>
  <c r="C31" i="15"/>
  <c r="C30" i="15"/>
  <c r="C29" i="15"/>
  <c r="C28" i="15"/>
  <c r="C27" i="15"/>
  <c r="C26" i="15"/>
  <c r="C25" i="15"/>
  <c r="C24" i="15"/>
  <c r="C23" i="15"/>
  <c r="C22" i="15"/>
  <c r="C21" i="15"/>
  <c r="C20" i="15"/>
  <c r="C19" i="15"/>
  <c r="C18" i="15"/>
  <c r="C17" i="15"/>
  <c r="C16" i="15"/>
  <c r="D9" i="15"/>
  <c r="D8" i="15"/>
  <c r="D7" i="15"/>
  <c r="D6" i="15"/>
  <c r="D5" i="15"/>
  <c r="D4" i="15"/>
  <c r="D3" i="15"/>
  <c r="B8" i="13"/>
  <c r="AW152" i="12"/>
  <c r="AT152" i="12"/>
  <c r="AQ152" i="12"/>
  <c r="AN152" i="12"/>
  <c r="AK152" i="12"/>
  <c r="AH152" i="12"/>
  <c r="AE152" i="12"/>
  <c r="W152" i="12"/>
  <c r="Y152" i="12" s="1"/>
  <c r="V152" i="12"/>
  <c r="S152" i="12"/>
  <c r="P152" i="12"/>
  <c r="M152" i="12"/>
  <c r="J152" i="12"/>
  <c r="AW151" i="12"/>
  <c r="AT151" i="12"/>
  <c r="AQ151" i="12"/>
  <c r="AN151" i="12"/>
  <c r="AK151" i="12"/>
  <c r="AH151" i="12"/>
  <c r="AE151" i="12"/>
  <c r="W151" i="12"/>
  <c r="Y151" i="12" s="1"/>
  <c r="V151" i="12"/>
  <c r="S151" i="12"/>
  <c r="P151" i="12"/>
  <c r="M151" i="12"/>
  <c r="J151" i="12"/>
  <c r="AW150" i="12"/>
  <c r="AT150" i="12"/>
  <c r="AQ150" i="12"/>
  <c r="AN150" i="12"/>
  <c r="AK150" i="12"/>
  <c r="AH150" i="12"/>
  <c r="AE150" i="12"/>
  <c r="Y150" i="12"/>
  <c r="W150" i="12"/>
  <c r="V150" i="12"/>
  <c r="S150" i="12"/>
  <c r="P150" i="12"/>
  <c r="M150" i="12"/>
  <c r="J150" i="12"/>
  <c r="AW149" i="12"/>
  <c r="AT149" i="12"/>
  <c r="AQ149" i="12"/>
  <c r="AN149" i="12"/>
  <c r="AK149" i="12"/>
  <c r="AH149" i="12"/>
  <c r="AE149" i="12"/>
  <c r="Y149" i="12"/>
  <c r="W149" i="12"/>
  <c r="V149" i="12"/>
  <c r="S149" i="12"/>
  <c r="P149" i="12"/>
  <c r="M149" i="12"/>
  <c r="J149" i="12"/>
  <c r="AW148" i="12"/>
  <c r="AT148" i="12"/>
  <c r="AQ148" i="12"/>
  <c r="AN148" i="12"/>
  <c r="AK148" i="12"/>
  <c r="AH148" i="12"/>
  <c r="AE148" i="12"/>
  <c r="W148" i="12"/>
  <c r="Y148" i="12" s="1"/>
  <c r="V148" i="12"/>
  <c r="S148" i="12"/>
  <c r="P148" i="12"/>
  <c r="M148" i="12"/>
  <c r="J148" i="12"/>
  <c r="AW147" i="12"/>
  <c r="AT147" i="12"/>
  <c r="AQ147" i="12"/>
  <c r="AN147" i="12"/>
  <c r="AK147" i="12"/>
  <c r="AH147" i="12"/>
  <c r="AE147" i="12"/>
  <c r="Y147" i="12"/>
  <c r="W147" i="12"/>
  <c r="V147" i="12"/>
  <c r="S147" i="12"/>
  <c r="P147" i="12"/>
  <c r="M147" i="12"/>
  <c r="J147" i="12"/>
  <c r="AW146" i="12"/>
  <c r="AT146" i="12"/>
  <c r="AQ146" i="12"/>
  <c r="AN146" i="12"/>
  <c r="AK146" i="12"/>
  <c r="AH146" i="12"/>
  <c r="AE146" i="12"/>
  <c r="W146" i="12"/>
  <c r="Y146" i="12" s="1"/>
  <c r="V146" i="12"/>
  <c r="S146" i="12"/>
  <c r="P146" i="12"/>
  <c r="M146" i="12"/>
  <c r="J146" i="12"/>
  <c r="AW145" i="12"/>
  <c r="AT145" i="12"/>
  <c r="AQ145" i="12"/>
  <c r="AN145" i="12"/>
  <c r="AK145" i="12"/>
  <c r="AH145" i="12"/>
  <c r="AE145" i="12"/>
  <c r="Y145" i="12"/>
  <c r="W145" i="12"/>
  <c r="V145" i="12"/>
  <c r="S145" i="12"/>
  <c r="P145" i="12"/>
  <c r="M145" i="12"/>
  <c r="J145" i="12"/>
  <c r="AW144" i="12"/>
  <c r="AT144" i="12"/>
  <c r="AQ144" i="12"/>
  <c r="AN144" i="12"/>
  <c r="AK144" i="12"/>
  <c r="AH144" i="12"/>
  <c r="AE144" i="12"/>
  <c r="Y144" i="12"/>
  <c r="W144" i="12"/>
  <c r="V144" i="12"/>
  <c r="S144" i="12"/>
  <c r="P144" i="12"/>
  <c r="M144" i="12"/>
  <c r="J144" i="12"/>
  <c r="AW143" i="12"/>
  <c r="AT143" i="12"/>
  <c r="AQ143" i="12"/>
  <c r="AN143" i="12"/>
  <c r="AK143" i="12"/>
  <c r="AH143" i="12"/>
  <c r="AE143" i="12"/>
  <c r="W143" i="12"/>
  <c r="Y143" i="12" s="1"/>
  <c r="V143" i="12"/>
  <c r="S143" i="12"/>
  <c r="P143" i="12"/>
  <c r="M143" i="12"/>
  <c r="J143" i="12"/>
  <c r="AW142" i="12"/>
  <c r="AT142" i="12"/>
  <c r="AQ142" i="12"/>
  <c r="AN142" i="12"/>
  <c r="AK142" i="12"/>
  <c r="AH142" i="12"/>
  <c r="AE142" i="12"/>
  <c r="Y142" i="12"/>
  <c r="W142" i="12"/>
  <c r="V142" i="12"/>
  <c r="S142" i="12"/>
  <c r="P142" i="12"/>
  <c r="M142" i="12"/>
  <c r="J142" i="12"/>
  <c r="AW141" i="12"/>
  <c r="AT141" i="12"/>
  <c r="AQ141" i="12"/>
  <c r="AN141" i="12"/>
  <c r="AK141" i="12"/>
  <c r="AH141" i="12"/>
  <c r="AE141" i="12"/>
  <c r="Y141" i="12"/>
  <c r="W141" i="12"/>
  <c r="V141" i="12"/>
  <c r="T141" i="12"/>
  <c r="S141" i="12"/>
  <c r="P141" i="12"/>
  <c r="M141" i="12"/>
  <c r="J141" i="12"/>
  <c r="AW140" i="12"/>
  <c r="AT140" i="12"/>
  <c r="AQ140" i="12"/>
  <c r="AN140" i="12"/>
  <c r="AK140" i="12"/>
  <c r="AH140" i="12"/>
  <c r="AE140" i="12"/>
  <c r="AB140" i="12"/>
  <c r="W140" i="12"/>
  <c r="Y140" i="12" s="1"/>
  <c r="V140" i="12"/>
  <c r="S140" i="12"/>
  <c r="P140" i="12"/>
  <c r="M140" i="12"/>
  <c r="J140" i="12"/>
  <c r="AW139" i="12"/>
  <c r="AT139" i="12"/>
  <c r="AQ139" i="12"/>
  <c r="AN139" i="12"/>
  <c r="AK139" i="12"/>
  <c r="AH139" i="12"/>
  <c r="AE139" i="12"/>
  <c r="Y139" i="12"/>
  <c r="W139" i="12"/>
  <c r="V139" i="12"/>
  <c r="S139" i="12"/>
  <c r="P139" i="12"/>
  <c r="M139" i="12"/>
  <c r="J139" i="12"/>
  <c r="AW138" i="12"/>
  <c r="AT138" i="12"/>
  <c r="AQ138" i="12"/>
  <c r="AN138" i="12"/>
  <c r="AK138" i="12"/>
  <c r="AH138" i="12"/>
  <c r="AE138" i="12"/>
  <c r="Z138" i="12"/>
  <c r="AB138" i="12" s="1"/>
  <c r="W138" i="12"/>
  <c r="Y138" i="12" s="1"/>
  <c r="V138" i="12"/>
  <c r="S138" i="12"/>
  <c r="P138" i="12"/>
  <c r="M138" i="12"/>
  <c r="J138" i="12"/>
  <c r="AW137" i="12"/>
  <c r="AT137" i="12"/>
  <c r="AX137" i="12" s="1"/>
  <c r="AQ137" i="12"/>
  <c r="AN137" i="12"/>
  <c r="AK137" i="12"/>
  <c r="AH137" i="12"/>
  <c r="AE137" i="12"/>
  <c r="Y137" i="12"/>
  <c r="W137" i="12"/>
  <c r="V137" i="12"/>
  <c r="S137" i="12"/>
  <c r="P137" i="12"/>
  <c r="M137" i="12"/>
  <c r="J137" i="12"/>
  <c r="AW136" i="12"/>
  <c r="AT136" i="12"/>
  <c r="AX136" i="12" s="1"/>
  <c r="AQ136" i="12"/>
  <c r="AN136" i="12"/>
  <c r="AK136" i="12"/>
  <c r="AH136" i="12"/>
  <c r="AE136" i="12"/>
  <c r="AB136" i="12"/>
  <c r="Y136" i="12"/>
  <c r="V136" i="12"/>
  <c r="S136" i="12"/>
  <c r="P136" i="12"/>
  <c r="M136" i="12"/>
  <c r="J136" i="12"/>
  <c r="AW135" i="12"/>
  <c r="AT135" i="12"/>
  <c r="AQ135" i="12"/>
  <c r="AN135" i="12"/>
  <c r="AK135" i="12"/>
  <c r="AH135" i="12"/>
  <c r="AE135" i="12"/>
  <c r="Y135" i="12"/>
  <c r="W135" i="12"/>
  <c r="Z139" i="12" s="1"/>
  <c r="V135" i="12"/>
  <c r="S135" i="12"/>
  <c r="P135" i="12"/>
  <c r="M135" i="12"/>
  <c r="J135" i="12"/>
  <c r="AW134" i="12"/>
  <c r="AT134" i="12"/>
  <c r="AQ134" i="12"/>
  <c r="AN134" i="12"/>
  <c r="AK134" i="12"/>
  <c r="AH134" i="12"/>
  <c r="AE134" i="12"/>
  <c r="Z134" i="12"/>
  <c r="AB134" i="12" s="1"/>
  <c r="Y134" i="12"/>
  <c r="W134" i="12"/>
  <c r="V134" i="12"/>
  <c r="S134" i="12"/>
  <c r="P134" i="12"/>
  <c r="M134" i="12"/>
  <c r="J134" i="12"/>
  <c r="AW133" i="12"/>
  <c r="AT133" i="12"/>
  <c r="AQ133" i="12"/>
  <c r="AN133" i="12"/>
  <c r="AK133" i="12"/>
  <c r="AH133" i="12"/>
  <c r="AE133" i="12"/>
  <c r="W133" i="12"/>
  <c r="Z137" i="12" s="1"/>
  <c r="AB137" i="12" s="1"/>
  <c r="V133" i="12"/>
  <c r="S133" i="12"/>
  <c r="P133" i="12"/>
  <c r="M133" i="12"/>
  <c r="J133" i="12"/>
  <c r="AW132" i="12"/>
  <c r="AT132" i="12"/>
  <c r="AX132" i="12" s="1"/>
  <c r="AQ132" i="12"/>
  <c r="AN132" i="12"/>
  <c r="AK132" i="12"/>
  <c r="AH132" i="12"/>
  <c r="AE132" i="12"/>
  <c r="AB132" i="12"/>
  <c r="Y132" i="12"/>
  <c r="V132" i="12"/>
  <c r="S132" i="12"/>
  <c r="P132" i="12"/>
  <c r="M132" i="12"/>
  <c r="J132" i="12"/>
  <c r="AW131" i="12"/>
  <c r="AT131" i="12"/>
  <c r="AQ131" i="12"/>
  <c r="AX131" i="12" s="1"/>
  <c r="AN131" i="12"/>
  <c r="AK131" i="12"/>
  <c r="AH131" i="12"/>
  <c r="AE131" i="12"/>
  <c r="AB131" i="12"/>
  <c r="Y131" i="12"/>
  <c r="V131" i="12"/>
  <c r="S131" i="12"/>
  <c r="P131" i="12"/>
  <c r="M131" i="12"/>
  <c r="J131" i="12"/>
  <c r="AW130" i="12"/>
  <c r="AT130" i="12"/>
  <c r="AX130" i="12" s="1"/>
  <c r="AQ130" i="12"/>
  <c r="AN130" i="12"/>
  <c r="AK130" i="12"/>
  <c r="AH130" i="12"/>
  <c r="AE130" i="12"/>
  <c r="AB130" i="12"/>
  <c r="Y130" i="12"/>
  <c r="V130" i="12"/>
  <c r="S130" i="12"/>
  <c r="P130" i="12"/>
  <c r="M130" i="12"/>
  <c r="J130" i="12"/>
  <c r="AW129" i="12"/>
  <c r="AT129" i="12"/>
  <c r="AX129" i="12" s="1"/>
  <c r="AQ129" i="12"/>
  <c r="AN129" i="12"/>
  <c r="AK129" i="12"/>
  <c r="AH129" i="12"/>
  <c r="AE129" i="12"/>
  <c r="AB129" i="12"/>
  <c r="Y129" i="12"/>
  <c r="V129" i="12"/>
  <c r="S129" i="12"/>
  <c r="P129" i="12"/>
  <c r="M129" i="12"/>
  <c r="J129" i="12"/>
  <c r="AW128" i="12"/>
  <c r="AT128" i="12"/>
  <c r="AX128" i="12" s="1"/>
  <c r="AQ128" i="12"/>
  <c r="AN128" i="12"/>
  <c r="AK128" i="12"/>
  <c r="AH128" i="12"/>
  <c r="AE128" i="12"/>
  <c r="AB128" i="12"/>
  <c r="Y128" i="12"/>
  <c r="V128" i="12"/>
  <c r="S128" i="12"/>
  <c r="P128" i="12"/>
  <c r="M128" i="12"/>
  <c r="J128" i="12"/>
  <c r="AW127" i="12"/>
  <c r="AT127" i="12"/>
  <c r="AQ127" i="12"/>
  <c r="AN127" i="12"/>
  <c r="AX127" i="12" s="1"/>
  <c r="AK127" i="12"/>
  <c r="AH127" i="12"/>
  <c r="AE127" i="12"/>
  <c r="AB127" i="12"/>
  <c r="Y127" i="12"/>
  <c r="V127" i="12"/>
  <c r="S127" i="12"/>
  <c r="P127" i="12"/>
  <c r="M127" i="12"/>
  <c r="J127" i="12"/>
  <c r="AW126" i="12"/>
  <c r="AT126" i="12"/>
  <c r="AQ126" i="12"/>
  <c r="AN126" i="12"/>
  <c r="AK126" i="12"/>
  <c r="AH126" i="12"/>
  <c r="AE126" i="12"/>
  <c r="AB126" i="12"/>
  <c r="AX126" i="12" s="1"/>
  <c r="Y126" i="12"/>
  <c r="V126" i="12"/>
  <c r="S126" i="12"/>
  <c r="P126" i="12"/>
  <c r="M126" i="12"/>
  <c r="J126" i="12"/>
  <c r="AW125" i="12"/>
  <c r="AT125" i="12"/>
  <c r="AX125" i="12" s="1"/>
  <c r="AQ125" i="12"/>
  <c r="AN125" i="12"/>
  <c r="AK125" i="12"/>
  <c r="AH125" i="12"/>
  <c r="AE125" i="12"/>
  <c r="AB125" i="12"/>
  <c r="Y125" i="12"/>
  <c r="V125" i="12"/>
  <c r="S125" i="12"/>
  <c r="P125" i="12"/>
  <c r="M125" i="12"/>
  <c r="J125" i="12"/>
  <c r="AW124" i="12"/>
  <c r="AT124" i="12"/>
  <c r="AX124" i="12" s="1"/>
  <c r="AQ124" i="12"/>
  <c r="AN124" i="12"/>
  <c r="AK124" i="12"/>
  <c r="AH124" i="12"/>
  <c r="AE124" i="12"/>
  <c r="AB124" i="12"/>
  <c r="Y124" i="12"/>
  <c r="V124" i="12"/>
  <c r="S124" i="12"/>
  <c r="P124" i="12"/>
  <c r="M124" i="12"/>
  <c r="J124" i="12"/>
  <c r="AW123" i="12"/>
  <c r="AT123" i="12"/>
  <c r="AQ123" i="12"/>
  <c r="AX123" i="12" s="1"/>
  <c r="AN123" i="12"/>
  <c r="AK123" i="12"/>
  <c r="AH123" i="12"/>
  <c r="AE123" i="12"/>
  <c r="AB123" i="12"/>
  <c r="Y123" i="12"/>
  <c r="V123" i="12"/>
  <c r="S123" i="12"/>
  <c r="P123" i="12"/>
  <c r="M123" i="12"/>
  <c r="J123" i="12"/>
  <c r="AW122" i="12"/>
  <c r="AT122" i="12"/>
  <c r="AX122" i="12" s="1"/>
  <c r="AQ122" i="12"/>
  <c r="AN122" i="12"/>
  <c r="AK122" i="12"/>
  <c r="AH122" i="12"/>
  <c r="AE122" i="12"/>
  <c r="AB122" i="12"/>
  <c r="Y122" i="12"/>
  <c r="V122" i="12"/>
  <c r="S122" i="12"/>
  <c r="P122" i="12"/>
  <c r="M122" i="12"/>
  <c r="J122" i="12"/>
  <c r="AW121" i="12"/>
  <c r="AT121" i="12"/>
  <c r="AX121" i="12" s="1"/>
  <c r="AQ121" i="12"/>
  <c r="AN121" i="12"/>
  <c r="AK121" i="12"/>
  <c r="AH121" i="12"/>
  <c r="AE121" i="12"/>
  <c r="AB121" i="12"/>
  <c r="Y121" i="12"/>
  <c r="V121" i="12"/>
  <c r="S121" i="12"/>
  <c r="P121" i="12"/>
  <c r="M121" i="12"/>
  <c r="J121" i="12"/>
  <c r="AW120" i="12"/>
  <c r="AT120" i="12"/>
  <c r="AX120" i="12" s="1"/>
  <c r="AQ120" i="12"/>
  <c r="AN120" i="12"/>
  <c r="AK120" i="12"/>
  <c r="AH120" i="12"/>
  <c r="AE120" i="12"/>
  <c r="AB120" i="12"/>
  <c r="Y120" i="12"/>
  <c r="V120" i="12"/>
  <c r="S120" i="12"/>
  <c r="P120" i="12"/>
  <c r="M120" i="12"/>
  <c r="J120" i="12"/>
  <c r="AW119" i="12"/>
  <c r="AT119" i="12"/>
  <c r="AQ119" i="12"/>
  <c r="AN119" i="12"/>
  <c r="AX119" i="12" s="1"/>
  <c r="AK119" i="12"/>
  <c r="AH119" i="12"/>
  <c r="AE119" i="12"/>
  <c r="AB119" i="12"/>
  <c r="Y119" i="12"/>
  <c r="V119" i="12"/>
  <c r="S119" i="12"/>
  <c r="P119" i="12"/>
  <c r="M119" i="12"/>
  <c r="J119" i="12"/>
  <c r="AW118" i="12"/>
  <c r="AT118" i="12"/>
  <c r="AQ118" i="12"/>
  <c r="AN118" i="12"/>
  <c r="AK118" i="12"/>
  <c r="AH118" i="12"/>
  <c r="AE118" i="12"/>
  <c r="AB118" i="12"/>
  <c r="AX118" i="12" s="1"/>
  <c r="Y118" i="12"/>
  <c r="V118" i="12"/>
  <c r="S118" i="12"/>
  <c r="P118" i="12"/>
  <c r="M118" i="12"/>
  <c r="J118" i="12"/>
  <c r="AW117" i="12"/>
  <c r="AT117" i="12"/>
  <c r="AX117" i="12" s="1"/>
  <c r="AQ117" i="12"/>
  <c r="AN117" i="12"/>
  <c r="AK117" i="12"/>
  <c r="AH117" i="12"/>
  <c r="AE117" i="12"/>
  <c r="AB117" i="12"/>
  <c r="Y117" i="12"/>
  <c r="V117" i="12"/>
  <c r="S117" i="12"/>
  <c r="P117" i="12"/>
  <c r="M117" i="12"/>
  <c r="J117" i="12"/>
  <c r="AW116" i="12"/>
  <c r="AT116" i="12"/>
  <c r="AX116" i="12" s="1"/>
  <c r="AQ116" i="12"/>
  <c r="AN116" i="12"/>
  <c r="AK116" i="12"/>
  <c r="AH116" i="12"/>
  <c r="AE116" i="12"/>
  <c r="AB116" i="12"/>
  <c r="Y116" i="12"/>
  <c r="V116" i="12"/>
  <c r="S116" i="12"/>
  <c r="P116" i="12"/>
  <c r="M116" i="12"/>
  <c r="J116" i="12"/>
  <c r="AW115" i="12"/>
  <c r="AT115" i="12"/>
  <c r="AQ115" i="12"/>
  <c r="AX115" i="12" s="1"/>
  <c r="AN115" i="12"/>
  <c r="AK115" i="12"/>
  <c r="AH115" i="12"/>
  <c r="AE115" i="12"/>
  <c r="AB115" i="12"/>
  <c r="Y115" i="12"/>
  <c r="V115" i="12"/>
  <c r="S115" i="12"/>
  <c r="P115" i="12"/>
  <c r="M115" i="12"/>
  <c r="J115" i="12"/>
  <c r="AW114" i="12"/>
  <c r="AT114" i="12"/>
  <c r="AX114" i="12" s="1"/>
  <c r="AQ114" i="12"/>
  <c r="AN114" i="12"/>
  <c r="AK114" i="12"/>
  <c r="AH114" i="12"/>
  <c r="AE114" i="12"/>
  <c r="AB114" i="12"/>
  <c r="Y114" i="12"/>
  <c r="V114" i="12"/>
  <c r="S114" i="12"/>
  <c r="P114" i="12"/>
  <c r="M114" i="12"/>
  <c r="J114" i="12"/>
  <c r="AW113" i="12"/>
  <c r="AT113" i="12"/>
  <c r="AX113" i="12" s="1"/>
  <c r="AQ113" i="12"/>
  <c r="AN113" i="12"/>
  <c r="AK113" i="12"/>
  <c r="AH113" i="12"/>
  <c r="AE113" i="12"/>
  <c r="AB113" i="12"/>
  <c r="Y113" i="12"/>
  <c r="V113" i="12"/>
  <c r="S113" i="12"/>
  <c r="P113" i="12"/>
  <c r="M113" i="12"/>
  <c r="J113" i="12"/>
  <c r="AW112" i="12"/>
  <c r="AT112" i="12"/>
  <c r="AX112" i="12" s="1"/>
  <c r="AQ112" i="12"/>
  <c r="AN112" i="12"/>
  <c r="AK112" i="12"/>
  <c r="AH112" i="12"/>
  <c r="AE112" i="12"/>
  <c r="AB112" i="12"/>
  <c r="Y112" i="12"/>
  <c r="V112" i="12"/>
  <c r="S112" i="12"/>
  <c r="P112" i="12"/>
  <c r="M112" i="12"/>
  <c r="J112" i="12"/>
  <c r="AW111" i="12"/>
  <c r="AT111" i="12"/>
  <c r="AQ111" i="12"/>
  <c r="AN111" i="12"/>
  <c r="AX111" i="12" s="1"/>
  <c r="AK111" i="12"/>
  <c r="AH111" i="12"/>
  <c r="AE111" i="12"/>
  <c r="AB111" i="12"/>
  <c r="Y111" i="12"/>
  <c r="V111" i="12"/>
  <c r="S111" i="12"/>
  <c r="P111" i="12"/>
  <c r="M111" i="12"/>
  <c r="J111" i="12"/>
  <c r="AW110" i="12"/>
  <c r="AT110" i="12"/>
  <c r="AQ110" i="12"/>
  <c r="AN110" i="12"/>
  <c r="AK110" i="12"/>
  <c r="AX110" i="12" s="1"/>
  <c r="AH110" i="12"/>
  <c r="AE110" i="12"/>
  <c r="AB110" i="12"/>
  <c r="Y110" i="12"/>
  <c r="V110" i="12"/>
  <c r="S110" i="12"/>
  <c r="P110" i="12"/>
  <c r="M110" i="12"/>
  <c r="J110" i="12"/>
  <c r="AW109" i="12"/>
  <c r="AT109" i="12"/>
  <c r="AX109" i="12" s="1"/>
  <c r="AQ109" i="12"/>
  <c r="AN109" i="12"/>
  <c r="AK109" i="12"/>
  <c r="AH109" i="12"/>
  <c r="AE109" i="12"/>
  <c r="AB109" i="12"/>
  <c r="Y109" i="12"/>
  <c r="V109" i="12"/>
  <c r="S109" i="12"/>
  <c r="P109" i="12"/>
  <c r="M109" i="12"/>
  <c r="J109" i="12"/>
  <c r="AW108" i="12"/>
  <c r="AT108" i="12"/>
  <c r="AX108" i="12" s="1"/>
  <c r="AQ108" i="12"/>
  <c r="AN108" i="12"/>
  <c r="AK108" i="12"/>
  <c r="AH108" i="12"/>
  <c r="AE108" i="12"/>
  <c r="AB108" i="12"/>
  <c r="Y108" i="12"/>
  <c r="V108" i="12"/>
  <c r="S108" i="12"/>
  <c r="P108" i="12"/>
  <c r="M108" i="12"/>
  <c r="J108" i="12"/>
  <c r="AW107" i="12"/>
  <c r="AT107" i="12"/>
  <c r="AQ107" i="12"/>
  <c r="AX107" i="12" s="1"/>
  <c r="AN107" i="12"/>
  <c r="AK107" i="12"/>
  <c r="AH107" i="12"/>
  <c r="AE107" i="12"/>
  <c r="AB107" i="12"/>
  <c r="Y107" i="12"/>
  <c r="V107" i="12"/>
  <c r="S107" i="12"/>
  <c r="P107" i="12"/>
  <c r="M107" i="12"/>
  <c r="J107" i="12"/>
  <c r="AW106" i="12"/>
  <c r="AT106" i="12"/>
  <c r="AX106" i="12" s="1"/>
  <c r="AQ106" i="12"/>
  <c r="AN106" i="12"/>
  <c r="AK106" i="12"/>
  <c r="AH106" i="12"/>
  <c r="AE106" i="12"/>
  <c r="AB106" i="12"/>
  <c r="Y106" i="12"/>
  <c r="V106" i="12"/>
  <c r="S106" i="12"/>
  <c r="P106" i="12"/>
  <c r="M106" i="12"/>
  <c r="J106" i="12"/>
  <c r="AW105" i="12"/>
  <c r="AT105" i="12"/>
  <c r="AX105" i="12" s="1"/>
  <c r="AQ105" i="12"/>
  <c r="AN105" i="12"/>
  <c r="AK105" i="12"/>
  <c r="AH105" i="12"/>
  <c r="AE105" i="12"/>
  <c r="AB105" i="12"/>
  <c r="Y105" i="12"/>
  <c r="V105" i="12"/>
  <c r="S105" i="12"/>
  <c r="P105" i="12"/>
  <c r="M105" i="12"/>
  <c r="J105" i="12"/>
  <c r="AW104" i="12"/>
  <c r="AT104" i="12"/>
  <c r="AX104" i="12" s="1"/>
  <c r="AQ104" i="12"/>
  <c r="AN104" i="12"/>
  <c r="AK104" i="12"/>
  <c r="AH104" i="12"/>
  <c r="AE104" i="12"/>
  <c r="AB104" i="12"/>
  <c r="Y104" i="12"/>
  <c r="V104" i="12"/>
  <c r="S104" i="12"/>
  <c r="P104" i="12"/>
  <c r="M104" i="12"/>
  <c r="J104" i="12"/>
  <c r="AW103" i="12"/>
  <c r="AT103" i="12"/>
  <c r="AQ103" i="12"/>
  <c r="AN103" i="12"/>
  <c r="AX103" i="12" s="1"/>
  <c r="AK103" i="12"/>
  <c r="AH103" i="12"/>
  <c r="AE103" i="12"/>
  <c r="AB103" i="12"/>
  <c r="Y103" i="12"/>
  <c r="V103" i="12"/>
  <c r="S103" i="12"/>
  <c r="P103" i="12"/>
  <c r="M103" i="12"/>
  <c r="J103" i="12"/>
  <c r="AW102" i="12"/>
  <c r="AT102" i="12"/>
  <c r="AQ102" i="12"/>
  <c r="AN102" i="12"/>
  <c r="AK102" i="12"/>
  <c r="AX102" i="12" s="1"/>
  <c r="AH102" i="12"/>
  <c r="AE102" i="12"/>
  <c r="AB102" i="12"/>
  <c r="Y102" i="12"/>
  <c r="V102" i="12"/>
  <c r="S102" i="12"/>
  <c r="P102" i="12"/>
  <c r="M102" i="12"/>
  <c r="J102" i="12"/>
  <c r="AW101" i="12"/>
  <c r="AT101" i="12"/>
  <c r="AQ101" i="12"/>
  <c r="AN101" i="12"/>
  <c r="AK101" i="12"/>
  <c r="AH101" i="12"/>
  <c r="AE101" i="12"/>
  <c r="AB101" i="12"/>
  <c r="Y101" i="12"/>
  <c r="V101" i="12"/>
  <c r="S101" i="12"/>
  <c r="P101" i="12"/>
  <c r="M101" i="12"/>
  <c r="J101" i="12"/>
  <c r="AW100" i="12"/>
  <c r="AT100" i="12"/>
  <c r="AQ100" i="12"/>
  <c r="AN100" i="12"/>
  <c r="AK100" i="12"/>
  <c r="AH100" i="12"/>
  <c r="AE100" i="12"/>
  <c r="AB100" i="12"/>
  <c r="AX100" i="12" s="1"/>
  <c r="Y100" i="12"/>
  <c r="V100" i="12"/>
  <c r="S100" i="12"/>
  <c r="P100" i="12"/>
  <c r="M100" i="12"/>
  <c r="J100" i="12"/>
  <c r="AW99" i="12"/>
  <c r="AT99" i="12"/>
  <c r="AQ99" i="12"/>
  <c r="AN99" i="12"/>
  <c r="AK99" i="12"/>
  <c r="AH99" i="12"/>
  <c r="AE99" i="12"/>
  <c r="AB99" i="12"/>
  <c r="Y99" i="12"/>
  <c r="V99" i="12"/>
  <c r="S99" i="12"/>
  <c r="P99" i="12"/>
  <c r="M99" i="12"/>
  <c r="J99" i="12"/>
  <c r="AW98" i="12"/>
  <c r="AT98" i="12"/>
  <c r="AQ98" i="12"/>
  <c r="AN98" i="12"/>
  <c r="AK98" i="12"/>
  <c r="AH98" i="12"/>
  <c r="AE98" i="12"/>
  <c r="AB98" i="12"/>
  <c r="Y98" i="12"/>
  <c r="V98" i="12"/>
  <c r="S98" i="12"/>
  <c r="P98" i="12"/>
  <c r="M98" i="12"/>
  <c r="J98" i="12"/>
  <c r="AW97" i="12"/>
  <c r="AT97" i="12"/>
  <c r="AQ97" i="12"/>
  <c r="AN97" i="12"/>
  <c r="AK97" i="12"/>
  <c r="AH97" i="12"/>
  <c r="AE97" i="12"/>
  <c r="AB97" i="12"/>
  <c r="Y97" i="12"/>
  <c r="V97" i="12"/>
  <c r="S97" i="12"/>
  <c r="P97" i="12"/>
  <c r="M97" i="12"/>
  <c r="J97" i="12"/>
  <c r="AW96" i="12"/>
  <c r="AT96" i="12"/>
  <c r="AQ96" i="12"/>
  <c r="AN96" i="12"/>
  <c r="AK96" i="12"/>
  <c r="AH96" i="12"/>
  <c r="AE96" i="12"/>
  <c r="AB96" i="12"/>
  <c r="Y96" i="12"/>
  <c r="V96" i="12"/>
  <c r="S96" i="12"/>
  <c r="P96" i="12"/>
  <c r="M96" i="12"/>
  <c r="J96" i="12"/>
  <c r="AW95" i="12"/>
  <c r="AT95" i="12"/>
  <c r="AX95" i="12" s="1"/>
  <c r="AQ95" i="12"/>
  <c r="AN95" i="12"/>
  <c r="AK95" i="12"/>
  <c r="AH95" i="12"/>
  <c r="AE95" i="12"/>
  <c r="AB95" i="12"/>
  <c r="Y95" i="12"/>
  <c r="V95" i="12"/>
  <c r="S95" i="12"/>
  <c r="P95" i="12"/>
  <c r="M95" i="12"/>
  <c r="J95" i="12"/>
  <c r="AW94" i="12"/>
  <c r="AT94" i="12"/>
  <c r="AQ94" i="12"/>
  <c r="AX94" i="12" s="1"/>
  <c r="AN94" i="12"/>
  <c r="AK94" i="12"/>
  <c r="AH94" i="12"/>
  <c r="AE94" i="12"/>
  <c r="AB94" i="12"/>
  <c r="Y94" i="12"/>
  <c r="V94" i="12"/>
  <c r="S94" i="12"/>
  <c r="P94" i="12"/>
  <c r="M94" i="12"/>
  <c r="J94" i="12"/>
  <c r="AW93" i="12"/>
  <c r="AT93" i="12"/>
  <c r="AQ93" i="12"/>
  <c r="AN93" i="12"/>
  <c r="AK93" i="12"/>
  <c r="AH93" i="12"/>
  <c r="AE93" i="12"/>
  <c r="AB93" i="12"/>
  <c r="Y93" i="12"/>
  <c r="V93" i="12"/>
  <c r="S93" i="12"/>
  <c r="P93" i="12"/>
  <c r="M93" i="12"/>
  <c r="J93" i="12"/>
  <c r="AW92" i="12"/>
  <c r="AT92" i="12"/>
  <c r="AQ92" i="12"/>
  <c r="AN92" i="12"/>
  <c r="AK92" i="12"/>
  <c r="AH92" i="12"/>
  <c r="AE92" i="12"/>
  <c r="AB92" i="12"/>
  <c r="Y92" i="12"/>
  <c r="V92" i="12"/>
  <c r="S92" i="12"/>
  <c r="P92" i="12"/>
  <c r="M92" i="12"/>
  <c r="J92" i="12"/>
  <c r="AW91" i="12"/>
  <c r="AT91" i="12"/>
  <c r="AQ91" i="12"/>
  <c r="AN91" i="12"/>
  <c r="AK91" i="12"/>
  <c r="AH91" i="12"/>
  <c r="AE91" i="12"/>
  <c r="AB91" i="12"/>
  <c r="Y91" i="12"/>
  <c r="V91" i="12"/>
  <c r="S91" i="12"/>
  <c r="P91" i="12"/>
  <c r="M91" i="12"/>
  <c r="J91" i="12"/>
  <c r="AW90" i="12"/>
  <c r="AT90" i="12"/>
  <c r="AQ90" i="12"/>
  <c r="AN90" i="12"/>
  <c r="AK90" i="12"/>
  <c r="AH90" i="12"/>
  <c r="AE90" i="12"/>
  <c r="AB90" i="12"/>
  <c r="Y90" i="12"/>
  <c r="V90" i="12"/>
  <c r="S90" i="12"/>
  <c r="P90" i="12"/>
  <c r="M90" i="12"/>
  <c r="J90" i="12"/>
  <c r="AW89" i="12"/>
  <c r="AT89" i="12"/>
  <c r="AQ89" i="12"/>
  <c r="AX89" i="12" s="1"/>
  <c r="AN89" i="12"/>
  <c r="AK89" i="12"/>
  <c r="AH89" i="12"/>
  <c r="AE89" i="12"/>
  <c r="AB89" i="12"/>
  <c r="Y89" i="12"/>
  <c r="V89" i="12"/>
  <c r="S89" i="12"/>
  <c r="P89" i="12"/>
  <c r="M89" i="12"/>
  <c r="J89" i="12"/>
  <c r="AW88" i="12"/>
  <c r="AT88" i="12"/>
  <c r="AQ88" i="12"/>
  <c r="AN88" i="12"/>
  <c r="AK88" i="12"/>
  <c r="AH88" i="12"/>
  <c r="AE88" i="12"/>
  <c r="AB88" i="12"/>
  <c r="Y88" i="12"/>
  <c r="V88" i="12"/>
  <c r="S88" i="12"/>
  <c r="P88" i="12"/>
  <c r="M88" i="12"/>
  <c r="J88" i="12"/>
  <c r="AW87" i="12"/>
  <c r="AT87" i="12"/>
  <c r="AQ87" i="12"/>
  <c r="AN87" i="12"/>
  <c r="AK87" i="12"/>
  <c r="AH87" i="12"/>
  <c r="AE87" i="12"/>
  <c r="AB87" i="12"/>
  <c r="Y87" i="12"/>
  <c r="V87" i="12"/>
  <c r="S87" i="12"/>
  <c r="P87" i="12"/>
  <c r="M87" i="12"/>
  <c r="J87" i="12"/>
  <c r="AW86" i="12"/>
  <c r="AT86" i="12"/>
  <c r="AQ86" i="12"/>
  <c r="AN86" i="12"/>
  <c r="AK86" i="12"/>
  <c r="AH86" i="12"/>
  <c r="AE86" i="12"/>
  <c r="AB86" i="12"/>
  <c r="Y86" i="12"/>
  <c r="V86" i="12"/>
  <c r="S86" i="12"/>
  <c r="P86" i="12"/>
  <c r="M86" i="12"/>
  <c r="J86" i="12"/>
  <c r="AW85" i="12"/>
  <c r="AT85" i="12"/>
  <c r="AQ85" i="12"/>
  <c r="AN85" i="12"/>
  <c r="AK85" i="12"/>
  <c r="AH85" i="12"/>
  <c r="AE85" i="12"/>
  <c r="AB85" i="12"/>
  <c r="Y85" i="12"/>
  <c r="V85" i="12"/>
  <c r="S85" i="12"/>
  <c r="P85" i="12"/>
  <c r="M85" i="12"/>
  <c r="J85" i="12"/>
  <c r="AW84" i="12"/>
  <c r="AT84" i="12"/>
  <c r="AX84" i="12" s="1"/>
  <c r="AQ84" i="12"/>
  <c r="AN84" i="12"/>
  <c r="AK84" i="12"/>
  <c r="AH84" i="12"/>
  <c r="AE84" i="12"/>
  <c r="AB84" i="12"/>
  <c r="Y84" i="12"/>
  <c r="V84" i="12"/>
  <c r="S84" i="12"/>
  <c r="P84" i="12"/>
  <c r="M84" i="12"/>
  <c r="J84" i="12"/>
  <c r="AW83" i="12"/>
  <c r="AT83" i="12"/>
  <c r="AQ83" i="12"/>
  <c r="AN83" i="12"/>
  <c r="AK83" i="12"/>
  <c r="AH83" i="12"/>
  <c r="AE83" i="12"/>
  <c r="AB83" i="12"/>
  <c r="Y83" i="12"/>
  <c r="V83" i="12"/>
  <c r="S83" i="12"/>
  <c r="P83" i="12"/>
  <c r="M83" i="12"/>
  <c r="J83" i="12"/>
  <c r="AW82" i="12"/>
  <c r="AT82" i="12"/>
  <c r="AQ82" i="12"/>
  <c r="AN82" i="12"/>
  <c r="AK82" i="12"/>
  <c r="AH82" i="12"/>
  <c r="AE82" i="12"/>
  <c r="AB82" i="12"/>
  <c r="Y82" i="12"/>
  <c r="V82" i="12"/>
  <c r="S82" i="12"/>
  <c r="P82" i="12"/>
  <c r="M82" i="12"/>
  <c r="J82" i="12"/>
  <c r="AW81" i="12"/>
  <c r="AT81" i="12"/>
  <c r="AQ81" i="12"/>
  <c r="AN81" i="12"/>
  <c r="AK81" i="12"/>
  <c r="AH81" i="12"/>
  <c r="AE81" i="12"/>
  <c r="AB81" i="12"/>
  <c r="Y81" i="12"/>
  <c r="V81" i="12"/>
  <c r="S81" i="12"/>
  <c r="P81" i="12"/>
  <c r="M81" i="12"/>
  <c r="J81" i="12"/>
  <c r="AW80" i="12"/>
  <c r="AT80" i="12"/>
  <c r="AQ80" i="12"/>
  <c r="AN80" i="12"/>
  <c r="AK80" i="12"/>
  <c r="AH80" i="12"/>
  <c r="AE80" i="12"/>
  <c r="AB80" i="12"/>
  <c r="Y80" i="12"/>
  <c r="V80" i="12"/>
  <c r="S80" i="12"/>
  <c r="P80" i="12"/>
  <c r="M80" i="12"/>
  <c r="J80" i="12"/>
  <c r="AW79" i="12"/>
  <c r="AT79" i="12"/>
  <c r="AX79" i="12" s="1"/>
  <c r="AQ79" i="12"/>
  <c r="AN79" i="12"/>
  <c r="AK79" i="12"/>
  <c r="AH79" i="12"/>
  <c r="AE79" i="12"/>
  <c r="AB79" i="12"/>
  <c r="Y79" i="12"/>
  <c r="V79" i="12"/>
  <c r="S79" i="12"/>
  <c r="P79" i="12"/>
  <c r="M79" i="12"/>
  <c r="J79" i="12"/>
  <c r="AW78" i="12"/>
  <c r="AT78" i="12"/>
  <c r="AQ78" i="12"/>
  <c r="AX78" i="12" s="1"/>
  <c r="AN78" i="12"/>
  <c r="AK78" i="12"/>
  <c r="AH78" i="12"/>
  <c r="AE78" i="12"/>
  <c r="AB78" i="12"/>
  <c r="Y78" i="12"/>
  <c r="V78" i="12"/>
  <c r="S78" i="12"/>
  <c r="P78" i="12"/>
  <c r="M78" i="12"/>
  <c r="J78" i="12"/>
  <c r="AW77" i="12"/>
  <c r="AT77" i="12"/>
  <c r="AQ77" i="12"/>
  <c r="AN77" i="12"/>
  <c r="AK77" i="12"/>
  <c r="AH77" i="12"/>
  <c r="AE77" i="12"/>
  <c r="AB77" i="12"/>
  <c r="Y77" i="12"/>
  <c r="V77" i="12"/>
  <c r="S77" i="12"/>
  <c r="P77" i="12"/>
  <c r="M77" i="12"/>
  <c r="J77" i="12"/>
  <c r="AW76" i="12"/>
  <c r="AT76" i="12"/>
  <c r="AQ76" i="12"/>
  <c r="AN76" i="12"/>
  <c r="AK76" i="12"/>
  <c r="AH76" i="12"/>
  <c r="AE76" i="12"/>
  <c r="AB76" i="12"/>
  <c r="Y76" i="12"/>
  <c r="V76" i="12"/>
  <c r="S76" i="12"/>
  <c r="P76" i="12"/>
  <c r="M76" i="12"/>
  <c r="J76" i="12"/>
  <c r="AW75" i="12"/>
  <c r="AT75" i="12"/>
  <c r="AQ75" i="12"/>
  <c r="AN75" i="12"/>
  <c r="AK75" i="12"/>
  <c r="AH75" i="12"/>
  <c r="AE75" i="12"/>
  <c r="AB75" i="12"/>
  <c r="Y75" i="12"/>
  <c r="V75" i="12"/>
  <c r="S75" i="12"/>
  <c r="P75" i="12"/>
  <c r="M75" i="12"/>
  <c r="J75" i="12"/>
  <c r="AW74" i="12"/>
  <c r="AT74" i="12"/>
  <c r="AQ74" i="12"/>
  <c r="AN74" i="12"/>
  <c r="AK74" i="12"/>
  <c r="AH74" i="12"/>
  <c r="AE74" i="12"/>
  <c r="AB74" i="12"/>
  <c r="Y74" i="12"/>
  <c r="V74" i="12"/>
  <c r="S74" i="12"/>
  <c r="P74" i="12"/>
  <c r="M74" i="12"/>
  <c r="J74" i="12"/>
  <c r="AW73" i="12"/>
  <c r="AT73" i="12"/>
  <c r="AQ73" i="12"/>
  <c r="AX73" i="12" s="1"/>
  <c r="AN73" i="12"/>
  <c r="AK73" i="12"/>
  <c r="AH73" i="12"/>
  <c r="AE73" i="12"/>
  <c r="AB73" i="12"/>
  <c r="Y73" i="12"/>
  <c r="V73" i="12"/>
  <c r="S73" i="12"/>
  <c r="P73" i="12"/>
  <c r="M73" i="12"/>
  <c r="J73" i="12"/>
  <c r="AW72" i="12"/>
  <c r="AT72" i="12"/>
  <c r="AQ72" i="12"/>
  <c r="AN72" i="12"/>
  <c r="AK72" i="12"/>
  <c r="AH72" i="12"/>
  <c r="AE72" i="12"/>
  <c r="AB72" i="12"/>
  <c r="Y72" i="12"/>
  <c r="V72" i="12"/>
  <c r="S72" i="12"/>
  <c r="P72" i="12"/>
  <c r="M72" i="12"/>
  <c r="J72" i="12"/>
  <c r="AW71" i="12"/>
  <c r="AT71" i="12"/>
  <c r="AQ71" i="12"/>
  <c r="AN71" i="12"/>
  <c r="AK71" i="12"/>
  <c r="AH71" i="12"/>
  <c r="AE71" i="12"/>
  <c r="AB71" i="12"/>
  <c r="Y71" i="12"/>
  <c r="V71" i="12"/>
  <c r="S71" i="12"/>
  <c r="P71" i="12"/>
  <c r="M71" i="12"/>
  <c r="J71" i="12"/>
  <c r="AW70" i="12"/>
  <c r="AT70" i="12"/>
  <c r="AQ70" i="12"/>
  <c r="AN70" i="12"/>
  <c r="AK70" i="12"/>
  <c r="AH70" i="12"/>
  <c r="AE70" i="12"/>
  <c r="AB70" i="12"/>
  <c r="Y70" i="12"/>
  <c r="V70" i="12"/>
  <c r="S70" i="12"/>
  <c r="P70" i="12"/>
  <c r="M70" i="12"/>
  <c r="J70" i="12"/>
  <c r="AW69" i="12"/>
  <c r="AT69" i="12"/>
  <c r="AQ69" i="12"/>
  <c r="AN69" i="12"/>
  <c r="AK69" i="12"/>
  <c r="AH69" i="12"/>
  <c r="AE69" i="12"/>
  <c r="AB69" i="12"/>
  <c r="Y69" i="12"/>
  <c r="V69" i="12"/>
  <c r="S69" i="12"/>
  <c r="P69" i="12"/>
  <c r="M69" i="12"/>
  <c r="J69" i="12"/>
  <c r="AW68" i="12"/>
  <c r="AT68" i="12"/>
  <c r="AX68" i="12" s="1"/>
  <c r="AQ68" i="12"/>
  <c r="AN68" i="12"/>
  <c r="AK68" i="12"/>
  <c r="AH68" i="12"/>
  <c r="AE68" i="12"/>
  <c r="AB68" i="12"/>
  <c r="Y68" i="12"/>
  <c r="V68" i="12"/>
  <c r="S68" i="12"/>
  <c r="P68" i="12"/>
  <c r="M68" i="12"/>
  <c r="J68" i="12"/>
  <c r="AW67" i="12"/>
  <c r="AT67" i="12"/>
  <c r="AQ67" i="12"/>
  <c r="AN67" i="12"/>
  <c r="AK67" i="12"/>
  <c r="AH67" i="12"/>
  <c r="AE67" i="12"/>
  <c r="AB67" i="12"/>
  <c r="Y67" i="12"/>
  <c r="V67" i="12"/>
  <c r="S67" i="12"/>
  <c r="P67" i="12"/>
  <c r="M67" i="12"/>
  <c r="J67" i="12"/>
  <c r="AW66" i="12"/>
  <c r="AT66" i="12"/>
  <c r="AQ66" i="12"/>
  <c r="AN66" i="12"/>
  <c r="AK66" i="12"/>
  <c r="AH66" i="12"/>
  <c r="AE66" i="12"/>
  <c r="AB66" i="12"/>
  <c r="Y66" i="12"/>
  <c r="V66" i="12"/>
  <c r="S66" i="12"/>
  <c r="P66" i="12"/>
  <c r="M66" i="12"/>
  <c r="J66" i="12"/>
  <c r="AW65" i="12"/>
  <c r="AT65" i="12"/>
  <c r="AQ65" i="12"/>
  <c r="AN65" i="12"/>
  <c r="AK65" i="12"/>
  <c r="AH65" i="12"/>
  <c r="AE65" i="12"/>
  <c r="AB65" i="12"/>
  <c r="Y65" i="12"/>
  <c r="V65" i="12"/>
  <c r="S65" i="12"/>
  <c r="P65" i="12"/>
  <c r="M65" i="12"/>
  <c r="J65" i="12"/>
  <c r="AW64" i="12"/>
  <c r="AT64" i="12"/>
  <c r="AQ64" i="12"/>
  <c r="AN64" i="12"/>
  <c r="AK64" i="12"/>
  <c r="AH64" i="12"/>
  <c r="AE64" i="12"/>
  <c r="AB64" i="12"/>
  <c r="Y64" i="12"/>
  <c r="V64" i="12"/>
  <c r="S64" i="12"/>
  <c r="P64" i="12"/>
  <c r="M64" i="12"/>
  <c r="J64" i="12"/>
  <c r="AW63" i="12"/>
  <c r="AT63" i="12"/>
  <c r="AX63" i="12" s="1"/>
  <c r="AQ63" i="12"/>
  <c r="AN63" i="12"/>
  <c r="AK63" i="12"/>
  <c r="AH63" i="12"/>
  <c r="AE63" i="12"/>
  <c r="AB63" i="12"/>
  <c r="Y63" i="12"/>
  <c r="V63" i="12"/>
  <c r="S63" i="12"/>
  <c r="P63" i="12"/>
  <c r="M63" i="12"/>
  <c r="J63" i="12"/>
  <c r="AW62" i="12"/>
  <c r="AT62" i="12"/>
  <c r="AQ62" i="12"/>
  <c r="AX62" i="12" s="1"/>
  <c r="AN62" i="12"/>
  <c r="AK62" i="12"/>
  <c r="AH62" i="12"/>
  <c r="AE62" i="12"/>
  <c r="AB62" i="12"/>
  <c r="Y62" i="12"/>
  <c r="V62" i="12"/>
  <c r="S62" i="12"/>
  <c r="P62" i="12"/>
  <c r="M62" i="12"/>
  <c r="J62" i="12"/>
  <c r="AW61" i="12"/>
  <c r="AT61" i="12"/>
  <c r="AQ61" i="12"/>
  <c r="AN61" i="12"/>
  <c r="AK61" i="12"/>
  <c r="AH61" i="12"/>
  <c r="AE61" i="12"/>
  <c r="AB61" i="12"/>
  <c r="Y61" i="12"/>
  <c r="V61" i="12"/>
  <c r="S61" i="12"/>
  <c r="P61" i="12"/>
  <c r="M61" i="12"/>
  <c r="J61" i="12"/>
  <c r="AW60" i="12"/>
  <c r="AT60" i="12"/>
  <c r="AQ60" i="12"/>
  <c r="AN60" i="12"/>
  <c r="AK60" i="12"/>
  <c r="AH60" i="12"/>
  <c r="AE60" i="12"/>
  <c r="AB60" i="12"/>
  <c r="Y60" i="12"/>
  <c r="V60" i="12"/>
  <c r="S60" i="12"/>
  <c r="P60" i="12"/>
  <c r="M60" i="12"/>
  <c r="J60" i="12"/>
  <c r="AW59" i="12"/>
  <c r="AT59" i="12"/>
  <c r="AQ59" i="12"/>
  <c r="AN59" i="12"/>
  <c r="AK59" i="12"/>
  <c r="AH59" i="12"/>
  <c r="AE59" i="12"/>
  <c r="AB59" i="12"/>
  <c r="Y59" i="12"/>
  <c r="V59" i="12"/>
  <c r="S59" i="12"/>
  <c r="P59" i="12"/>
  <c r="M59" i="12"/>
  <c r="J59" i="12"/>
  <c r="AW58" i="12"/>
  <c r="AT58" i="12"/>
  <c r="AQ58" i="12"/>
  <c r="AN58" i="12"/>
  <c r="AK58" i="12"/>
  <c r="AH58" i="12"/>
  <c r="AE58" i="12"/>
  <c r="AB58" i="12"/>
  <c r="Y58" i="12"/>
  <c r="V58" i="12"/>
  <c r="S58" i="12"/>
  <c r="P58" i="12"/>
  <c r="M58" i="12"/>
  <c r="J58" i="12"/>
  <c r="AW57" i="12"/>
  <c r="AT57" i="12"/>
  <c r="AQ57" i="12"/>
  <c r="AX57" i="12" s="1"/>
  <c r="AN57" i="12"/>
  <c r="AK57" i="12"/>
  <c r="AH57" i="12"/>
  <c r="AE57" i="12"/>
  <c r="AB57" i="12"/>
  <c r="Y57" i="12"/>
  <c r="V57" i="12"/>
  <c r="S57" i="12"/>
  <c r="P57" i="12"/>
  <c r="M57" i="12"/>
  <c r="J57" i="12"/>
  <c r="AW56" i="12"/>
  <c r="AT56" i="12"/>
  <c r="AQ56" i="12"/>
  <c r="AN56" i="12"/>
  <c r="AK56" i="12"/>
  <c r="AH56" i="12"/>
  <c r="AE56" i="12"/>
  <c r="AB56" i="12"/>
  <c r="Y56" i="12"/>
  <c r="V56" i="12"/>
  <c r="S56" i="12"/>
  <c r="P56" i="12"/>
  <c r="M56" i="12"/>
  <c r="J56" i="12"/>
  <c r="AW55" i="12"/>
  <c r="AT55" i="12"/>
  <c r="AX55" i="12" s="1"/>
  <c r="AQ55" i="12"/>
  <c r="AN55" i="12"/>
  <c r="AK55" i="12"/>
  <c r="AH55" i="12"/>
  <c r="AE55" i="12"/>
  <c r="AB55" i="12"/>
  <c r="Y55" i="12"/>
  <c r="V55" i="12"/>
  <c r="S55" i="12"/>
  <c r="P55" i="12"/>
  <c r="M55" i="12"/>
  <c r="J55" i="12"/>
  <c r="AW54" i="12"/>
  <c r="AT54" i="12"/>
  <c r="AQ54" i="12"/>
  <c r="AN54" i="12"/>
  <c r="AK54" i="12"/>
  <c r="AH54" i="12"/>
  <c r="AE54" i="12"/>
  <c r="AB54" i="12"/>
  <c r="Y54" i="12"/>
  <c r="V54" i="12"/>
  <c r="S54" i="12"/>
  <c r="P54" i="12"/>
  <c r="M54" i="12"/>
  <c r="J54" i="12"/>
  <c r="AW53" i="12"/>
  <c r="AT53" i="12"/>
  <c r="AQ53" i="12"/>
  <c r="AN53" i="12"/>
  <c r="AK53" i="12"/>
  <c r="AH53" i="12"/>
  <c r="AE53" i="12"/>
  <c r="AB53" i="12"/>
  <c r="Y53" i="12"/>
  <c r="V53" i="12"/>
  <c r="S53" i="12"/>
  <c r="P53" i="12"/>
  <c r="M53" i="12"/>
  <c r="J53" i="12"/>
  <c r="AW52" i="12"/>
  <c r="AT52" i="12"/>
  <c r="AX52" i="12" s="1"/>
  <c r="AQ52" i="12"/>
  <c r="AN52" i="12"/>
  <c r="AK52" i="12"/>
  <c r="AH52" i="12"/>
  <c r="AE52" i="12"/>
  <c r="AB52" i="12"/>
  <c r="Y52" i="12"/>
  <c r="V52" i="12"/>
  <c r="S52" i="12"/>
  <c r="P52" i="12"/>
  <c r="M52" i="12"/>
  <c r="J52" i="12"/>
  <c r="AW51" i="12"/>
  <c r="AT51" i="12"/>
  <c r="AQ51" i="12"/>
  <c r="AN51" i="12"/>
  <c r="AK51" i="12"/>
  <c r="AH51" i="12"/>
  <c r="AE51" i="12"/>
  <c r="AB51" i="12"/>
  <c r="Y51" i="12"/>
  <c r="V51" i="12"/>
  <c r="S51" i="12"/>
  <c r="P51" i="12"/>
  <c r="M51" i="12"/>
  <c r="J51" i="12"/>
  <c r="AW50" i="12"/>
  <c r="AT50" i="12"/>
  <c r="AQ50" i="12"/>
  <c r="AN50" i="12"/>
  <c r="AK50" i="12"/>
  <c r="AH50" i="12"/>
  <c r="AE50" i="12"/>
  <c r="AB50" i="12"/>
  <c r="Y50" i="12"/>
  <c r="V50" i="12"/>
  <c r="S50" i="12"/>
  <c r="P50" i="12"/>
  <c r="M50" i="12"/>
  <c r="J50" i="12"/>
  <c r="AW49" i="12"/>
  <c r="AT49" i="12"/>
  <c r="AQ49" i="12"/>
  <c r="AN49" i="12"/>
  <c r="AK49" i="12"/>
  <c r="AH49" i="12"/>
  <c r="AE49" i="12"/>
  <c r="AB49" i="12"/>
  <c r="Y49" i="12"/>
  <c r="V49" i="12"/>
  <c r="S49" i="12"/>
  <c r="P49" i="12"/>
  <c r="M49" i="12"/>
  <c r="J49" i="12"/>
  <c r="AW48" i="12"/>
  <c r="AT48" i="12"/>
  <c r="AQ48" i="12"/>
  <c r="AN48" i="12"/>
  <c r="AK48" i="12"/>
  <c r="AH48" i="12"/>
  <c r="AE48" i="12"/>
  <c r="AB48" i="12"/>
  <c r="Y48" i="12"/>
  <c r="V48" i="12"/>
  <c r="S48" i="12"/>
  <c r="P48" i="12"/>
  <c r="M48" i="12"/>
  <c r="J48" i="12"/>
  <c r="AW47" i="12"/>
  <c r="AT47" i="12"/>
  <c r="AX47" i="12" s="1"/>
  <c r="AQ47" i="12"/>
  <c r="AN47" i="12"/>
  <c r="AK47" i="12"/>
  <c r="AH47" i="12"/>
  <c r="AE47" i="12"/>
  <c r="AB47" i="12"/>
  <c r="Y47" i="12"/>
  <c r="V47" i="12"/>
  <c r="S47" i="12"/>
  <c r="P47" i="12"/>
  <c r="M47" i="12"/>
  <c r="J47" i="12"/>
  <c r="AW46" i="12"/>
  <c r="AT46" i="12"/>
  <c r="AQ46" i="12"/>
  <c r="AX46" i="12" s="1"/>
  <c r="AN46" i="12"/>
  <c r="AK46" i="12"/>
  <c r="AH46" i="12"/>
  <c r="AE46" i="12"/>
  <c r="AB46" i="12"/>
  <c r="Y46" i="12"/>
  <c r="V46" i="12"/>
  <c r="S46" i="12"/>
  <c r="P46" i="12"/>
  <c r="M46" i="12"/>
  <c r="J46" i="12"/>
  <c r="AW45" i="12"/>
  <c r="AT45" i="12"/>
  <c r="AQ45" i="12"/>
  <c r="AN45" i="12"/>
  <c r="AK45" i="12"/>
  <c r="AH45" i="12"/>
  <c r="AE45" i="12"/>
  <c r="AB45" i="12"/>
  <c r="Y45" i="12"/>
  <c r="V45" i="12"/>
  <c r="S45" i="12"/>
  <c r="P45" i="12"/>
  <c r="M45" i="12"/>
  <c r="J45" i="12"/>
  <c r="AW44" i="12"/>
  <c r="AT44" i="12"/>
  <c r="AQ44" i="12"/>
  <c r="AN44" i="12"/>
  <c r="AK44" i="12"/>
  <c r="AH44" i="12"/>
  <c r="AE44" i="12"/>
  <c r="AB44" i="12"/>
  <c r="Y44" i="12"/>
  <c r="V44" i="12"/>
  <c r="S44" i="12"/>
  <c r="P44" i="12"/>
  <c r="M44" i="12"/>
  <c r="J44" i="12"/>
  <c r="AW43" i="12"/>
  <c r="AT43" i="12"/>
  <c r="AQ43" i="12"/>
  <c r="AN43" i="12"/>
  <c r="AK43" i="12"/>
  <c r="AH43" i="12"/>
  <c r="AE43" i="12"/>
  <c r="AB43" i="12"/>
  <c r="Y43" i="12"/>
  <c r="V43" i="12"/>
  <c r="S43" i="12"/>
  <c r="P43" i="12"/>
  <c r="M43" i="12"/>
  <c r="J43" i="12"/>
  <c r="AW42" i="12"/>
  <c r="AT42" i="12"/>
  <c r="AQ42" i="12"/>
  <c r="AN42" i="12"/>
  <c r="AK42" i="12"/>
  <c r="AH42" i="12"/>
  <c r="AE42" i="12"/>
  <c r="AB42" i="12"/>
  <c r="Y42" i="12"/>
  <c r="V42" i="12"/>
  <c r="S42" i="12"/>
  <c r="P42" i="12"/>
  <c r="M42" i="12"/>
  <c r="J42" i="12"/>
  <c r="AW41" i="12"/>
  <c r="AT41" i="12"/>
  <c r="AQ41" i="12"/>
  <c r="AX41" i="12" s="1"/>
  <c r="AN41" i="12"/>
  <c r="AK41" i="12"/>
  <c r="AH41" i="12"/>
  <c r="AE41" i="12"/>
  <c r="AB41" i="12"/>
  <c r="Y41" i="12"/>
  <c r="V41" i="12"/>
  <c r="S41" i="12"/>
  <c r="P41" i="12"/>
  <c r="M41" i="12"/>
  <c r="J41" i="12"/>
  <c r="AW40" i="12"/>
  <c r="AT40" i="12"/>
  <c r="AQ40" i="12"/>
  <c r="AN40" i="12"/>
  <c r="AK40" i="12"/>
  <c r="AH40" i="12"/>
  <c r="AE40" i="12"/>
  <c r="AB40" i="12"/>
  <c r="Y40" i="12"/>
  <c r="V40" i="12"/>
  <c r="S40" i="12"/>
  <c r="P40" i="12"/>
  <c r="M40" i="12"/>
  <c r="J40" i="12"/>
  <c r="AW39" i="12"/>
  <c r="AT39" i="12"/>
  <c r="AX39" i="12" s="1"/>
  <c r="AQ39" i="12"/>
  <c r="AN39" i="12"/>
  <c r="AK39" i="12"/>
  <c r="AH39" i="12"/>
  <c r="AE39" i="12"/>
  <c r="AB39" i="12"/>
  <c r="Y39" i="12"/>
  <c r="V39" i="12"/>
  <c r="S39" i="12"/>
  <c r="P39" i="12"/>
  <c r="M39" i="12"/>
  <c r="J39" i="12"/>
  <c r="AW38" i="12"/>
  <c r="AT38" i="12"/>
  <c r="AQ38" i="12"/>
  <c r="AN38" i="12"/>
  <c r="AK38" i="12"/>
  <c r="AH38" i="12"/>
  <c r="AE38" i="12"/>
  <c r="AB38" i="12"/>
  <c r="Y38" i="12"/>
  <c r="V38" i="12"/>
  <c r="S38" i="12"/>
  <c r="P38" i="12"/>
  <c r="M38" i="12"/>
  <c r="J38" i="12"/>
  <c r="AW37" i="12"/>
  <c r="AT37" i="12"/>
  <c r="AQ37" i="12"/>
  <c r="AN37" i="12"/>
  <c r="AK37" i="12"/>
  <c r="AH37" i="12"/>
  <c r="AE37" i="12"/>
  <c r="AB37" i="12"/>
  <c r="Y37" i="12"/>
  <c r="V37" i="12"/>
  <c r="S37" i="12"/>
  <c r="P37" i="12"/>
  <c r="M37" i="12"/>
  <c r="J37" i="12"/>
  <c r="AW36" i="12"/>
  <c r="AT36" i="12"/>
  <c r="AX36" i="12" s="1"/>
  <c r="AQ36" i="12"/>
  <c r="AN36" i="12"/>
  <c r="AK36" i="12"/>
  <c r="AH36" i="12"/>
  <c r="AE36" i="12"/>
  <c r="AB36" i="12"/>
  <c r="Y36" i="12"/>
  <c r="V36" i="12"/>
  <c r="S36" i="12"/>
  <c r="P36" i="12"/>
  <c r="M36" i="12"/>
  <c r="J36" i="12"/>
  <c r="AW35" i="12"/>
  <c r="AT35" i="12"/>
  <c r="AQ35" i="12"/>
  <c r="AN35" i="12"/>
  <c r="AK35" i="12"/>
  <c r="AH35" i="12"/>
  <c r="AE35" i="12"/>
  <c r="AB35" i="12"/>
  <c r="Y35" i="12"/>
  <c r="V35" i="12"/>
  <c r="S35" i="12"/>
  <c r="P35" i="12"/>
  <c r="M35" i="12"/>
  <c r="J35" i="12"/>
  <c r="AW34" i="12"/>
  <c r="AT34" i="12"/>
  <c r="AQ34" i="12"/>
  <c r="AN34" i="12"/>
  <c r="AK34" i="12"/>
  <c r="AH34" i="12"/>
  <c r="AE34" i="12"/>
  <c r="AB34" i="12"/>
  <c r="Y34" i="12"/>
  <c r="V34" i="12"/>
  <c r="S34" i="12"/>
  <c r="P34" i="12"/>
  <c r="M34" i="12"/>
  <c r="J34" i="12"/>
  <c r="AW33" i="12"/>
  <c r="AT33" i="12"/>
  <c r="AQ33" i="12"/>
  <c r="AN33" i="12"/>
  <c r="AK33" i="12"/>
  <c r="AH33" i="12"/>
  <c r="AE33" i="12"/>
  <c r="AB33" i="12"/>
  <c r="Y33" i="12"/>
  <c r="V33" i="12"/>
  <c r="S33" i="12"/>
  <c r="P33" i="12"/>
  <c r="M33" i="12"/>
  <c r="J33" i="12"/>
  <c r="AW32" i="12"/>
  <c r="AT32" i="12"/>
  <c r="AQ32" i="12"/>
  <c r="AN32" i="12"/>
  <c r="AK32" i="12"/>
  <c r="AH32" i="12"/>
  <c r="AE32" i="12"/>
  <c r="AB32" i="12"/>
  <c r="Y32" i="12"/>
  <c r="V32" i="12"/>
  <c r="S32" i="12"/>
  <c r="P32" i="12"/>
  <c r="M32" i="12"/>
  <c r="J32" i="12"/>
  <c r="AW31" i="12"/>
  <c r="AT31" i="12"/>
  <c r="AX31" i="12" s="1"/>
  <c r="AQ31" i="12"/>
  <c r="AN31" i="12"/>
  <c r="AK31" i="12"/>
  <c r="AH31" i="12"/>
  <c r="AE31" i="12"/>
  <c r="AB31" i="12"/>
  <c r="Y31" i="12"/>
  <c r="V31" i="12"/>
  <c r="S31" i="12"/>
  <c r="P31" i="12"/>
  <c r="M31" i="12"/>
  <c r="J31" i="12"/>
  <c r="AW30" i="12"/>
  <c r="AT30" i="12"/>
  <c r="AQ30" i="12"/>
  <c r="AX30" i="12" s="1"/>
  <c r="AN30" i="12"/>
  <c r="AK30" i="12"/>
  <c r="AH30" i="12"/>
  <c r="AE30" i="12"/>
  <c r="AB30" i="12"/>
  <c r="Y30" i="12"/>
  <c r="V30" i="12"/>
  <c r="S30" i="12"/>
  <c r="P30" i="12"/>
  <c r="M30" i="12"/>
  <c r="J30" i="12"/>
  <c r="AW29" i="12"/>
  <c r="AT29" i="12"/>
  <c r="AQ29" i="12"/>
  <c r="AN29" i="12"/>
  <c r="AK29" i="12"/>
  <c r="AH29" i="12"/>
  <c r="AE29" i="12"/>
  <c r="AB29" i="12"/>
  <c r="Y29" i="12"/>
  <c r="V29" i="12"/>
  <c r="S29" i="12"/>
  <c r="P29" i="12"/>
  <c r="M29" i="12"/>
  <c r="J29" i="12"/>
  <c r="AW28" i="12"/>
  <c r="AT28" i="12"/>
  <c r="AQ28" i="12"/>
  <c r="AN28" i="12"/>
  <c r="AK28" i="12"/>
  <c r="AH28" i="12"/>
  <c r="AE28" i="12"/>
  <c r="AB28" i="12"/>
  <c r="Y28" i="12"/>
  <c r="V28" i="12"/>
  <c r="S28" i="12"/>
  <c r="P28" i="12"/>
  <c r="M28" i="12"/>
  <c r="J28" i="12"/>
  <c r="AW27" i="12"/>
  <c r="AT27" i="12"/>
  <c r="AQ27" i="12"/>
  <c r="AN27" i="12"/>
  <c r="AK27" i="12"/>
  <c r="AH27" i="12"/>
  <c r="AE27" i="12"/>
  <c r="AB27" i="12"/>
  <c r="Y27" i="12"/>
  <c r="V27" i="12"/>
  <c r="S27" i="12"/>
  <c r="P27" i="12"/>
  <c r="M27" i="12"/>
  <c r="J27" i="12"/>
  <c r="AW26" i="12"/>
  <c r="AT26" i="12"/>
  <c r="AQ26" i="12"/>
  <c r="AN26" i="12"/>
  <c r="AK26" i="12"/>
  <c r="AH26" i="12"/>
  <c r="AE26" i="12"/>
  <c r="AB26" i="12"/>
  <c r="Y26" i="12"/>
  <c r="V26" i="12"/>
  <c r="S26" i="12"/>
  <c r="P26" i="12"/>
  <c r="M26" i="12"/>
  <c r="J26" i="12"/>
  <c r="AW25" i="12"/>
  <c r="AT25" i="12"/>
  <c r="AQ25" i="12"/>
  <c r="AX25" i="12" s="1"/>
  <c r="AN25" i="12"/>
  <c r="AK25" i="12"/>
  <c r="AH25" i="12"/>
  <c r="AE25" i="12"/>
  <c r="AB25" i="12"/>
  <c r="Y25" i="12"/>
  <c r="V25" i="12"/>
  <c r="S25" i="12"/>
  <c r="P25" i="12"/>
  <c r="M25" i="12"/>
  <c r="J25" i="12"/>
  <c r="AW24" i="12"/>
  <c r="AT24" i="12"/>
  <c r="AQ24" i="12"/>
  <c r="AN24" i="12"/>
  <c r="AK24" i="12"/>
  <c r="AH24" i="12"/>
  <c r="AE24" i="12"/>
  <c r="AB24" i="12"/>
  <c r="Y24" i="12"/>
  <c r="V24" i="12"/>
  <c r="S24" i="12"/>
  <c r="P24" i="12"/>
  <c r="M24" i="12"/>
  <c r="J24" i="12"/>
  <c r="AW23" i="12"/>
  <c r="AT23" i="12"/>
  <c r="AQ23" i="12"/>
  <c r="AN23" i="12"/>
  <c r="AK23" i="12"/>
  <c r="AH23" i="12"/>
  <c r="AE23" i="12"/>
  <c r="AB23" i="12"/>
  <c r="Y23" i="12"/>
  <c r="V23" i="12"/>
  <c r="S23" i="12"/>
  <c r="P23" i="12"/>
  <c r="M23" i="12"/>
  <c r="J23" i="12"/>
  <c r="AW22" i="12"/>
  <c r="AT22" i="12"/>
  <c r="AQ22" i="12"/>
  <c r="AN22" i="12"/>
  <c r="AK22" i="12"/>
  <c r="AH22" i="12"/>
  <c r="AE22" i="12"/>
  <c r="AB22" i="12"/>
  <c r="Y22" i="12"/>
  <c r="V22" i="12"/>
  <c r="S22" i="12"/>
  <c r="P22" i="12"/>
  <c r="M22" i="12"/>
  <c r="J22" i="12"/>
  <c r="AW21" i="12"/>
  <c r="AT21" i="12"/>
  <c r="AQ21" i="12"/>
  <c r="AN21" i="12"/>
  <c r="AK21" i="12"/>
  <c r="AH21" i="12"/>
  <c r="AE21" i="12"/>
  <c r="AB21" i="12"/>
  <c r="Y21" i="12"/>
  <c r="V21" i="12"/>
  <c r="S21" i="12"/>
  <c r="P21" i="12"/>
  <c r="M21" i="12"/>
  <c r="J21" i="12"/>
  <c r="AW20" i="12"/>
  <c r="AT20" i="12"/>
  <c r="AX20" i="12" s="1"/>
  <c r="AQ20" i="12"/>
  <c r="AN20" i="12"/>
  <c r="AK20" i="12"/>
  <c r="AH20" i="12"/>
  <c r="AE20" i="12"/>
  <c r="AB20" i="12"/>
  <c r="Y20" i="12"/>
  <c r="V20" i="12"/>
  <c r="S20" i="12"/>
  <c r="P20" i="12"/>
  <c r="M20" i="12"/>
  <c r="J20" i="12"/>
  <c r="AW19" i="12"/>
  <c r="AT19" i="12"/>
  <c r="AQ19" i="12"/>
  <c r="AN19" i="12"/>
  <c r="AK19" i="12"/>
  <c r="AH19" i="12"/>
  <c r="AE19" i="12"/>
  <c r="AB19" i="12"/>
  <c r="Y19" i="12"/>
  <c r="V19" i="12"/>
  <c r="S19" i="12"/>
  <c r="P19" i="12"/>
  <c r="M19" i="12"/>
  <c r="J19" i="12"/>
  <c r="AW18" i="12"/>
  <c r="AT18" i="12"/>
  <c r="AQ18" i="12"/>
  <c r="AN18" i="12"/>
  <c r="AK18" i="12"/>
  <c r="AH18" i="12"/>
  <c r="AE18" i="12"/>
  <c r="AB18" i="12"/>
  <c r="Y18" i="12"/>
  <c r="V18" i="12"/>
  <c r="S18" i="12"/>
  <c r="P18" i="12"/>
  <c r="M18" i="12"/>
  <c r="J18" i="12"/>
  <c r="AW17" i="12"/>
  <c r="AT17" i="12"/>
  <c r="AQ17" i="12"/>
  <c r="AN17" i="12"/>
  <c r="AK17" i="12"/>
  <c r="AH17" i="12"/>
  <c r="AE17" i="12"/>
  <c r="AB17" i="12"/>
  <c r="Y17" i="12"/>
  <c r="V17" i="12"/>
  <c r="S17" i="12"/>
  <c r="P17" i="12"/>
  <c r="M17" i="12"/>
  <c r="J17" i="12"/>
  <c r="AW16" i="12"/>
  <c r="AT16" i="12"/>
  <c r="AQ16" i="12"/>
  <c r="AN16" i="12"/>
  <c r="AK16" i="12"/>
  <c r="AH16" i="12"/>
  <c r="AE16" i="12"/>
  <c r="AB16" i="12"/>
  <c r="Y16" i="12"/>
  <c r="V16" i="12"/>
  <c r="S16" i="12"/>
  <c r="P16" i="12"/>
  <c r="M16" i="12"/>
  <c r="J16" i="12"/>
  <c r="AW15" i="12"/>
  <c r="AT15" i="12"/>
  <c r="AX15" i="12" s="1"/>
  <c r="AQ15" i="12"/>
  <c r="AN15" i="12"/>
  <c r="AK15" i="12"/>
  <c r="AH15" i="12"/>
  <c r="AE15" i="12"/>
  <c r="AB15" i="12"/>
  <c r="Y15" i="12"/>
  <c r="V15" i="12"/>
  <c r="S15" i="12"/>
  <c r="P15" i="12"/>
  <c r="M15" i="12"/>
  <c r="J15" i="12"/>
  <c r="AW14" i="12"/>
  <c r="AT14" i="12"/>
  <c r="AQ14" i="12"/>
  <c r="AX14" i="12" s="1"/>
  <c r="AN14" i="12"/>
  <c r="AK14" i="12"/>
  <c r="AH14" i="12"/>
  <c r="AE14" i="12"/>
  <c r="AB14" i="12"/>
  <c r="Y14" i="12"/>
  <c r="V14" i="12"/>
  <c r="S14" i="12"/>
  <c r="P14" i="12"/>
  <c r="M14" i="12"/>
  <c r="J14" i="12"/>
  <c r="AW13" i="12"/>
  <c r="AT13" i="12"/>
  <c r="AQ13" i="12"/>
  <c r="AN13" i="12"/>
  <c r="AK13" i="12"/>
  <c r="AH13" i="12"/>
  <c r="AE13" i="12"/>
  <c r="AB13" i="12"/>
  <c r="Y13" i="12"/>
  <c r="V13" i="12"/>
  <c r="S13" i="12"/>
  <c r="P13" i="12"/>
  <c r="M13" i="12"/>
  <c r="J13" i="12"/>
  <c r="AW12" i="12"/>
  <c r="AT12" i="12"/>
  <c r="AQ12" i="12"/>
  <c r="AN12" i="12"/>
  <c r="AK12" i="12"/>
  <c r="AH12" i="12"/>
  <c r="AE12" i="12"/>
  <c r="AB12" i="12"/>
  <c r="Y12" i="12"/>
  <c r="V12" i="12"/>
  <c r="S12" i="12"/>
  <c r="P12" i="12"/>
  <c r="M12" i="12"/>
  <c r="J12" i="12"/>
  <c r="AW11" i="12"/>
  <c r="AT11" i="12"/>
  <c r="AQ11" i="12"/>
  <c r="AN11" i="12"/>
  <c r="AK11" i="12"/>
  <c r="AH11" i="12"/>
  <c r="AE11" i="12"/>
  <c r="AB11" i="12"/>
  <c r="Y11" i="12"/>
  <c r="V11" i="12"/>
  <c r="S11" i="12"/>
  <c r="P11" i="12"/>
  <c r="M11" i="12"/>
  <c r="J11" i="12"/>
  <c r="AW10" i="12"/>
  <c r="AT10" i="12"/>
  <c r="AQ10" i="12"/>
  <c r="AN10" i="12"/>
  <c r="AK10" i="12"/>
  <c r="AH10" i="12"/>
  <c r="AE10" i="12"/>
  <c r="AB10" i="12"/>
  <c r="Y10" i="12"/>
  <c r="V10" i="12"/>
  <c r="S10" i="12"/>
  <c r="P10" i="12"/>
  <c r="M10" i="12"/>
  <c r="J10" i="12"/>
  <c r="AW9" i="12"/>
  <c r="AT9" i="12"/>
  <c r="AQ9" i="12"/>
  <c r="AX9" i="12" s="1"/>
  <c r="AN9" i="12"/>
  <c r="AK9" i="12"/>
  <c r="AH9" i="12"/>
  <c r="AE9" i="12"/>
  <c r="AB9" i="12"/>
  <c r="Y9" i="12"/>
  <c r="V9" i="12"/>
  <c r="S9" i="12"/>
  <c r="P9" i="12"/>
  <c r="M9" i="12"/>
  <c r="J9" i="12"/>
  <c r="AW8" i="12"/>
  <c r="AT8" i="12"/>
  <c r="AQ8" i="12"/>
  <c r="AN8" i="12"/>
  <c r="AK8" i="12"/>
  <c r="AH8" i="12"/>
  <c r="AE8" i="12"/>
  <c r="AB8" i="12"/>
  <c r="Y8" i="12"/>
  <c r="V8" i="12"/>
  <c r="S8" i="12"/>
  <c r="P8" i="12"/>
  <c r="M8" i="12"/>
  <c r="J8" i="12"/>
  <c r="AW7" i="12"/>
  <c r="AT7" i="12"/>
  <c r="AQ7" i="12"/>
  <c r="AN7" i="12"/>
  <c r="AK7" i="12"/>
  <c r="AH7" i="12"/>
  <c r="AE7" i="12"/>
  <c r="AB7" i="12"/>
  <c r="Y7" i="12"/>
  <c r="V7" i="12"/>
  <c r="S7" i="12"/>
  <c r="P7" i="12"/>
  <c r="M7" i="12"/>
  <c r="J7" i="12"/>
  <c r="AW6" i="12"/>
  <c r="AT6" i="12"/>
  <c r="AQ6" i="12"/>
  <c r="AN6" i="12"/>
  <c r="AK6" i="12"/>
  <c r="AH6" i="12"/>
  <c r="AE6" i="12"/>
  <c r="AB6" i="12"/>
  <c r="Y6" i="12"/>
  <c r="V6" i="12"/>
  <c r="S6" i="12"/>
  <c r="P6" i="12"/>
  <c r="M6" i="12"/>
  <c r="J6" i="12"/>
  <c r="AW5" i="12"/>
  <c r="AT5" i="12"/>
  <c r="AQ5" i="12"/>
  <c r="AN5" i="12"/>
  <c r="AK5" i="12"/>
  <c r="AH5" i="12"/>
  <c r="AE5" i="12"/>
  <c r="AB5" i="12"/>
  <c r="Y5" i="12"/>
  <c r="V5" i="12"/>
  <c r="S5" i="12"/>
  <c r="P5" i="12"/>
  <c r="M5" i="12"/>
  <c r="J5" i="12"/>
  <c r="AW4" i="12"/>
  <c r="AT4" i="12"/>
  <c r="AX4" i="12" s="1"/>
  <c r="AQ4" i="12"/>
  <c r="AN4" i="12"/>
  <c r="AK4" i="12"/>
  <c r="AH4" i="12"/>
  <c r="AE4" i="12"/>
  <c r="AB4" i="12"/>
  <c r="Y4" i="12"/>
  <c r="V4" i="12"/>
  <c r="S4" i="12"/>
  <c r="P4" i="12"/>
  <c r="M4" i="12"/>
  <c r="J4" i="12"/>
  <c r="AW3" i="12"/>
  <c r="AT3" i="12"/>
  <c r="AQ3" i="12"/>
  <c r="AN3" i="12"/>
  <c r="AK3" i="12"/>
  <c r="AH3" i="12"/>
  <c r="AE3" i="12"/>
  <c r="AB3" i="12"/>
  <c r="Y3" i="12"/>
  <c r="V3" i="12"/>
  <c r="S3" i="12"/>
  <c r="P3" i="12"/>
  <c r="M3" i="12"/>
  <c r="J3" i="12"/>
  <c r="AH237" i="11"/>
  <c r="AW234" i="11"/>
  <c r="AT234" i="11"/>
  <c r="AQ234" i="11"/>
  <c r="AN234" i="11"/>
  <c r="AK234" i="11"/>
  <c r="AH234" i="11"/>
  <c r="AE234" i="11"/>
  <c r="W234" i="11"/>
  <c r="Y234" i="11" s="1"/>
  <c r="V234" i="11"/>
  <c r="S234" i="11"/>
  <c r="P234" i="11"/>
  <c r="M234" i="11"/>
  <c r="J234" i="11"/>
  <c r="AW233" i="11"/>
  <c r="AT233" i="11"/>
  <c r="AQ233" i="11"/>
  <c r="AN233" i="11"/>
  <c r="AK233" i="11"/>
  <c r="AH233" i="11"/>
  <c r="AE233" i="11"/>
  <c r="W233" i="11"/>
  <c r="Y233" i="11" s="1"/>
  <c r="V233" i="11"/>
  <c r="S233" i="11"/>
  <c r="P233" i="11"/>
  <c r="M233" i="11"/>
  <c r="J233" i="11"/>
  <c r="AW232" i="11"/>
  <c r="AT232" i="11"/>
  <c r="AQ232" i="11"/>
  <c r="AN232" i="11"/>
  <c r="AK232" i="11"/>
  <c r="AH232" i="11"/>
  <c r="AE232" i="11"/>
  <c r="Y232" i="11"/>
  <c r="W232" i="11"/>
  <c r="V232" i="11"/>
  <c r="S232" i="11"/>
  <c r="P232" i="11"/>
  <c r="M232" i="11"/>
  <c r="J232" i="11"/>
  <c r="AW231" i="11"/>
  <c r="AT231" i="11"/>
  <c r="AQ231" i="11"/>
  <c r="AN231" i="11"/>
  <c r="AK231" i="11"/>
  <c r="AH231" i="11"/>
  <c r="AE231" i="11"/>
  <c r="W231" i="11"/>
  <c r="Y231" i="11" s="1"/>
  <c r="V231" i="11"/>
  <c r="S231" i="11"/>
  <c r="P231" i="11"/>
  <c r="M231" i="11"/>
  <c r="J231" i="11"/>
  <c r="AW230" i="11"/>
  <c r="AT230" i="11"/>
  <c r="AQ230" i="11"/>
  <c r="AN230" i="11"/>
  <c r="AK230" i="11"/>
  <c r="AH230" i="11"/>
  <c r="AE230" i="11"/>
  <c r="Y230" i="11"/>
  <c r="W230" i="11"/>
  <c r="V230" i="11"/>
  <c r="S230" i="11"/>
  <c r="P230" i="11"/>
  <c r="M230" i="11"/>
  <c r="J230" i="11"/>
  <c r="AW229" i="11"/>
  <c r="AT229" i="11"/>
  <c r="AQ229" i="11"/>
  <c r="AN229" i="11"/>
  <c r="AK229" i="11"/>
  <c r="AH229" i="11"/>
  <c r="AE229" i="11"/>
  <c r="W229" i="11"/>
  <c r="Y229" i="11" s="1"/>
  <c r="V229" i="11"/>
  <c r="S229" i="11"/>
  <c r="P229" i="11"/>
  <c r="M229" i="11"/>
  <c r="J229" i="11"/>
  <c r="AW228" i="11"/>
  <c r="AT228" i="11"/>
  <c r="AQ228" i="11"/>
  <c r="AN228" i="11"/>
  <c r="AK228" i="11"/>
  <c r="AH228" i="11"/>
  <c r="AE228" i="11"/>
  <c r="W228" i="11"/>
  <c r="Y228" i="11" s="1"/>
  <c r="V228" i="11"/>
  <c r="S228" i="11"/>
  <c r="P228" i="11"/>
  <c r="M228" i="11"/>
  <c r="J228" i="11"/>
  <c r="AW227" i="11"/>
  <c r="AT227" i="11"/>
  <c r="AQ227" i="11"/>
  <c r="AN227" i="11"/>
  <c r="AK227" i="11"/>
  <c r="AH227" i="11"/>
  <c r="AE227" i="11"/>
  <c r="Y227" i="11"/>
  <c r="W227" i="11"/>
  <c r="V227" i="11"/>
  <c r="S227" i="11"/>
  <c r="P227" i="11"/>
  <c r="M227" i="11"/>
  <c r="J227" i="11"/>
  <c r="AW226" i="11"/>
  <c r="AT226" i="11"/>
  <c r="AQ226" i="11"/>
  <c r="AN226" i="11"/>
  <c r="AK226" i="11"/>
  <c r="AH226" i="11"/>
  <c r="AE226" i="11"/>
  <c r="W226" i="11"/>
  <c r="Y226" i="11" s="1"/>
  <c r="V226" i="11"/>
  <c r="S226" i="11"/>
  <c r="P226" i="11"/>
  <c r="M226" i="11"/>
  <c r="J226" i="11"/>
  <c r="AW225" i="11"/>
  <c r="AT225" i="11"/>
  <c r="AQ225" i="11"/>
  <c r="AN225" i="11"/>
  <c r="AK225" i="11"/>
  <c r="AH225" i="11"/>
  <c r="AE225" i="11"/>
  <c r="W225" i="11"/>
  <c r="Y225" i="11" s="1"/>
  <c r="V225" i="11"/>
  <c r="S225" i="11"/>
  <c r="P225" i="11"/>
  <c r="M225" i="11"/>
  <c r="J225" i="11"/>
  <c r="AW224" i="11"/>
  <c r="AT224" i="11"/>
  <c r="AQ224" i="11"/>
  <c r="AN224" i="11"/>
  <c r="AK224" i="11"/>
  <c r="AH224" i="11"/>
  <c r="AE224" i="11"/>
  <c r="Y224" i="11"/>
  <c r="W224" i="11"/>
  <c r="V224" i="11"/>
  <c r="S224" i="11"/>
  <c r="P224" i="11"/>
  <c r="M224" i="11"/>
  <c r="J224" i="11"/>
  <c r="AW223" i="11"/>
  <c r="AT223" i="11"/>
  <c r="AQ223" i="11"/>
  <c r="AN223" i="11"/>
  <c r="AK223" i="11"/>
  <c r="AH223" i="11"/>
  <c r="AE223" i="11"/>
  <c r="W223" i="11"/>
  <c r="Y223" i="11" s="1"/>
  <c r="T223" i="11"/>
  <c r="V223" i="11" s="1"/>
  <c r="S223" i="11"/>
  <c r="P223" i="11"/>
  <c r="M223" i="11"/>
  <c r="J223" i="11"/>
  <c r="AW222" i="11"/>
  <c r="AT222" i="11"/>
  <c r="AQ222" i="11"/>
  <c r="AN222" i="11"/>
  <c r="AK222" i="11"/>
  <c r="AH222" i="11"/>
  <c r="AE222" i="11"/>
  <c r="AB222" i="11"/>
  <c r="Y222" i="11"/>
  <c r="W222" i="11"/>
  <c r="V222" i="11"/>
  <c r="S222" i="11"/>
  <c r="P222" i="11"/>
  <c r="M222" i="11"/>
  <c r="J222" i="11"/>
  <c r="AW221" i="11"/>
  <c r="AT221" i="11"/>
  <c r="AQ221" i="11"/>
  <c r="AN221" i="11"/>
  <c r="AK221" i="11"/>
  <c r="AH221" i="11"/>
  <c r="AE221" i="11"/>
  <c r="Z221" i="11"/>
  <c r="AB221" i="11" s="1"/>
  <c r="W221" i="11"/>
  <c r="Y221" i="11" s="1"/>
  <c r="V221" i="11"/>
  <c r="S221" i="11"/>
  <c r="P221" i="11"/>
  <c r="M221" i="11"/>
  <c r="J221" i="11"/>
  <c r="AW220" i="11"/>
  <c r="AT220" i="11"/>
  <c r="AQ220" i="11"/>
  <c r="AN220" i="11"/>
  <c r="AK220" i="11"/>
  <c r="AH220" i="11"/>
  <c r="AE220" i="11"/>
  <c r="W220" i="11"/>
  <c r="Y220" i="11" s="1"/>
  <c r="V220" i="11"/>
  <c r="S220" i="11"/>
  <c r="P220" i="11"/>
  <c r="M220" i="11"/>
  <c r="J220" i="11"/>
  <c r="AW219" i="11"/>
  <c r="AT219" i="11"/>
  <c r="AQ219" i="11"/>
  <c r="AN219" i="11"/>
  <c r="AK219" i="11"/>
  <c r="AH219" i="11"/>
  <c r="AE219" i="11"/>
  <c r="Y219" i="11"/>
  <c r="W219" i="11"/>
  <c r="V219" i="11"/>
  <c r="S219" i="11"/>
  <c r="P219" i="11"/>
  <c r="M219" i="11"/>
  <c r="J219" i="11"/>
  <c r="AW218" i="11"/>
  <c r="AT218" i="11"/>
  <c r="AQ218" i="11"/>
  <c r="AN218" i="11"/>
  <c r="AK218" i="11"/>
  <c r="AH218" i="11"/>
  <c r="AE218" i="11"/>
  <c r="AB218" i="11"/>
  <c r="Y218" i="11"/>
  <c r="V218" i="11"/>
  <c r="S218" i="11"/>
  <c r="P218" i="11"/>
  <c r="M218" i="11"/>
  <c r="J218" i="11"/>
  <c r="AW217" i="11"/>
  <c r="AT217" i="11"/>
  <c r="AQ217" i="11"/>
  <c r="AN217" i="11"/>
  <c r="AK217" i="11"/>
  <c r="AH217" i="11"/>
  <c r="AE217" i="11"/>
  <c r="Y217" i="11"/>
  <c r="W217" i="11"/>
  <c r="Z217" i="11" s="1"/>
  <c r="AB217" i="11" s="1"/>
  <c r="V217" i="11"/>
  <c r="S217" i="11"/>
  <c r="P217" i="11"/>
  <c r="M217" i="11"/>
  <c r="J217" i="11"/>
  <c r="AW216" i="11"/>
  <c r="AT216" i="11"/>
  <c r="AQ216" i="11"/>
  <c r="AN216" i="11"/>
  <c r="AK216" i="11"/>
  <c r="AH216" i="11"/>
  <c r="AE216" i="11"/>
  <c r="W216" i="11"/>
  <c r="V216" i="11"/>
  <c r="S216" i="11"/>
  <c r="P216" i="11"/>
  <c r="M216" i="11"/>
  <c r="J216" i="11"/>
  <c r="AW215" i="11"/>
  <c r="AT215" i="11"/>
  <c r="AQ215" i="11"/>
  <c r="AN215" i="11"/>
  <c r="AK215" i="11"/>
  <c r="AH215" i="11"/>
  <c r="AE215" i="11"/>
  <c r="W215" i="11"/>
  <c r="V215" i="11"/>
  <c r="S215" i="11"/>
  <c r="P215" i="11"/>
  <c r="M215" i="11"/>
  <c r="J215" i="11"/>
  <c r="AW214" i="11"/>
  <c r="AT214" i="11"/>
  <c r="AQ214" i="11"/>
  <c r="AN214" i="11"/>
  <c r="AK214" i="11"/>
  <c r="AH214" i="11"/>
  <c r="AE214" i="11"/>
  <c r="AB214" i="11"/>
  <c r="Y214" i="11"/>
  <c r="V214" i="11"/>
  <c r="S214" i="11"/>
  <c r="P214" i="11"/>
  <c r="M214" i="11"/>
  <c r="J214" i="11"/>
  <c r="AW213" i="11"/>
  <c r="AT213" i="11"/>
  <c r="AQ213" i="11"/>
  <c r="AN213" i="11"/>
  <c r="AK213" i="11"/>
  <c r="AH213" i="11"/>
  <c r="AE213" i="11"/>
  <c r="AB213" i="11"/>
  <c r="Y213" i="11"/>
  <c r="V213" i="11"/>
  <c r="S213" i="11"/>
  <c r="P213" i="11"/>
  <c r="M213" i="11"/>
  <c r="J213" i="11"/>
  <c r="AW212" i="11"/>
  <c r="AT212" i="11"/>
  <c r="AQ212" i="11"/>
  <c r="AN212" i="11"/>
  <c r="AK212" i="11"/>
  <c r="AH212" i="11"/>
  <c r="AE212" i="11"/>
  <c r="AB212" i="11"/>
  <c r="Y212" i="11"/>
  <c r="V212" i="11"/>
  <c r="S212" i="11"/>
  <c r="P212" i="11"/>
  <c r="M212" i="11"/>
  <c r="J212" i="11"/>
  <c r="AW211" i="11"/>
  <c r="AT211" i="11"/>
  <c r="AQ211" i="11"/>
  <c r="AN211" i="11"/>
  <c r="AK211" i="11"/>
  <c r="AH211" i="11"/>
  <c r="AE211" i="11"/>
  <c r="AB211" i="11"/>
  <c r="Y211" i="11"/>
  <c r="V211" i="11"/>
  <c r="S211" i="11"/>
  <c r="P211" i="11"/>
  <c r="M211" i="11"/>
  <c r="J211" i="11"/>
  <c r="AW210" i="11"/>
  <c r="AT210" i="11"/>
  <c r="AQ210" i="11"/>
  <c r="AN210" i="11"/>
  <c r="AK210" i="11"/>
  <c r="AH210" i="11"/>
  <c r="AE210" i="11"/>
  <c r="AB210" i="11"/>
  <c r="Y210" i="11"/>
  <c r="V210" i="11"/>
  <c r="S210" i="11"/>
  <c r="P210" i="11"/>
  <c r="M210" i="11"/>
  <c r="J210" i="11"/>
  <c r="AW209" i="11"/>
  <c r="AT209" i="11"/>
  <c r="AQ209" i="11"/>
  <c r="AN209" i="11"/>
  <c r="AK209" i="11"/>
  <c r="AH209" i="11"/>
  <c r="AE209" i="11"/>
  <c r="AB209" i="11"/>
  <c r="Y209" i="11"/>
  <c r="V209" i="11"/>
  <c r="S209" i="11"/>
  <c r="P209" i="11"/>
  <c r="M209" i="11"/>
  <c r="J209" i="11"/>
  <c r="AW208" i="11"/>
  <c r="AT208" i="11"/>
  <c r="AQ208" i="11"/>
  <c r="AN208" i="11"/>
  <c r="AK208" i="11"/>
  <c r="AH208" i="11"/>
  <c r="AE208" i="11"/>
  <c r="AB208" i="11"/>
  <c r="Y208" i="11"/>
  <c r="V208" i="11"/>
  <c r="S208" i="11"/>
  <c r="P208" i="11"/>
  <c r="M208" i="11"/>
  <c r="J208" i="11"/>
  <c r="AW207" i="11"/>
  <c r="AT207" i="11"/>
  <c r="AQ207" i="11"/>
  <c r="AN207" i="11"/>
  <c r="AK207" i="11"/>
  <c r="AH207" i="11"/>
  <c r="AX207" i="11" s="1"/>
  <c r="AE207" i="11"/>
  <c r="AB207" i="11"/>
  <c r="Y207" i="11"/>
  <c r="V207" i="11"/>
  <c r="S207" i="11"/>
  <c r="P207" i="11"/>
  <c r="M207" i="11"/>
  <c r="J207" i="11"/>
  <c r="AW206" i="11"/>
  <c r="AT206" i="11"/>
  <c r="AQ206" i="11"/>
  <c r="AN206" i="11"/>
  <c r="AK206" i="11"/>
  <c r="AH206" i="11"/>
  <c r="AE206" i="11"/>
  <c r="AB206" i="11"/>
  <c r="Y206" i="11"/>
  <c r="V206" i="11"/>
  <c r="S206" i="11"/>
  <c r="P206" i="11"/>
  <c r="M206" i="11"/>
  <c r="J206" i="11"/>
  <c r="AW205" i="11"/>
  <c r="AT205" i="11"/>
  <c r="AQ205" i="11"/>
  <c r="AX205" i="11" s="1"/>
  <c r="AN205" i="11"/>
  <c r="AK205" i="11"/>
  <c r="AH205" i="11"/>
  <c r="AE205" i="11"/>
  <c r="AB205" i="11"/>
  <c r="Y205" i="11"/>
  <c r="V205" i="11"/>
  <c r="S205" i="11"/>
  <c r="P205" i="11"/>
  <c r="M205" i="11"/>
  <c r="J205" i="11"/>
  <c r="AW204" i="11"/>
  <c r="AT204" i="11"/>
  <c r="AQ204" i="11"/>
  <c r="AN204" i="11"/>
  <c r="AK204" i="11"/>
  <c r="AH204" i="11"/>
  <c r="AE204" i="11"/>
  <c r="AB204" i="11"/>
  <c r="Y204" i="11"/>
  <c r="V204" i="11"/>
  <c r="S204" i="11"/>
  <c r="P204" i="11"/>
  <c r="M204" i="11"/>
  <c r="J204" i="11"/>
  <c r="AW203" i="11"/>
  <c r="AT203" i="11"/>
  <c r="AQ203" i="11"/>
  <c r="AN203" i="11"/>
  <c r="AK203" i="11"/>
  <c r="AH203" i="11"/>
  <c r="AE203" i="11"/>
  <c r="AB203" i="11"/>
  <c r="Y203" i="11"/>
  <c r="V203" i="11"/>
  <c r="S203" i="11"/>
  <c r="P203" i="11"/>
  <c r="M203" i="11"/>
  <c r="J203" i="11"/>
  <c r="AW202" i="11"/>
  <c r="AT202" i="11"/>
  <c r="AQ202" i="11"/>
  <c r="AN202" i="11"/>
  <c r="AK202" i="11"/>
  <c r="AH202" i="11"/>
  <c r="AX202" i="11" s="1"/>
  <c r="AE202" i="11"/>
  <c r="AB202" i="11"/>
  <c r="Y202" i="11"/>
  <c r="V202" i="11"/>
  <c r="S202" i="11"/>
  <c r="P202" i="11"/>
  <c r="M202" i="11"/>
  <c r="J202" i="11"/>
  <c r="AW201" i="11"/>
  <c r="AT201" i="11"/>
  <c r="AQ201" i="11"/>
  <c r="AN201" i="11"/>
  <c r="AK201" i="11"/>
  <c r="AH201" i="11"/>
  <c r="AE201" i="11"/>
  <c r="AB201" i="11"/>
  <c r="Y201" i="11"/>
  <c r="V201" i="11"/>
  <c r="S201" i="11"/>
  <c r="P201" i="11"/>
  <c r="M201" i="11"/>
  <c r="J201" i="11"/>
  <c r="AW200" i="11"/>
  <c r="AT200" i="11"/>
  <c r="AQ200" i="11"/>
  <c r="AN200" i="11"/>
  <c r="AK200" i="11"/>
  <c r="AX200" i="11" s="1"/>
  <c r="AH200" i="11"/>
  <c r="AE200" i="11"/>
  <c r="AB200" i="11"/>
  <c r="Y200" i="11"/>
  <c r="V200" i="11"/>
  <c r="S200" i="11"/>
  <c r="P200" i="11"/>
  <c r="M200" i="11"/>
  <c r="J200" i="11"/>
  <c r="AW199" i="11"/>
  <c r="AT199" i="11"/>
  <c r="AQ199" i="11"/>
  <c r="AX199" i="11" s="1"/>
  <c r="AN199" i="11"/>
  <c r="AK199" i="11"/>
  <c r="AH199" i="11"/>
  <c r="AE199" i="11"/>
  <c r="AB199" i="11"/>
  <c r="Y199" i="11"/>
  <c r="V199" i="11"/>
  <c r="S199" i="11"/>
  <c r="P199" i="11"/>
  <c r="M199" i="11"/>
  <c r="J199" i="11"/>
  <c r="AW198" i="11"/>
  <c r="AT198" i="11"/>
  <c r="AQ198" i="11"/>
  <c r="AN198" i="11"/>
  <c r="AK198" i="11"/>
  <c r="AH198" i="11"/>
  <c r="AE198" i="11"/>
  <c r="AB198" i="11"/>
  <c r="Y198" i="11"/>
  <c r="V198" i="11"/>
  <c r="S198" i="11"/>
  <c r="P198" i="11"/>
  <c r="M198" i="11"/>
  <c r="J198" i="11"/>
  <c r="AW197" i="11"/>
  <c r="AT197" i="11"/>
  <c r="AQ197" i="11"/>
  <c r="AN197" i="11"/>
  <c r="AK197" i="11"/>
  <c r="AH197" i="11"/>
  <c r="AE197" i="11"/>
  <c r="AB197" i="11"/>
  <c r="Y197" i="11"/>
  <c r="V197" i="11"/>
  <c r="S197" i="11"/>
  <c r="P197" i="11"/>
  <c r="M197" i="11"/>
  <c r="J197" i="11"/>
  <c r="AW196" i="11"/>
  <c r="AT196" i="11"/>
  <c r="AQ196" i="11"/>
  <c r="AN196" i="11"/>
  <c r="AK196" i="11"/>
  <c r="AH196" i="11"/>
  <c r="AE196" i="11"/>
  <c r="AB196" i="11"/>
  <c r="Y196" i="11"/>
  <c r="V196" i="11"/>
  <c r="S196" i="11"/>
  <c r="P196" i="11"/>
  <c r="M196" i="11"/>
  <c r="J196" i="11"/>
  <c r="AW195" i="11"/>
  <c r="AT195" i="11"/>
  <c r="AQ195" i="11"/>
  <c r="AN195" i="11"/>
  <c r="AK195" i="11"/>
  <c r="AH195" i="11"/>
  <c r="AE195" i="11"/>
  <c r="AB195" i="11"/>
  <c r="Y195" i="11"/>
  <c r="V195" i="11"/>
  <c r="S195" i="11"/>
  <c r="P195" i="11"/>
  <c r="M195" i="11"/>
  <c r="J195" i="11"/>
  <c r="AW194" i="11"/>
  <c r="AT194" i="11"/>
  <c r="AQ194" i="11"/>
  <c r="AN194" i="11"/>
  <c r="AK194" i="11"/>
  <c r="AH194" i="11"/>
  <c r="AE194" i="11"/>
  <c r="AB194" i="11"/>
  <c r="Y194" i="11"/>
  <c r="V194" i="11"/>
  <c r="S194" i="11"/>
  <c r="P194" i="11"/>
  <c r="M194" i="11"/>
  <c r="J194" i="11"/>
  <c r="AW193" i="11"/>
  <c r="AT193" i="11"/>
  <c r="AQ193" i="11"/>
  <c r="AN193" i="11"/>
  <c r="AK193" i="11"/>
  <c r="AH193" i="11"/>
  <c r="AE193" i="11"/>
  <c r="AB193" i="11"/>
  <c r="Y193" i="11"/>
  <c r="V193" i="11"/>
  <c r="S193" i="11"/>
  <c r="P193" i="11"/>
  <c r="M193" i="11"/>
  <c r="J193" i="11"/>
  <c r="AW192" i="11"/>
  <c r="AT192" i="11"/>
  <c r="AQ192" i="11"/>
  <c r="AN192" i="11"/>
  <c r="AK192" i="11"/>
  <c r="AH192" i="11"/>
  <c r="AE192" i="11"/>
  <c r="AB192" i="11"/>
  <c r="Y192" i="11"/>
  <c r="V192" i="11"/>
  <c r="S192" i="11"/>
  <c r="P192" i="11"/>
  <c r="M192" i="11"/>
  <c r="J192" i="11"/>
  <c r="AW191" i="11"/>
  <c r="AT191" i="11"/>
  <c r="AQ191" i="11"/>
  <c r="AN191" i="11"/>
  <c r="AK191" i="11"/>
  <c r="AH191" i="11"/>
  <c r="AX191" i="11" s="1"/>
  <c r="AE191" i="11"/>
  <c r="AB191" i="11"/>
  <c r="Y191" i="11"/>
  <c r="V191" i="11"/>
  <c r="S191" i="11"/>
  <c r="P191" i="11"/>
  <c r="M191" i="11"/>
  <c r="J191" i="11"/>
  <c r="AW190" i="11"/>
  <c r="AT190" i="11"/>
  <c r="AQ190" i="11"/>
  <c r="AN190" i="11"/>
  <c r="AK190" i="11"/>
  <c r="AH190" i="11"/>
  <c r="AE190" i="11"/>
  <c r="AB190" i="11"/>
  <c r="Y190" i="11"/>
  <c r="V190" i="11"/>
  <c r="S190" i="11"/>
  <c r="P190" i="11"/>
  <c r="M190" i="11"/>
  <c r="J190" i="11"/>
  <c r="AW189" i="11"/>
  <c r="AT189" i="11"/>
  <c r="AQ189" i="11"/>
  <c r="AX189" i="11" s="1"/>
  <c r="AN189" i="11"/>
  <c r="AK189" i="11"/>
  <c r="AH189" i="11"/>
  <c r="AE189" i="11"/>
  <c r="AB189" i="11"/>
  <c r="Y189" i="11"/>
  <c r="V189" i="11"/>
  <c r="S189" i="11"/>
  <c r="P189" i="11"/>
  <c r="M189" i="11"/>
  <c r="J189" i="11"/>
  <c r="AW188" i="11"/>
  <c r="AT188" i="11"/>
  <c r="AQ188" i="11"/>
  <c r="AN188" i="11"/>
  <c r="AK188" i="11"/>
  <c r="AH188" i="11"/>
  <c r="AE188" i="11"/>
  <c r="AB188" i="11"/>
  <c r="Y188" i="11"/>
  <c r="V188" i="11"/>
  <c r="S188" i="11"/>
  <c r="P188" i="11"/>
  <c r="M188" i="11"/>
  <c r="J188" i="11"/>
  <c r="AW187" i="11"/>
  <c r="AT187" i="11"/>
  <c r="AQ187" i="11"/>
  <c r="AN187" i="11"/>
  <c r="AK187" i="11"/>
  <c r="AH187" i="11"/>
  <c r="AE187" i="11"/>
  <c r="AB187" i="11"/>
  <c r="Y187" i="11"/>
  <c r="V187" i="11"/>
  <c r="S187" i="11"/>
  <c r="P187" i="11"/>
  <c r="M187" i="11"/>
  <c r="J187" i="11"/>
  <c r="AW186" i="11"/>
  <c r="AT186" i="11"/>
  <c r="AQ186" i="11"/>
  <c r="AN186" i="11"/>
  <c r="AK186" i="11"/>
  <c r="AH186" i="11"/>
  <c r="AX186" i="11" s="1"/>
  <c r="AE186" i="11"/>
  <c r="AB186" i="11"/>
  <c r="Y186" i="11"/>
  <c r="V186" i="11"/>
  <c r="S186" i="11"/>
  <c r="P186" i="11"/>
  <c r="M186" i="11"/>
  <c r="J186" i="11"/>
  <c r="AW185" i="11"/>
  <c r="AT185" i="11"/>
  <c r="AQ185" i="11"/>
  <c r="AN185" i="11"/>
  <c r="AK185" i="11"/>
  <c r="AH185" i="11"/>
  <c r="AE185" i="11"/>
  <c r="AB185" i="11"/>
  <c r="Y185" i="11"/>
  <c r="V185" i="11"/>
  <c r="S185" i="11"/>
  <c r="P185" i="11"/>
  <c r="M185" i="11"/>
  <c r="J185" i="11"/>
  <c r="AW184" i="11"/>
  <c r="AT184" i="11"/>
  <c r="AQ184" i="11"/>
  <c r="AN184" i="11"/>
  <c r="AK184" i="11"/>
  <c r="AX184" i="11" s="1"/>
  <c r="AH184" i="11"/>
  <c r="AE184" i="11"/>
  <c r="AB184" i="11"/>
  <c r="Y184" i="11"/>
  <c r="V184" i="11"/>
  <c r="S184" i="11"/>
  <c r="P184" i="11"/>
  <c r="M184" i="11"/>
  <c r="J184" i="11"/>
  <c r="AW183" i="11"/>
  <c r="AT183" i="11"/>
  <c r="AQ183" i="11"/>
  <c r="AX183" i="11" s="1"/>
  <c r="AN183" i="11"/>
  <c r="AK183" i="11"/>
  <c r="AH183" i="11"/>
  <c r="AE183" i="11"/>
  <c r="AB183" i="11"/>
  <c r="Y183" i="11"/>
  <c r="V183" i="11"/>
  <c r="S183" i="11"/>
  <c r="P183" i="11"/>
  <c r="M183" i="11"/>
  <c r="J183" i="11"/>
  <c r="AW182" i="11"/>
  <c r="AT182" i="11"/>
  <c r="AQ182" i="11"/>
  <c r="AN182" i="11"/>
  <c r="AK182" i="11"/>
  <c r="AH182" i="11"/>
  <c r="AE182" i="11"/>
  <c r="AB182" i="11"/>
  <c r="Y182" i="11"/>
  <c r="V182" i="11"/>
  <c r="S182" i="11"/>
  <c r="P182" i="11"/>
  <c r="M182" i="11"/>
  <c r="J182" i="11"/>
  <c r="AW181" i="11"/>
  <c r="AT181" i="11"/>
  <c r="AQ181" i="11"/>
  <c r="AN181" i="11"/>
  <c r="AK181" i="11"/>
  <c r="AH181" i="11"/>
  <c r="AE181" i="11"/>
  <c r="AB181" i="11"/>
  <c r="AX181" i="11" s="1"/>
  <c r="Y181" i="11"/>
  <c r="V181" i="11"/>
  <c r="S181" i="11"/>
  <c r="P181" i="11"/>
  <c r="M181" i="11"/>
  <c r="J181" i="11"/>
  <c r="AW180" i="11"/>
  <c r="AT180" i="11"/>
  <c r="AQ180" i="11"/>
  <c r="AN180" i="11"/>
  <c r="AK180" i="11"/>
  <c r="AH180" i="11"/>
  <c r="AE180" i="11"/>
  <c r="AB180" i="11"/>
  <c r="Y180" i="11"/>
  <c r="V180" i="11"/>
  <c r="S180" i="11"/>
  <c r="P180" i="11"/>
  <c r="M180" i="11"/>
  <c r="J180" i="11"/>
  <c r="AW179" i="11"/>
  <c r="AT179" i="11"/>
  <c r="AQ179" i="11"/>
  <c r="AN179" i="11"/>
  <c r="AK179" i="11"/>
  <c r="AH179" i="11"/>
  <c r="AB179" i="11"/>
  <c r="Y179" i="11"/>
  <c r="V179" i="11"/>
  <c r="S179" i="11"/>
  <c r="P179" i="11"/>
  <c r="M179" i="11"/>
  <c r="J179" i="11"/>
  <c r="AW178" i="11"/>
  <c r="AT178" i="11"/>
  <c r="AQ178" i="11"/>
  <c r="AN178" i="11"/>
  <c r="AK178" i="11"/>
  <c r="AH178" i="11"/>
  <c r="AE178" i="11"/>
  <c r="AB178" i="11"/>
  <c r="Y178" i="11"/>
  <c r="V178" i="11"/>
  <c r="S178" i="11"/>
  <c r="P178" i="11"/>
  <c r="M178" i="11"/>
  <c r="J178" i="11"/>
  <c r="AW177" i="11"/>
  <c r="AT177" i="11"/>
  <c r="AQ177" i="11"/>
  <c r="AN177" i="11"/>
  <c r="AK177" i="11"/>
  <c r="AH177" i="11"/>
  <c r="AX177" i="11" s="1"/>
  <c r="AE177" i="11"/>
  <c r="AB177" i="11"/>
  <c r="Y177" i="11"/>
  <c r="V177" i="11"/>
  <c r="S177" i="11"/>
  <c r="P177" i="11"/>
  <c r="M177" i="11"/>
  <c r="J177" i="11"/>
  <c r="AW176" i="11"/>
  <c r="AT176" i="11"/>
  <c r="AQ176" i="11"/>
  <c r="AN176" i="11"/>
  <c r="AK176" i="11"/>
  <c r="AH176" i="11"/>
  <c r="AE176" i="11"/>
  <c r="AB176" i="11"/>
  <c r="Y176" i="11"/>
  <c r="V176" i="11"/>
  <c r="S176" i="11"/>
  <c r="P176" i="11"/>
  <c r="M176" i="11"/>
  <c r="J176" i="11"/>
  <c r="AW175" i="11"/>
  <c r="AT175" i="11"/>
  <c r="AX175" i="11" s="1"/>
  <c r="AQ175" i="11"/>
  <c r="AN175" i="11"/>
  <c r="AK175" i="11"/>
  <c r="AH175" i="11"/>
  <c r="AE175" i="11"/>
  <c r="AB175" i="11"/>
  <c r="Y175" i="11"/>
  <c r="V175" i="11"/>
  <c r="S175" i="11"/>
  <c r="P175" i="11"/>
  <c r="M175" i="11"/>
  <c r="J175" i="11"/>
  <c r="AW174" i="11"/>
  <c r="AT174" i="11"/>
  <c r="AQ174" i="11"/>
  <c r="AN174" i="11"/>
  <c r="AK174" i="11"/>
  <c r="AH174" i="11"/>
  <c r="AE174" i="11"/>
  <c r="AB174" i="11"/>
  <c r="Y174" i="11"/>
  <c r="V174" i="11"/>
  <c r="S174" i="11"/>
  <c r="P174" i="11"/>
  <c r="M174" i="11"/>
  <c r="J174" i="11"/>
  <c r="AW173" i="11"/>
  <c r="AT173" i="11"/>
  <c r="AQ173" i="11"/>
  <c r="AN173" i="11"/>
  <c r="AK173" i="11"/>
  <c r="AH173" i="11"/>
  <c r="AE173" i="11"/>
  <c r="AB173" i="11"/>
  <c r="Y173" i="11"/>
  <c r="V173" i="11"/>
  <c r="S173" i="11"/>
  <c r="P173" i="11"/>
  <c r="M173" i="11"/>
  <c r="J173" i="11"/>
  <c r="AW172" i="11"/>
  <c r="AT172" i="11"/>
  <c r="AQ172" i="11"/>
  <c r="AN172" i="11"/>
  <c r="AK172" i="11"/>
  <c r="AH172" i="11"/>
  <c r="AE172" i="11"/>
  <c r="AB172" i="11"/>
  <c r="Y172" i="11"/>
  <c r="V172" i="11"/>
  <c r="S172" i="11"/>
  <c r="P172" i="11"/>
  <c r="M172" i="11"/>
  <c r="J172" i="11"/>
  <c r="AW171" i="11"/>
  <c r="AT171" i="11"/>
  <c r="AQ171" i="11"/>
  <c r="AN171" i="11"/>
  <c r="AX171" i="11" s="1"/>
  <c r="AK171" i="11"/>
  <c r="AH171" i="11"/>
  <c r="AE171" i="11"/>
  <c r="AB171" i="11"/>
  <c r="Y171" i="11"/>
  <c r="V171" i="11"/>
  <c r="S171" i="11"/>
  <c r="P171" i="11"/>
  <c r="M171" i="11"/>
  <c r="J171" i="11"/>
  <c r="AW170" i="11"/>
  <c r="AT170" i="11"/>
  <c r="AQ170" i="11"/>
  <c r="AN170" i="11"/>
  <c r="AK170" i="11"/>
  <c r="AH170" i="11"/>
  <c r="AE170" i="11"/>
  <c r="AB170" i="11"/>
  <c r="Y170" i="11"/>
  <c r="V170" i="11"/>
  <c r="S170" i="11"/>
  <c r="P170" i="11"/>
  <c r="M170" i="11"/>
  <c r="J170" i="11"/>
  <c r="AW169" i="11"/>
  <c r="AT169" i="11"/>
  <c r="AQ169" i="11"/>
  <c r="AN169" i="11"/>
  <c r="AK169" i="11"/>
  <c r="AH169" i="11"/>
  <c r="AE169" i="11"/>
  <c r="AB169" i="11"/>
  <c r="Y169" i="11"/>
  <c r="V169" i="11"/>
  <c r="S169" i="11"/>
  <c r="P169" i="11"/>
  <c r="M169" i="11"/>
  <c r="J169" i="11"/>
  <c r="AW168" i="11"/>
  <c r="AT168" i="11"/>
  <c r="AQ168" i="11"/>
  <c r="AN168" i="11"/>
  <c r="AK168" i="11"/>
  <c r="AH168" i="11"/>
  <c r="AE168" i="11"/>
  <c r="AX168" i="11" s="1"/>
  <c r="AB168" i="11"/>
  <c r="Y168" i="11"/>
  <c r="V168" i="11"/>
  <c r="S168" i="11"/>
  <c r="P168" i="11"/>
  <c r="M168" i="11"/>
  <c r="J168" i="11"/>
  <c r="AW167" i="11"/>
  <c r="AT167" i="11"/>
  <c r="AQ167" i="11"/>
  <c r="AN167" i="11"/>
  <c r="AK167" i="11"/>
  <c r="AH167" i="11"/>
  <c r="AE167" i="11"/>
  <c r="AB167" i="11"/>
  <c r="AX167" i="11" s="1"/>
  <c r="Y167" i="11"/>
  <c r="V167" i="11"/>
  <c r="S167" i="11"/>
  <c r="P167" i="11"/>
  <c r="M167" i="11"/>
  <c r="J167" i="11"/>
  <c r="AW166" i="11"/>
  <c r="AT166" i="11"/>
  <c r="AQ166" i="11"/>
  <c r="AN166" i="11"/>
  <c r="AK166" i="11"/>
  <c r="AH166" i="11"/>
  <c r="AE166" i="11"/>
  <c r="AB166" i="11"/>
  <c r="Y166" i="11"/>
  <c r="V166" i="11"/>
  <c r="S166" i="11"/>
  <c r="P166" i="11"/>
  <c r="M166" i="11"/>
  <c r="J166" i="11"/>
  <c r="AW165" i="11"/>
  <c r="AT165" i="11"/>
  <c r="AQ165" i="11"/>
  <c r="AN165" i="11"/>
  <c r="AK165" i="11"/>
  <c r="AH165" i="11"/>
  <c r="AE165" i="11"/>
  <c r="AB165" i="11"/>
  <c r="Y165" i="11"/>
  <c r="V165" i="11"/>
  <c r="S165" i="11"/>
  <c r="P165" i="11"/>
  <c r="M165" i="11"/>
  <c r="J165" i="11"/>
  <c r="AW164" i="11"/>
  <c r="AT164" i="11"/>
  <c r="AQ164" i="11"/>
  <c r="AN164" i="11"/>
  <c r="AK164" i="11"/>
  <c r="AH164" i="11"/>
  <c r="AE164" i="11"/>
  <c r="AB164" i="11"/>
  <c r="Y164" i="11"/>
  <c r="V164" i="11"/>
  <c r="S164" i="11"/>
  <c r="P164" i="11"/>
  <c r="M164" i="11"/>
  <c r="J164" i="11"/>
  <c r="AW163" i="11"/>
  <c r="AT163" i="11"/>
  <c r="AQ163" i="11"/>
  <c r="AN163" i="11"/>
  <c r="AK163" i="11"/>
  <c r="AH163" i="11"/>
  <c r="AE163" i="11"/>
  <c r="AB163" i="11"/>
  <c r="Y163" i="11"/>
  <c r="V163" i="11"/>
  <c r="S163" i="11"/>
  <c r="P163" i="11"/>
  <c r="M163" i="11"/>
  <c r="J163" i="11"/>
  <c r="AW162" i="11"/>
  <c r="AT162" i="11"/>
  <c r="AQ162" i="11"/>
  <c r="AN162" i="11"/>
  <c r="AK162" i="11"/>
  <c r="AH162" i="11"/>
  <c r="AE162" i="11"/>
  <c r="AB162" i="11"/>
  <c r="Y162" i="11"/>
  <c r="V162" i="11"/>
  <c r="S162" i="11"/>
  <c r="P162" i="11"/>
  <c r="M162" i="11"/>
  <c r="J162" i="11"/>
  <c r="AW161" i="11"/>
  <c r="AT161" i="11"/>
  <c r="AQ161" i="11"/>
  <c r="AN161" i="11"/>
  <c r="AK161" i="11"/>
  <c r="AH161" i="11"/>
  <c r="AE161" i="11"/>
  <c r="AB161" i="11"/>
  <c r="Y161" i="11"/>
  <c r="V161" i="11"/>
  <c r="S161" i="11"/>
  <c r="P161" i="11"/>
  <c r="M161" i="11"/>
  <c r="J161" i="11"/>
  <c r="AW160" i="11"/>
  <c r="AT160" i="11"/>
  <c r="AQ160" i="11"/>
  <c r="AN160" i="11"/>
  <c r="AK160" i="11"/>
  <c r="AH160" i="11"/>
  <c r="AE160" i="11"/>
  <c r="AB160" i="11"/>
  <c r="Y160" i="11"/>
  <c r="V160" i="11"/>
  <c r="S160" i="11"/>
  <c r="P160" i="11"/>
  <c r="M160" i="11"/>
  <c r="J160" i="11"/>
  <c r="AW159" i="11"/>
  <c r="AT159" i="11"/>
  <c r="AQ159" i="11"/>
  <c r="AN159" i="11"/>
  <c r="AK159" i="11"/>
  <c r="AH159" i="11"/>
  <c r="AE159" i="11"/>
  <c r="AB159" i="11"/>
  <c r="AX159" i="11" s="1"/>
  <c r="Y159" i="11"/>
  <c r="V159" i="11"/>
  <c r="S159" i="11"/>
  <c r="P159" i="11"/>
  <c r="M159" i="11"/>
  <c r="J159" i="11"/>
  <c r="AW158" i="11"/>
  <c r="AT158" i="11"/>
  <c r="AQ158" i="11"/>
  <c r="AN158" i="11"/>
  <c r="AK158" i="11"/>
  <c r="AH158" i="11"/>
  <c r="AE158" i="11"/>
  <c r="AB158" i="11"/>
  <c r="Y158" i="11"/>
  <c r="V158" i="11"/>
  <c r="S158" i="11"/>
  <c r="P158" i="11"/>
  <c r="M158" i="11"/>
  <c r="J158" i="11"/>
  <c r="AW157" i="11"/>
  <c r="AT157" i="11"/>
  <c r="AQ157" i="11"/>
  <c r="AN157" i="11"/>
  <c r="AK157" i="11"/>
  <c r="AH157" i="11"/>
  <c r="AE157" i="11"/>
  <c r="AB157" i="11"/>
  <c r="Y157" i="11"/>
  <c r="V157" i="11"/>
  <c r="S157" i="11"/>
  <c r="P157" i="11"/>
  <c r="M157" i="11"/>
  <c r="J157" i="11"/>
  <c r="AW156" i="11"/>
  <c r="AT156" i="11"/>
  <c r="AQ156" i="11"/>
  <c r="AN156" i="11"/>
  <c r="AK156" i="11"/>
  <c r="AH156" i="11"/>
  <c r="AE156" i="11"/>
  <c r="AB156" i="11"/>
  <c r="Y156" i="11"/>
  <c r="V156" i="11"/>
  <c r="S156" i="11"/>
  <c r="P156" i="11"/>
  <c r="M156" i="11"/>
  <c r="J156" i="11"/>
  <c r="AW155" i="11"/>
  <c r="AT155" i="11"/>
  <c r="AQ155" i="11"/>
  <c r="AX155" i="11" s="1"/>
  <c r="AN155" i="11"/>
  <c r="AK155" i="11"/>
  <c r="AH155" i="11"/>
  <c r="AE155" i="11"/>
  <c r="AB155" i="11"/>
  <c r="Y155" i="11"/>
  <c r="V155" i="11"/>
  <c r="S155" i="11"/>
  <c r="P155" i="11"/>
  <c r="M155" i="11"/>
  <c r="J155" i="11"/>
  <c r="AW154" i="11"/>
  <c r="AT154" i="11"/>
  <c r="AQ154" i="11"/>
  <c r="AN154" i="11"/>
  <c r="AK154" i="11"/>
  <c r="AH154" i="11"/>
  <c r="AE154" i="11"/>
  <c r="AB154" i="11"/>
  <c r="Y154" i="11"/>
  <c r="V154" i="11"/>
  <c r="S154" i="11"/>
  <c r="P154" i="11"/>
  <c r="M154" i="11"/>
  <c r="J154" i="11"/>
  <c r="AW153" i="11"/>
  <c r="AT153" i="11"/>
  <c r="AQ153" i="11"/>
  <c r="AN153" i="11"/>
  <c r="AK153" i="11"/>
  <c r="AH153" i="11"/>
  <c r="AE153" i="11"/>
  <c r="AB153" i="11"/>
  <c r="Y153" i="11"/>
  <c r="V153" i="11"/>
  <c r="S153" i="11"/>
  <c r="P153" i="11"/>
  <c r="M153" i="11"/>
  <c r="J153" i="11"/>
  <c r="AW152" i="11"/>
  <c r="AT152" i="11"/>
  <c r="AQ152" i="11"/>
  <c r="AN152" i="11"/>
  <c r="AK152" i="11"/>
  <c r="AH152" i="11"/>
  <c r="AX152" i="11" s="1"/>
  <c r="AE152" i="11"/>
  <c r="AB152" i="11"/>
  <c r="Y152" i="11"/>
  <c r="V152" i="11"/>
  <c r="S152" i="11"/>
  <c r="P152" i="11"/>
  <c r="M152" i="11"/>
  <c r="J152" i="11"/>
  <c r="AW151" i="11"/>
  <c r="AT151" i="11"/>
  <c r="AQ151" i="11"/>
  <c r="AN151" i="11"/>
  <c r="AK151" i="11"/>
  <c r="AH151" i="11"/>
  <c r="AE151" i="11"/>
  <c r="AB151" i="11"/>
  <c r="Y151" i="11"/>
  <c r="V151" i="11"/>
  <c r="S151" i="11"/>
  <c r="P151" i="11"/>
  <c r="M151" i="11"/>
  <c r="J151" i="11"/>
  <c r="AW150" i="11"/>
  <c r="AT150" i="11"/>
  <c r="AX150" i="11" s="1"/>
  <c r="AQ150" i="11"/>
  <c r="AN150" i="11"/>
  <c r="AK150" i="11"/>
  <c r="AH150" i="11"/>
  <c r="AE150" i="11"/>
  <c r="AB150" i="11"/>
  <c r="Y150" i="11"/>
  <c r="V150" i="11"/>
  <c r="S150" i="11"/>
  <c r="P150" i="11"/>
  <c r="M150" i="11"/>
  <c r="J150" i="11"/>
  <c r="AW149" i="11"/>
  <c r="AT149" i="11"/>
  <c r="AQ149" i="11"/>
  <c r="AN149" i="11"/>
  <c r="AK149" i="11"/>
  <c r="AH149" i="11"/>
  <c r="AE149" i="11"/>
  <c r="AB149" i="11"/>
  <c r="Y149" i="11"/>
  <c r="V149" i="11"/>
  <c r="S149" i="11"/>
  <c r="P149" i="11"/>
  <c r="M149" i="11"/>
  <c r="J149" i="11"/>
  <c r="AW148" i="11"/>
  <c r="AT148" i="11"/>
  <c r="AQ148" i="11"/>
  <c r="AN148" i="11"/>
  <c r="AK148" i="11"/>
  <c r="AH148" i="11"/>
  <c r="AE148" i="11"/>
  <c r="AB148" i="11"/>
  <c r="Y148" i="11"/>
  <c r="V148" i="11"/>
  <c r="S148" i="11"/>
  <c r="P148" i="11"/>
  <c r="M148" i="11"/>
  <c r="J148" i="11"/>
  <c r="AW147" i="11"/>
  <c r="AT147" i="11"/>
  <c r="AQ147" i="11"/>
  <c r="AN147" i="11"/>
  <c r="AK147" i="11"/>
  <c r="AH147" i="11"/>
  <c r="AE147" i="11"/>
  <c r="AB147" i="11"/>
  <c r="Y147" i="11"/>
  <c r="V147" i="11"/>
  <c r="S147" i="11"/>
  <c r="P147" i="11"/>
  <c r="M147" i="11"/>
  <c r="J147" i="11"/>
  <c r="AW146" i="11"/>
  <c r="AT146" i="11"/>
  <c r="AQ146" i="11"/>
  <c r="AN146" i="11"/>
  <c r="AK146" i="11"/>
  <c r="AH146" i="11"/>
  <c r="AE146" i="11"/>
  <c r="AB146" i="11"/>
  <c r="Y146" i="11"/>
  <c r="V146" i="11"/>
  <c r="S146" i="11"/>
  <c r="P146" i="11"/>
  <c r="M146" i="11"/>
  <c r="J146" i="11"/>
  <c r="AW145" i="11"/>
  <c r="AT145" i="11"/>
  <c r="AX145" i="11" s="1"/>
  <c r="AQ145" i="11"/>
  <c r="AN145" i="11"/>
  <c r="AK145" i="11"/>
  <c r="AH145" i="11"/>
  <c r="AE145" i="11"/>
  <c r="AB145" i="11"/>
  <c r="Y145" i="11"/>
  <c r="V145" i="11"/>
  <c r="S145" i="11"/>
  <c r="P145" i="11"/>
  <c r="M145" i="11"/>
  <c r="J145" i="11"/>
  <c r="AW144" i="11"/>
  <c r="AT144" i="11"/>
  <c r="AQ144" i="11"/>
  <c r="AX144" i="11" s="1"/>
  <c r="AN144" i="11"/>
  <c r="AK144" i="11"/>
  <c r="AH144" i="11"/>
  <c r="AE144" i="11"/>
  <c r="AB144" i="11"/>
  <c r="Y144" i="11"/>
  <c r="V144" i="11"/>
  <c r="S144" i="11"/>
  <c r="P144" i="11"/>
  <c r="M144" i="11"/>
  <c r="J144" i="11"/>
  <c r="AW143" i="11"/>
  <c r="AT143" i="11"/>
  <c r="AQ143" i="11"/>
  <c r="AN143" i="11"/>
  <c r="AK143" i="11"/>
  <c r="AH143" i="11"/>
  <c r="AE143" i="11"/>
  <c r="AB143" i="11"/>
  <c r="Y143" i="11"/>
  <c r="V143" i="11"/>
  <c r="S143" i="11"/>
  <c r="P143" i="11"/>
  <c r="M143" i="11"/>
  <c r="J143" i="11"/>
  <c r="AW142" i="11"/>
  <c r="AT142" i="11"/>
  <c r="AQ142" i="11"/>
  <c r="AN142" i="11"/>
  <c r="AK142" i="11"/>
  <c r="AH142" i="11"/>
  <c r="AE142" i="11"/>
  <c r="AB142" i="11"/>
  <c r="Y142" i="11"/>
  <c r="V142" i="11"/>
  <c r="S142" i="11"/>
  <c r="P142" i="11"/>
  <c r="M142" i="11"/>
  <c r="J142" i="11"/>
  <c r="AW141" i="11"/>
  <c r="AT141" i="11"/>
  <c r="AQ141" i="11"/>
  <c r="AN141" i="11"/>
  <c r="AK141" i="11"/>
  <c r="AH141" i="11"/>
  <c r="AE141" i="11"/>
  <c r="AB141" i="11"/>
  <c r="Y141" i="11"/>
  <c r="V141" i="11"/>
  <c r="S141" i="11"/>
  <c r="P141" i="11"/>
  <c r="M141" i="11"/>
  <c r="J141" i="11"/>
  <c r="AW140" i="11"/>
  <c r="AT140" i="11"/>
  <c r="AQ140" i="11"/>
  <c r="AN140" i="11"/>
  <c r="AK140" i="11"/>
  <c r="AH140" i="11"/>
  <c r="AE140" i="11"/>
  <c r="AB140" i="11"/>
  <c r="Y140" i="11"/>
  <c r="V140" i="11"/>
  <c r="S140" i="11"/>
  <c r="P140" i="11"/>
  <c r="M140" i="11"/>
  <c r="J140" i="11"/>
  <c r="AW139" i="11"/>
  <c r="AT139" i="11"/>
  <c r="AQ139" i="11"/>
  <c r="AN139" i="11"/>
  <c r="AX139" i="11" s="1"/>
  <c r="AK139" i="11"/>
  <c r="AH139" i="11"/>
  <c r="AE139" i="11"/>
  <c r="AB139" i="11"/>
  <c r="Y139" i="11"/>
  <c r="V139" i="11"/>
  <c r="S139" i="11"/>
  <c r="P139" i="11"/>
  <c r="M139" i="11"/>
  <c r="J139" i="11"/>
  <c r="AW138" i="11"/>
  <c r="AT138" i="11"/>
  <c r="AQ138" i="11"/>
  <c r="AN138" i="11"/>
  <c r="AK138" i="11"/>
  <c r="AH138" i="11"/>
  <c r="AE138" i="11"/>
  <c r="AB138" i="11"/>
  <c r="Y138" i="11"/>
  <c r="V138" i="11"/>
  <c r="S138" i="11"/>
  <c r="P138" i="11"/>
  <c r="M138" i="11"/>
  <c r="J138" i="11"/>
  <c r="AW137" i="11"/>
  <c r="AT137" i="11"/>
  <c r="AQ137" i="11"/>
  <c r="AN137" i="11"/>
  <c r="AK137" i="11"/>
  <c r="AH137" i="11"/>
  <c r="AE137" i="11"/>
  <c r="AB137" i="11"/>
  <c r="Y137" i="11"/>
  <c r="V137" i="11"/>
  <c r="S137" i="11"/>
  <c r="P137" i="11"/>
  <c r="M137" i="11"/>
  <c r="J137" i="11"/>
  <c r="AW136" i="11"/>
  <c r="AT136" i="11"/>
  <c r="AQ136" i="11"/>
  <c r="AX136" i="11" s="1"/>
  <c r="AN136" i="11"/>
  <c r="AK136" i="11"/>
  <c r="AH136" i="11"/>
  <c r="AE136" i="11"/>
  <c r="AB136" i="11"/>
  <c r="Y136" i="11"/>
  <c r="V136" i="11"/>
  <c r="S136" i="11"/>
  <c r="P136" i="11"/>
  <c r="M136" i="11"/>
  <c r="J136" i="11"/>
  <c r="AW135" i="11"/>
  <c r="AT135" i="11"/>
  <c r="AQ135" i="11"/>
  <c r="AN135" i="11"/>
  <c r="AK135" i="11"/>
  <c r="AH135" i="11"/>
  <c r="AE135" i="11"/>
  <c r="AB135" i="11"/>
  <c r="Y135" i="11"/>
  <c r="V135" i="11"/>
  <c r="S135" i="11"/>
  <c r="P135" i="11"/>
  <c r="M135" i="11"/>
  <c r="J135" i="11"/>
  <c r="AW134" i="11"/>
  <c r="AT134" i="11"/>
  <c r="AQ134" i="11"/>
  <c r="AN134" i="11"/>
  <c r="AK134" i="11"/>
  <c r="AH134" i="11"/>
  <c r="AE134" i="11"/>
  <c r="AB134" i="11"/>
  <c r="AX134" i="11" s="1"/>
  <c r="Y134" i="11"/>
  <c r="V134" i="11"/>
  <c r="S134" i="11"/>
  <c r="P134" i="11"/>
  <c r="M134" i="11"/>
  <c r="J134" i="11"/>
  <c r="AW133" i="11"/>
  <c r="AT133" i="11"/>
  <c r="AQ133" i="11"/>
  <c r="AN133" i="11"/>
  <c r="AK133" i="11"/>
  <c r="AH133" i="11"/>
  <c r="AE133" i="11"/>
  <c r="AB133" i="11"/>
  <c r="Y133" i="11"/>
  <c r="V133" i="11"/>
  <c r="S133" i="11"/>
  <c r="P133" i="11"/>
  <c r="M133" i="11"/>
  <c r="J133" i="11"/>
  <c r="AW132" i="11"/>
  <c r="AT132" i="11"/>
  <c r="AQ132" i="11"/>
  <c r="AN132" i="11"/>
  <c r="AK132" i="11"/>
  <c r="AH132" i="11"/>
  <c r="AE132" i="11"/>
  <c r="AB132" i="11"/>
  <c r="Y132" i="11"/>
  <c r="V132" i="11"/>
  <c r="S132" i="11"/>
  <c r="P132" i="11"/>
  <c r="M132" i="11"/>
  <c r="J132" i="11"/>
  <c r="AW131" i="11"/>
  <c r="AT131" i="11"/>
  <c r="AQ131" i="11"/>
  <c r="AN131" i="11"/>
  <c r="AK131" i="11"/>
  <c r="AH131" i="11"/>
  <c r="AE131" i="11"/>
  <c r="AB131" i="11"/>
  <c r="Y131" i="11"/>
  <c r="V131" i="11"/>
  <c r="S131" i="11"/>
  <c r="P131" i="11"/>
  <c r="M131" i="11"/>
  <c r="J131" i="11"/>
  <c r="AW130" i="11"/>
  <c r="AT130" i="11"/>
  <c r="AQ130" i="11"/>
  <c r="AN130" i="11"/>
  <c r="AK130" i="11"/>
  <c r="AH130" i="11"/>
  <c r="AE130" i="11"/>
  <c r="AB130" i="11"/>
  <c r="Y130" i="11"/>
  <c r="V130" i="11"/>
  <c r="S130" i="11"/>
  <c r="P130" i="11"/>
  <c r="M130" i="11"/>
  <c r="J130" i="11"/>
  <c r="AW129" i="11"/>
  <c r="AT129" i="11"/>
  <c r="AX129" i="11" s="1"/>
  <c r="AQ129" i="11"/>
  <c r="AN129" i="11"/>
  <c r="AK129" i="11"/>
  <c r="AH129" i="11"/>
  <c r="AE129" i="11"/>
  <c r="AB129" i="11"/>
  <c r="Y129" i="11"/>
  <c r="V129" i="11"/>
  <c r="S129" i="11"/>
  <c r="P129" i="11"/>
  <c r="M129" i="11"/>
  <c r="J129" i="11"/>
  <c r="AW128" i="11"/>
  <c r="AT128" i="11"/>
  <c r="AQ128" i="11"/>
  <c r="AN128" i="11"/>
  <c r="AK128" i="11"/>
  <c r="AH128" i="11"/>
  <c r="AE128" i="11"/>
  <c r="AB128" i="11"/>
  <c r="Y128" i="11"/>
  <c r="V128" i="11"/>
  <c r="S128" i="11"/>
  <c r="P128" i="11"/>
  <c r="M128" i="11"/>
  <c r="J128" i="11"/>
  <c r="AW127" i="11"/>
  <c r="AT127" i="11"/>
  <c r="AQ127" i="11"/>
  <c r="AN127" i="11"/>
  <c r="AK127" i="11"/>
  <c r="AH127" i="11"/>
  <c r="AE127" i="11"/>
  <c r="AB127" i="11"/>
  <c r="AX127" i="11" s="1"/>
  <c r="Y127" i="11"/>
  <c r="V127" i="11"/>
  <c r="S127" i="11"/>
  <c r="P127" i="11"/>
  <c r="M127" i="11"/>
  <c r="J127" i="11"/>
  <c r="AW126" i="11"/>
  <c r="AT126" i="11"/>
  <c r="AQ126" i="11"/>
  <c r="AX126" i="11" s="1"/>
  <c r="AN126" i="11"/>
  <c r="AK126" i="11"/>
  <c r="AH126" i="11"/>
  <c r="AE126" i="11"/>
  <c r="AB126" i="11"/>
  <c r="Y126" i="11"/>
  <c r="V126" i="11"/>
  <c r="S126" i="11"/>
  <c r="P126" i="11"/>
  <c r="M126" i="11"/>
  <c r="J126" i="11"/>
  <c r="AW125" i="11"/>
  <c r="AT125" i="11"/>
  <c r="AQ125" i="11"/>
  <c r="AN125" i="11"/>
  <c r="AK125" i="11"/>
  <c r="AH125" i="11"/>
  <c r="AE125" i="11"/>
  <c r="AB125" i="11"/>
  <c r="Y125" i="11"/>
  <c r="V125" i="11"/>
  <c r="S125" i="11"/>
  <c r="P125" i="11"/>
  <c r="M125" i="11"/>
  <c r="J125" i="11"/>
  <c r="AW124" i="11"/>
  <c r="AT124" i="11"/>
  <c r="AQ124" i="11"/>
  <c r="AN124" i="11"/>
  <c r="AK124" i="11"/>
  <c r="AH124" i="11"/>
  <c r="AE124" i="11"/>
  <c r="AB124" i="11"/>
  <c r="Y124" i="11"/>
  <c r="V124" i="11"/>
  <c r="S124" i="11"/>
  <c r="P124" i="11"/>
  <c r="M124" i="11"/>
  <c r="J124" i="11"/>
  <c r="AW123" i="11"/>
  <c r="AT123" i="11"/>
  <c r="AQ123" i="11"/>
  <c r="AN123" i="11"/>
  <c r="AK123" i="11"/>
  <c r="AH123" i="11"/>
  <c r="AX123" i="11" s="1"/>
  <c r="AE123" i="11"/>
  <c r="AB123" i="11"/>
  <c r="Y123" i="11"/>
  <c r="V123" i="11"/>
  <c r="S123" i="11"/>
  <c r="P123" i="11"/>
  <c r="M123" i="11"/>
  <c r="J123" i="11"/>
  <c r="AW122" i="11"/>
  <c r="AT122" i="11"/>
  <c r="AQ122" i="11"/>
  <c r="AN122" i="11"/>
  <c r="AK122" i="11"/>
  <c r="AH122" i="11"/>
  <c r="AE122" i="11"/>
  <c r="AB122" i="11"/>
  <c r="Y122" i="11"/>
  <c r="V122" i="11"/>
  <c r="S122" i="11"/>
  <c r="P122" i="11"/>
  <c r="M122" i="11"/>
  <c r="J122" i="11"/>
  <c r="AW121" i="11"/>
  <c r="AT121" i="11"/>
  <c r="AQ121" i="11"/>
  <c r="AN121" i="11"/>
  <c r="AK121" i="11"/>
  <c r="AX121" i="11" s="1"/>
  <c r="AH121" i="11"/>
  <c r="AE121" i="11"/>
  <c r="AB121" i="11"/>
  <c r="Y121" i="11"/>
  <c r="V121" i="11"/>
  <c r="S121" i="11"/>
  <c r="P121" i="11"/>
  <c r="M121" i="11"/>
  <c r="J121" i="11"/>
  <c r="AW120" i="11"/>
  <c r="AT120" i="11"/>
  <c r="AQ120" i="11"/>
  <c r="AX120" i="11" s="1"/>
  <c r="AN120" i="11"/>
  <c r="AK120" i="11"/>
  <c r="AH120" i="11"/>
  <c r="AE120" i="11"/>
  <c r="AB120" i="11"/>
  <c r="Y120" i="11"/>
  <c r="V120" i="11"/>
  <c r="S120" i="11"/>
  <c r="P120" i="11"/>
  <c r="M120" i="11"/>
  <c r="J120" i="11"/>
  <c r="AW119" i="11"/>
  <c r="AT119" i="11"/>
  <c r="AQ119" i="11"/>
  <c r="AN119" i="11"/>
  <c r="AK119" i="11"/>
  <c r="AH119" i="11"/>
  <c r="AE119" i="11"/>
  <c r="AB119" i="11"/>
  <c r="Y119" i="11"/>
  <c r="V119" i="11"/>
  <c r="S119" i="11"/>
  <c r="P119" i="11"/>
  <c r="M119" i="11"/>
  <c r="J119" i="11"/>
  <c r="AW118" i="11"/>
  <c r="AT118" i="11"/>
  <c r="AQ118" i="11"/>
  <c r="AN118" i="11"/>
  <c r="AK118" i="11"/>
  <c r="AH118" i="11"/>
  <c r="AE118" i="11"/>
  <c r="AB118" i="11"/>
  <c r="AX118" i="11" s="1"/>
  <c r="Y118" i="11"/>
  <c r="V118" i="11"/>
  <c r="S118" i="11"/>
  <c r="P118" i="11"/>
  <c r="M118" i="11"/>
  <c r="J118" i="11"/>
  <c r="AW117" i="11"/>
  <c r="AT117" i="11"/>
  <c r="AQ117" i="11"/>
  <c r="AN117" i="11"/>
  <c r="AK117" i="11"/>
  <c r="AH117" i="11"/>
  <c r="AE117" i="11"/>
  <c r="AB117" i="11"/>
  <c r="Y117" i="11"/>
  <c r="V117" i="11"/>
  <c r="S117" i="11"/>
  <c r="P117" i="11"/>
  <c r="M117" i="11"/>
  <c r="J117" i="11"/>
  <c r="AW116" i="11"/>
  <c r="AT116" i="11"/>
  <c r="AQ116" i="11"/>
  <c r="AN116" i="11"/>
  <c r="AK116" i="11"/>
  <c r="AH116" i="11"/>
  <c r="AE116" i="11"/>
  <c r="AB116" i="11"/>
  <c r="Y116" i="11"/>
  <c r="V116" i="11"/>
  <c r="S116" i="11"/>
  <c r="P116" i="11"/>
  <c r="M116" i="11"/>
  <c r="J116" i="11"/>
  <c r="AW115" i="11"/>
  <c r="AT115" i="11"/>
  <c r="AQ115" i="11"/>
  <c r="AX115" i="11" s="1"/>
  <c r="AN115" i="11"/>
  <c r="AK115" i="11"/>
  <c r="AH115" i="11"/>
  <c r="AE115" i="11"/>
  <c r="AB115" i="11"/>
  <c r="Y115" i="11"/>
  <c r="V115" i="11"/>
  <c r="S115" i="11"/>
  <c r="P115" i="11"/>
  <c r="M115" i="11"/>
  <c r="J115" i="11"/>
  <c r="AW114" i="11"/>
  <c r="AT114" i="11"/>
  <c r="AQ114" i="11"/>
  <c r="AN114" i="11"/>
  <c r="AK114" i="11"/>
  <c r="AH114" i="11"/>
  <c r="AE114" i="11"/>
  <c r="AB114" i="11"/>
  <c r="Y114" i="11"/>
  <c r="V114" i="11"/>
  <c r="S114" i="11"/>
  <c r="P114" i="11"/>
  <c r="M114" i="11"/>
  <c r="J114" i="11"/>
  <c r="AW113" i="11"/>
  <c r="AT113" i="11"/>
  <c r="AQ113" i="11"/>
  <c r="AN113" i="11"/>
  <c r="AK113" i="11"/>
  <c r="AH113" i="11"/>
  <c r="AX113" i="11" s="1"/>
  <c r="AE113" i="11"/>
  <c r="AB113" i="11"/>
  <c r="Y113" i="11"/>
  <c r="V113" i="11"/>
  <c r="S113" i="11"/>
  <c r="P113" i="11"/>
  <c r="M113" i="11"/>
  <c r="J113" i="11"/>
  <c r="AW112" i="11"/>
  <c r="AT112" i="11"/>
  <c r="AQ112" i="11"/>
  <c r="AN112" i="11"/>
  <c r="AK112" i="11"/>
  <c r="AH112" i="11"/>
  <c r="AE112" i="11"/>
  <c r="AB112" i="11"/>
  <c r="Y112" i="11"/>
  <c r="V112" i="11"/>
  <c r="S112" i="11"/>
  <c r="P112" i="11"/>
  <c r="M112" i="11"/>
  <c r="J112" i="11"/>
  <c r="AW111" i="11"/>
  <c r="AT111" i="11"/>
  <c r="AX111" i="11" s="1"/>
  <c r="AQ111" i="11"/>
  <c r="AN111" i="11"/>
  <c r="AK111" i="11"/>
  <c r="AH111" i="11"/>
  <c r="AE111" i="11"/>
  <c r="AB111" i="11"/>
  <c r="Y111" i="11"/>
  <c r="V111" i="11"/>
  <c r="S111" i="11"/>
  <c r="P111" i="11"/>
  <c r="M111" i="11"/>
  <c r="J111" i="11"/>
  <c r="AW110" i="11"/>
  <c r="AT110" i="11"/>
  <c r="AQ110" i="11"/>
  <c r="AN110" i="11"/>
  <c r="AK110" i="11"/>
  <c r="AH110" i="11"/>
  <c r="AE110" i="11"/>
  <c r="AB110" i="11"/>
  <c r="Y110" i="11"/>
  <c r="V110" i="11"/>
  <c r="S110" i="11"/>
  <c r="P110" i="11"/>
  <c r="M110" i="11"/>
  <c r="J110" i="11"/>
  <c r="AW109" i="11"/>
  <c r="AT109" i="11"/>
  <c r="AQ109" i="11"/>
  <c r="AN109" i="11"/>
  <c r="AK109" i="11"/>
  <c r="AH109" i="11"/>
  <c r="AE109" i="11"/>
  <c r="AB109" i="11"/>
  <c r="Y109" i="11"/>
  <c r="V109" i="11"/>
  <c r="S109" i="11"/>
  <c r="P109" i="11"/>
  <c r="M109" i="11"/>
  <c r="J109" i="11"/>
  <c r="AW108" i="11"/>
  <c r="AT108" i="11"/>
  <c r="AQ108" i="11"/>
  <c r="AN108" i="11"/>
  <c r="AK108" i="11"/>
  <c r="AH108" i="11"/>
  <c r="AE108" i="11"/>
  <c r="AB108" i="11"/>
  <c r="Y108" i="11"/>
  <c r="V108" i="11"/>
  <c r="S108" i="11"/>
  <c r="P108" i="11"/>
  <c r="M108" i="11"/>
  <c r="J108" i="11"/>
  <c r="AW107" i="11"/>
  <c r="AT107" i="11"/>
  <c r="AQ107" i="11"/>
  <c r="AN107" i="11"/>
  <c r="AK107" i="11"/>
  <c r="AH107" i="11"/>
  <c r="AE107" i="11"/>
  <c r="AB107" i="11"/>
  <c r="AX107" i="11" s="1"/>
  <c r="Y107" i="11"/>
  <c r="V107" i="11"/>
  <c r="S107" i="11"/>
  <c r="P107" i="11"/>
  <c r="M107" i="11"/>
  <c r="J107" i="11"/>
  <c r="G107" i="11"/>
  <c r="AW106" i="11"/>
  <c r="AT106" i="11"/>
  <c r="AQ106" i="11"/>
  <c r="AN106" i="11"/>
  <c r="AK106" i="11"/>
  <c r="AH106" i="11"/>
  <c r="AE106" i="11"/>
  <c r="AB106" i="11"/>
  <c r="AX106" i="11" s="1"/>
  <c r="Y106" i="11"/>
  <c r="V106" i="11"/>
  <c r="S106" i="11"/>
  <c r="P106" i="11"/>
  <c r="M106" i="11"/>
  <c r="J106" i="11"/>
  <c r="G106" i="11"/>
  <c r="AW105" i="11"/>
  <c r="AT105" i="11"/>
  <c r="AQ105" i="11"/>
  <c r="AN105" i="11"/>
  <c r="AK105" i="11"/>
  <c r="AH105" i="11"/>
  <c r="AE105" i="11"/>
  <c r="AB105" i="11"/>
  <c r="AX105" i="11" s="1"/>
  <c r="Y105" i="11"/>
  <c r="V105" i="11"/>
  <c r="S105" i="11"/>
  <c r="P105" i="11"/>
  <c r="M105" i="11"/>
  <c r="J105" i="11"/>
  <c r="G105" i="11"/>
  <c r="AW104" i="11"/>
  <c r="AT104" i="11"/>
  <c r="AQ104" i="11"/>
  <c r="AN104" i="11"/>
  <c r="AK104" i="11"/>
  <c r="AH104" i="11"/>
  <c r="AE104" i="11"/>
  <c r="AB104" i="11"/>
  <c r="AX104" i="11" s="1"/>
  <c r="Y104" i="11"/>
  <c r="V104" i="11"/>
  <c r="S104" i="11"/>
  <c r="P104" i="11"/>
  <c r="M104" i="11"/>
  <c r="J104" i="11"/>
  <c r="I104" i="11"/>
  <c r="G104" i="11"/>
  <c r="AW103" i="11"/>
  <c r="AT103" i="11"/>
  <c r="AQ103" i="11"/>
  <c r="AN103" i="11"/>
  <c r="AK103" i="11"/>
  <c r="AH103" i="11"/>
  <c r="AE103" i="11"/>
  <c r="AB103" i="11"/>
  <c r="Y103" i="11"/>
  <c r="V103" i="11"/>
  <c r="S103" i="11"/>
  <c r="P103" i="11"/>
  <c r="M103" i="11"/>
  <c r="J103" i="11"/>
  <c r="I103" i="11"/>
  <c r="G103" i="11"/>
  <c r="AW102" i="11"/>
  <c r="AT102" i="11"/>
  <c r="AQ102" i="11"/>
  <c r="AN102" i="11"/>
  <c r="AK102" i="11"/>
  <c r="AH102" i="11"/>
  <c r="AE102" i="11"/>
  <c r="AB102" i="11"/>
  <c r="Y102" i="11"/>
  <c r="V102" i="11"/>
  <c r="S102" i="11"/>
  <c r="P102" i="11"/>
  <c r="M102" i="11"/>
  <c r="J102" i="11"/>
  <c r="G102" i="11"/>
  <c r="AW101" i="11"/>
  <c r="AT101" i="11"/>
  <c r="AQ101" i="11"/>
  <c r="AN101" i="11"/>
  <c r="AK101" i="11"/>
  <c r="AH101" i="11"/>
  <c r="AE101" i="11"/>
  <c r="AB101" i="11"/>
  <c r="Y101" i="11"/>
  <c r="V101" i="11"/>
  <c r="S101" i="11"/>
  <c r="P101" i="11"/>
  <c r="M101" i="11"/>
  <c r="J101" i="11"/>
  <c r="G101" i="11"/>
  <c r="AW100" i="11"/>
  <c r="AT100" i="11"/>
  <c r="AQ100" i="11"/>
  <c r="AN100" i="11"/>
  <c r="AK100" i="11"/>
  <c r="AH100" i="11"/>
  <c r="AE100" i="11"/>
  <c r="AB100" i="11"/>
  <c r="Y100" i="11"/>
  <c r="V100" i="11"/>
  <c r="S100" i="11"/>
  <c r="P100" i="11"/>
  <c r="M100" i="11"/>
  <c r="J100" i="11"/>
  <c r="G100" i="11"/>
  <c r="AW99" i="11"/>
  <c r="AT99" i="11"/>
  <c r="AQ99" i="11"/>
  <c r="AN99" i="11"/>
  <c r="AK99" i="11"/>
  <c r="AH99" i="11"/>
  <c r="AE99" i="11"/>
  <c r="AB99" i="11"/>
  <c r="Y99" i="11"/>
  <c r="V99" i="11"/>
  <c r="S99" i="11"/>
  <c r="P99" i="11"/>
  <c r="M99" i="11"/>
  <c r="J99" i="11"/>
  <c r="G99" i="11"/>
  <c r="AW98" i="11"/>
  <c r="AT98" i="11"/>
  <c r="AQ98" i="11"/>
  <c r="AN98" i="11"/>
  <c r="AK98" i="11"/>
  <c r="AH98" i="11"/>
  <c r="AE98" i="11"/>
  <c r="AB98" i="11"/>
  <c r="Y98" i="11"/>
  <c r="V98" i="11"/>
  <c r="S98" i="11"/>
  <c r="P98" i="11"/>
  <c r="M98" i="11"/>
  <c r="J98" i="11"/>
  <c r="G98" i="11"/>
  <c r="AW97" i="11"/>
  <c r="AT97" i="11"/>
  <c r="AQ97" i="11"/>
  <c r="AN97" i="11"/>
  <c r="AK97" i="11"/>
  <c r="AH97" i="11"/>
  <c r="AE97" i="11"/>
  <c r="AB97" i="11"/>
  <c r="Y97" i="11"/>
  <c r="V97" i="11"/>
  <c r="S97" i="11"/>
  <c r="P97" i="11"/>
  <c r="M97" i="11"/>
  <c r="J97" i="11"/>
  <c r="G97" i="11"/>
  <c r="AW96" i="11"/>
  <c r="AT96" i="11"/>
  <c r="AQ96" i="11"/>
  <c r="AN96" i="11"/>
  <c r="AK96" i="11"/>
  <c r="AH96" i="11"/>
  <c r="AE96" i="11"/>
  <c r="AB96" i="11"/>
  <c r="Y96" i="11"/>
  <c r="V96" i="11"/>
  <c r="S96" i="11"/>
  <c r="P96" i="11"/>
  <c r="M96" i="11"/>
  <c r="J96" i="11"/>
  <c r="G96" i="11"/>
  <c r="AW95" i="11"/>
  <c r="AT95" i="11"/>
  <c r="AQ95" i="11"/>
  <c r="AN95" i="11"/>
  <c r="AK95" i="11"/>
  <c r="AH95" i="11"/>
  <c r="AE95" i="11"/>
  <c r="AB95" i="11"/>
  <c r="Y95" i="11"/>
  <c r="V95" i="11"/>
  <c r="S95" i="11"/>
  <c r="P95" i="11"/>
  <c r="M95" i="11"/>
  <c r="J95" i="11"/>
  <c r="G95" i="11"/>
  <c r="AW94" i="11"/>
  <c r="AT94" i="11"/>
  <c r="AQ94" i="11"/>
  <c r="AN94" i="11"/>
  <c r="AK94" i="11"/>
  <c r="AH94" i="11"/>
  <c r="AE94" i="11"/>
  <c r="AB94" i="11"/>
  <c r="Y94" i="11"/>
  <c r="V94" i="11"/>
  <c r="S94" i="11"/>
  <c r="P94" i="11"/>
  <c r="M94" i="11"/>
  <c r="J94" i="11"/>
  <c r="G94" i="11"/>
  <c r="AW93" i="11"/>
  <c r="AT93" i="11"/>
  <c r="AQ93" i="11"/>
  <c r="AN93" i="11"/>
  <c r="AK93" i="11"/>
  <c r="AH93" i="11"/>
  <c r="AE93" i="11"/>
  <c r="AB93" i="11"/>
  <c r="Y93" i="11"/>
  <c r="V93" i="11"/>
  <c r="S93" i="11"/>
  <c r="P93" i="11"/>
  <c r="M93" i="11"/>
  <c r="J93" i="11"/>
  <c r="G93" i="11"/>
  <c r="AW92" i="11"/>
  <c r="AT92" i="11"/>
  <c r="AQ92" i="11"/>
  <c r="AN92" i="11"/>
  <c r="AK92" i="11"/>
  <c r="AH92" i="11"/>
  <c r="AE92" i="11"/>
  <c r="AB92" i="11"/>
  <c r="Y92" i="11"/>
  <c r="V92" i="11"/>
  <c r="S92" i="11"/>
  <c r="P92" i="11"/>
  <c r="M92" i="11"/>
  <c r="J92" i="11"/>
  <c r="G92" i="11"/>
  <c r="AW91" i="11"/>
  <c r="AT91" i="11"/>
  <c r="AQ91" i="11"/>
  <c r="AN91" i="11"/>
  <c r="AK91" i="11"/>
  <c r="AH91" i="11"/>
  <c r="AE91" i="11"/>
  <c r="AB91" i="11"/>
  <c r="Y91" i="11"/>
  <c r="V91" i="11"/>
  <c r="S91" i="11"/>
  <c r="P91" i="11"/>
  <c r="M91" i="11"/>
  <c r="J91" i="11"/>
  <c r="G91" i="11"/>
  <c r="AW90" i="11"/>
  <c r="AT90" i="11"/>
  <c r="AQ90" i="11"/>
  <c r="AN90" i="11"/>
  <c r="AK90" i="11"/>
  <c r="AH90" i="11"/>
  <c r="AE90" i="11"/>
  <c r="AB90" i="11"/>
  <c r="Y90" i="11"/>
  <c r="V90" i="11"/>
  <c r="S90" i="11"/>
  <c r="P90" i="11"/>
  <c r="M90" i="11"/>
  <c r="J90" i="11"/>
  <c r="G90" i="11"/>
  <c r="AW89" i="11"/>
  <c r="AT89" i="11"/>
  <c r="AQ89" i="11"/>
  <c r="AN89" i="11"/>
  <c r="AK89" i="11"/>
  <c r="AH89" i="11"/>
  <c r="AE89" i="11"/>
  <c r="AB89" i="11"/>
  <c r="Y89" i="11"/>
  <c r="V89" i="11"/>
  <c r="S89" i="11"/>
  <c r="P89" i="11"/>
  <c r="M89" i="11"/>
  <c r="J89" i="11"/>
  <c r="G89" i="11"/>
  <c r="AW88" i="11"/>
  <c r="AT88" i="11"/>
  <c r="AQ88" i="11"/>
  <c r="AN88" i="11"/>
  <c r="AK88" i="11"/>
  <c r="AH88" i="11"/>
  <c r="AE88" i="11"/>
  <c r="AB88" i="11"/>
  <c r="Y88" i="11"/>
  <c r="V88" i="11"/>
  <c r="S88" i="11"/>
  <c r="P88" i="11"/>
  <c r="M88" i="11"/>
  <c r="J88" i="11"/>
  <c r="G88" i="11"/>
  <c r="AW87" i="11"/>
  <c r="AT87" i="11"/>
  <c r="AQ87" i="11"/>
  <c r="AN87" i="11"/>
  <c r="AK87" i="11"/>
  <c r="AH87" i="11"/>
  <c r="AE87" i="11"/>
  <c r="AB87" i="11"/>
  <c r="Y87" i="11"/>
  <c r="V87" i="11"/>
  <c r="S87" i="11"/>
  <c r="P87" i="11"/>
  <c r="M87" i="11"/>
  <c r="J87" i="11"/>
  <c r="AW86" i="11"/>
  <c r="AT86" i="11"/>
  <c r="AQ86" i="11"/>
  <c r="AN86" i="11"/>
  <c r="AK86" i="11"/>
  <c r="AH86" i="11"/>
  <c r="AE86" i="11"/>
  <c r="AB86" i="11"/>
  <c r="Y86" i="11"/>
  <c r="V86" i="11"/>
  <c r="S86" i="11"/>
  <c r="P86" i="11"/>
  <c r="M86" i="11"/>
  <c r="J86" i="11"/>
  <c r="AW85" i="11"/>
  <c r="AT85" i="11"/>
  <c r="AQ85" i="11"/>
  <c r="AN85" i="11"/>
  <c r="AK85" i="11"/>
  <c r="AH85" i="11"/>
  <c r="AX85" i="11" s="1"/>
  <c r="AE85" i="11"/>
  <c r="AB85" i="11"/>
  <c r="Y85" i="11"/>
  <c r="V85" i="11"/>
  <c r="S85" i="11"/>
  <c r="P85" i="11"/>
  <c r="M85" i="11"/>
  <c r="J85" i="11"/>
  <c r="AW84" i="11"/>
  <c r="AT84" i="11"/>
  <c r="AQ84" i="11"/>
  <c r="AN84" i="11"/>
  <c r="AK84" i="11"/>
  <c r="AH84" i="11"/>
  <c r="AE84" i="11"/>
  <c r="AB84" i="11"/>
  <c r="Y84" i="11"/>
  <c r="V84" i="11"/>
  <c r="S84" i="11"/>
  <c r="P84" i="11"/>
  <c r="M84" i="11"/>
  <c r="J84" i="11"/>
  <c r="AW83" i="11"/>
  <c r="AT83" i="11"/>
  <c r="AQ83" i="11"/>
  <c r="AN83" i="11"/>
  <c r="AK83" i="11"/>
  <c r="AH83" i="11"/>
  <c r="AE83" i="11"/>
  <c r="AB83" i="11"/>
  <c r="AX83" i="11" s="1"/>
  <c r="Y83" i="11"/>
  <c r="V83" i="11"/>
  <c r="S83" i="11"/>
  <c r="P83" i="11"/>
  <c r="M83" i="11"/>
  <c r="J83" i="11"/>
  <c r="AW82" i="11"/>
  <c r="AT82" i="11"/>
  <c r="AQ82" i="11"/>
  <c r="AN82" i="11"/>
  <c r="AK82" i="11"/>
  <c r="AH82" i="11"/>
  <c r="AE82" i="11"/>
  <c r="AB82" i="11"/>
  <c r="AX82" i="11" s="1"/>
  <c r="Y82" i="11"/>
  <c r="V82" i="11"/>
  <c r="S82" i="11"/>
  <c r="P82" i="11"/>
  <c r="M82" i="11"/>
  <c r="J82" i="11"/>
  <c r="AW81" i="11"/>
  <c r="AT81" i="11"/>
  <c r="AQ81" i="11"/>
  <c r="AN81" i="11"/>
  <c r="AK81" i="11"/>
  <c r="AH81" i="11"/>
  <c r="AE81" i="11"/>
  <c r="AB81" i="11"/>
  <c r="Y81" i="11"/>
  <c r="V81" i="11"/>
  <c r="S81" i="11"/>
  <c r="P81" i="11"/>
  <c r="M81" i="11"/>
  <c r="J81" i="11"/>
  <c r="AW80" i="11"/>
  <c r="AT80" i="11"/>
  <c r="AQ80" i="11"/>
  <c r="AN80" i="11"/>
  <c r="AK80" i="11"/>
  <c r="AH80" i="11"/>
  <c r="AE80" i="11"/>
  <c r="AB80" i="11"/>
  <c r="Y80" i="11"/>
  <c r="V80" i="11"/>
  <c r="S80" i="11"/>
  <c r="P80" i="11"/>
  <c r="M80" i="11"/>
  <c r="J80" i="11"/>
  <c r="AW79" i="11"/>
  <c r="AT79" i="11"/>
  <c r="AQ79" i="11"/>
  <c r="AN79" i="11"/>
  <c r="AK79" i="11"/>
  <c r="AH79" i="11"/>
  <c r="AE79" i="11"/>
  <c r="AB79" i="11"/>
  <c r="Y79" i="11"/>
  <c r="V79" i="11"/>
  <c r="S79" i="11"/>
  <c r="P79" i="11"/>
  <c r="M79" i="11"/>
  <c r="J79" i="11"/>
  <c r="AW78" i="11"/>
  <c r="AT78" i="11"/>
  <c r="AQ78" i="11"/>
  <c r="AN78" i="11"/>
  <c r="AK78" i="11"/>
  <c r="AH78" i="11"/>
  <c r="AE78" i="11"/>
  <c r="AB78" i="11"/>
  <c r="Y78" i="11"/>
  <c r="V78" i="11"/>
  <c r="S78" i="11"/>
  <c r="P78" i="11"/>
  <c r="M78" i="11"/>
  <c r="J78" i="11"/>
  <c r="AW77" i="11"/>
  <c r="AT77" i="11"/>
  <c r="AQ77" i="11"/>
  <c r="AX77" i="11" s="1"/>
  <c r="AN77" i="11"/>
  <c r="AK77" i="11"/>
  <c r="AH77" i="11"/>
  <c r="AE77" i="11"/>
  <c r="AB77" i="11"/>
  <c r="Y77" i="11"/>
  <c r="V77" i="11"/>
  <c r="S77" i="11"/>
  <c r="P77" i="11"/>
  <c r="M77" i="11"/>
  <c r="J77" i="11"/>
  <c r="AW76" i="11"/>
  <c r="AT76" i="11"/>
  <c r="AQ76" i="11"/>
  <c r="AN76" i="11"/>
  <c r="AK76" i="11"/>
  <c r="AH76" i="11"/>
  <c r="AE76" i="11"/>
  <c r="AB76" i="11"/>
  <c r="AX76" i="11" s="1"/>
  <c r="Y76" i="11"/>
  <c r="V76" i="11"/>
  <c r="S76" i="11"/>
  <c r="P76" i="11"/>
  <c r="M76" i="11"/>
  <c r="J76" i="11"/>
  <c r="AW75" i="11"/>
  <c r="AT75" i="11"/>
  <c r="AQ75" i="11"/>
  <c r="AN75" i="11"/>
  <c r="AK75" i="11"/>
  <c r="AH75" i="11"/>
  <c r="AE75" i="11"/>
  <c r="AB75" i="11"/>
  <c r="Y75" i="11"/>
  <c r="V75" i="11"/>
  <c r="S75" i="11"/>
  <c r="P75" i="11"/>
  <c r="M75" i="11"/>
  <c r="J75" i="11"/>
  <c r="AW74" i="11"/>
  <c r="AT74" i="11"/>
  <c r="AQ74" i="11"/>
  <c r="AN74" i="11"/>
  <c r="AK74" i="11"/>
  <c r="AH74" i="11"/>
  <c r="AE74" i="11"/>
  <c r="AB74" i="11"/>
  <c r="Y74" i="11"/>
  <c r="V74" i="11"/>
  <c r="S74" i="11"/>
  <c r="P74" i="11"/>
  <c r="M74" i="11"/>
  <c r="J74" i="11"/>
  <c r="AW73" i="11"/>
  <c r="AT73" i="11"/>
  <c r="AQ73" i="11"/>
  <c r="AX73" i="11" s="1"/>
  <c r="AN73" i="11"/>
  <c r="AK73" i="11"/>
  <c r="AH73" i="11"/>
  <c r="AE73" i="11"/>
  <c r="AB73" i="11"/>
  <c r="Y73" i="11"/>
  <c r="V73" i="11"/>
  <c r="S73" i="11"/>
  <c r="P73" i="11"/>
  <c r="M73" i="11"/>
  <c r="J73" i="11"/>
  <c r="AW72" i="11"/>
  <c r="AT72" i="11"/>
  <c r="AQ72" i="11"/>
  <c r="AN72" i="11"/>
  <c r="AX72" i="11" s="1"/>
  <c r="AK72" i="11"/>
  <c r="AH72" i="11"/>
  <c r="AE72" i="11"/>
  <c r="AB72" i="11"/>
  <c r="Y72" i="11"/>
  <c r="V72" i="11"/>
  <c r="S72" i="11"/>
  <c r="P72" i="11"/>
  <c r="M72" i="11"/>
  <c r="J72" i="11"/>
  <c r="AW71" i="11"/>
  <c r="AT71" i="11"/>
  <c r="AQ71" i="11"/>
  <c r="AN71" i="11"/>
  <c r="AK71" i="11"/>
  <c r="AH71" i="11"/>
  <c r="AE71" i="11"/>
  <c r="AB71" i="11"/>
  <c r="Y71" i="11"/>
  <c r="V71" i="11"/>
  <c r="S71" i="11"/>
  <c r="P71" i="11"/>
  <c r="M71" i="11"/>
  <c r="J71" i="11"/>
  <c r="AW70" i="11"/>
  <c r="AT70" i="11"/>
  <c r="AQ70" i="11"/>
  <c r="AN70" i="11"/>
  <c r="AK70" i="11"/>
  <c r="AH70" i="11"/>
  <c r="AE70" i="11"/>
  <c r="AB70" i="11"/>
  <c r="Y70" i="11"/>
  <c r="V70" i="11"/>
  <c r="S70" i="11"/>
  <c r="P70" i="11"/>
  <c r="M70" i="11"/>
  <c r="J70" i="11"/>
  <c r="AW69" i="11"/>
  <c r="AT69" i="11"/>
  <c r="AQ69" i="11"/>
  <c r="AN69" i="11"/>
  <c r="AK69" i="11"/>
  <c r="AH69" i="11"/>
  <c r="AE69" i="11"/>
  <c r="AB69" i="11"/>
  <c r="Y69" i="11"/>
  <c r="V69" i="11"/>
  <c r="S69" i="11"/>
  <c r="P69" i="11"/>
  <c r="M69" i="11"/>
  <c r="J69" i="11"/>
  <c r="AW68" i="11"/>
  <c r="AT68" i="11"/>
  <c r="AQ68" i="11"/>
  <c r="AN68" i="11"/>
  <c r="AK68" i="11"/>
  <c r="AH68" i="11"/>
  <c r="AE68" i="11"/>
  <c r="AB68" i="11"/>
  <c r="Y68" i="11"/>
  <c r="V68" i="11"/>
  <c r="S68" i="11"/>
  <c r="P68" i="11"/>
  <c r="M68" i="11"/>
  <c r="J68" i="11"/>
  <c r="AW67" i="11"/>
  <c r="AT67" i="11"/>
  <c r="AQ67" i="11"/>
  <c r="AN67" i="11"/>
  <c r="AK67" i="11"/>
  <c r="AH67" i="11"/>
  <c r="AX67" i="11" s="1"/>
  <c r="AE67" i="11"/>
  <c r="AB67" i="11"/>
  <c r="Y67" i="11"/>
  <c r="V67" i="11"/>
  <c r="S67" i="11"/>
  <c r="P67" i="11"/>
  <c r="M67" i="11"/>
  <c r="J67" i="11"/>
  <c r="AW66" i="11"/>
  <c r="AT66" i="11"/>
  <c r="AQ66" i="11"/>
  <c r="AN66" i="11"/>
  <c r="AK66" i="11"/>
  <c r="AH66" i="11"/>
  <c r="AE66" i="11"/>
  <c r="AB66" i="11"/>
  <c r="AX66" i="11" s="1"/>
  <c r="Y66" i="11"/>
  <c r="V66" i="11"/>
  <c r="S66" i="11"/>
  <c r="P66" i="11"/>
  <c r="M66" i="11"/>
  <c r="J66" i="11"/>
  <c r="AW65" i="11"/>
  <c r="AT65" i="11"/>
  <c r="AQ65" i="11"/>
  <c r="AN65" i="11"/>
  <c r="AK65" i="11"/>
  <c r="AH65" i="11"/>
  <c r="AE65" i="11"/>
  <c r="AB65" i="11"/>
  <c r="AX65" i="11" s="1"/>
  <c r="Y65" i="11"/>
  <c r="V65" i="11"/>
  <c r="S65" i="11"/>
  <c r="P65" i="11"/>
  <c r="M65" i="11"/>
  <c r="J65" i="11"/>
  <c r="AW64" i="11"/>
  <c r="AT64" i="11"/>
  <c r="AQ64" i="11"/>
  <c r="AN64" i="11"/>
  <c r="AK64" i="11"/>
  <c r="AH64" i="11"/>
  <c r="AE64" i="11"/>
  <c r="AB64" i="11"/>
  <c r="Y64" i="11"/>
  <c r="V64" i="11"/>
  <c r="S64" i="11"/>
  <c r="P64" i="11"/>
  <c r="M64" i="11"/>
  <c r="J64" i="11"/>
  <c r="AW63" i="11"/>
  <c r="AT63" i="11"/>
  <c r="AQ63" i="11"/>
  <c r="AN63" i="11"/>
  <c r="AK63" i="11"/>
  <c r="AH63" i="11"/>
  <c r="AE63" i="11"/>
  <c r="AB63" i="11"/>
  <c r="Y63" i="11"/>
  <c r="V63" i="11"/>
  <c r="S63" i="11"/>
  <c r="P63" i="11"/>
  <c r="M63" i="11"/>
  <c r="J63" i="11"/>
  <c r="AW62" i="11"/>
  <c r="AT62" i="11"/>
  <c r="AQ62" i="11"/>
  <c r="AN62" i="11"/>
  <c r="AK62" i="11"/>
  <c r="AH62" i="11"/>
  <c r="AE62" i="11"/>
  <c r="AB62" i="11"/>
  <c r="Y62" i="11"/>
  <c r="V62" i="11"/>
  <c r="S62" i="11"/>
  <c r="P62" i="11"/>
  <c r="M62" i="11"/>
  <c r="J62" i="11"/>
  <c r="G62" i="11"/>
  <c r="AX62" i="11" s="1"/>
  <c r="AW61" i="11"/>
  <c r="AT61" i="11"/>
  <c r="AQ61" i="11"/>
  <c r="AN61" i="11"/>
  <c r="AK61" i="11"/>
  <c r="AH61" i="11"/>
  <c r="AE61" i="11"/>
  <c r="AB61" i="11"/>
  <c r="Y61" i="11"/>
  <c r="V61" i="11"/>
  <c r="S61" i="11"/>
  <c r="P61" i="11"/>
  <c r="M61" i="11"/>
  <c r="J61" i="11"/>
  <c r="G61" i="11"/>
  <c r="AX61" i="11" s="1"/>
  <c r="AW60" i="11"/>
  <c r="AT60" i="11"/>
  <c r="AQ60" i="11"/>
  <c r="AN60" i="11"/>
  <c r="AK60" i="11"/>
  <c r="AH60" i="11"/>
  <c r="AE60" i="11"/>
  <c r="AB60" i="11"/>
  <c r="Y60" i="11"/>
  <c r="V60" i="11"/>
  <c r="S60" i="11"/>
  <c r="P60" i="11"/>
  <c r="M60" i="11"/>
  <c r="J60" i="11"/>
  <c r="G60" i="11"/>
  <c r="AX60" i="11" s="1"/>
  <c r="AW59" i="11"/>
  <c r="AT59" i="11"/>
  <c r="AQ59" i="11"/>
  <c r="AN59" i="11"/>
  <c r="AK59" i="11"/>
  <c r="AH59" i="11"/>
  <c r="AE59" i="11"/>
  <c r="AB59" i="11"/>
  <c r="Y59" i="11"/>
  <c r="V59" i="11"/>
  <c r="S59" i="11"/>
  <c r="P59" i="11"/>
  <c r="M59" i="11"/>
  <c r="J59" i="11"/>
  <c r="G59" i="11"/>
  <c r="AX59" i="11" s="1"/>
  <c r="AW58" i="11"/>
  <c r="AT58" i="11"/>
  <c r="AQ58" i="11"/>
  <c r="AN58" i="11"/>
  <c r="AK58" i="11"/>
  <c r="AH58" i="11"/>
  <c r="AE58" i="11"/>
  <c r="AB58" i="11"/>
  <c r="Y58" i="11"/>
  <c r="V58" i="11"/>
  <c r="S58" i="11"/>
  <c r="P58" i="11"/>
  <c r="M58" i="11"/>
  <c r="J58" i="11"/>
  <c r="G58" i="11"/>
  <c r="AX58" i="11" s="1"/>
  <c r="AW57" i="11"/>
  <c r="AT57" i="11"/>
  <c r="AQ57" i="11"/>
  <c r="AN57" i="11"/>
  <c r="AK57" i="11"/>
  <c r="AH57" i="11"/>
  <c r="AE57" i="11"/>
  <c r="AB57" i="11"/>
  <c r="Y57" i="11"/>
  <c r="V57" i="11"/>
  <c r="S57" i="11"/>
  <c r="P57" i="11"/>
  <c r="M57" i="11"/>
  <c r="J57" i="11"/>
  <c r="G57" i="11"/>
  <c r="AX57" i="11" s="1"/>
  <c r="AW56" i="11"/>
  <c r="AT56" i="11"/>
  <c r="AQ56" i="11"/>
  <c r="AN56" i="11"/>
  <c r="AK56" i="11"/>
  <c r="AH56" i="11"/>
  <c r="AE56" i="11"/>
  <c r="AB56" i="11"/>
  <c r="Y56" i="11"/>
  <c r="V56" i="11"/>
  <c r="S56" i="11"/>
  <c r="P56" i="11"/>
  <c r="M56" i="11"/>
  <c r="J56" i="11"/>
  <c r="G56" i="11"/>
  <c r="AX56" i="11" s="1"/>
  <c r="AW55" i="11"/>
  <c r="AT55" i="11"/>
  <c r="AQ55" i="11"/>
  <c r="AN55" i="11"/>
  <c r="AK55" i="11"/>
  <c r="AH55" i="11"/>
  <c r="AE55" i="11"/>
  <c r="AB55" i="11"/>
  <c r="Y55" i="11"/>
  <c r="V55" i="11"/>
  <c r="S55" i="11"/>
  <c r="P55" i="11"/>
  <c r="M55" i="11"/>
  <c r="J55" i="11"/>
  <c r="G55" i="11"/>
  <c r="AX55" i="11" s="1"/>
  <c r="AW54" i="11"/>
  <c r="AT54" i="11"/>
  <c r="AQ54" i="11"/>
  <c r="AN54" i="11"/>
  <c r="AK54" i="11"/>
  <c r="AH54" i="11"/>
  <c r="AE54" i="11"/>
  <c r="AB54" i="11"/>
  <c r="Y54" i="11"/>
  <c r="V54" i="11"/>
  <c r="S54" i="11"/>
  <c r="P54" i="11"/>
  <c r="M54" i="11"/>
  <c r="J54" i="11"/>
  <c r="G54" i="11"/>
  <c r="AX54" i="11" s="1"/>
  <c r="AW53" i="11"/>
  <c r="AT53" i="11"/>
  <c r="AQ53" i="11"/>
  <c r="AN53" i="11"/>
  <c r="AK53" i="11"/>
  <c r="AH53" i="11"/>
  <c r="AE53" i="11"/>
  <c r="AB53" i="11"/>
  <c r="Y53" i="11"/>
  <c r="V53" i="11"/>
  <c r="S53" i="11"/>
  <c r="P53" i="11"/>
  <c r="M53" i="11"/>
  <c r="J53" i="11"/>
  <c r="G53" i="11"/>
  <c r="AX53" i="11" s="1"/>
  <c r="AW52" i="11"/>
  <c r="AT52" i="11"/>
  <c r="AQ52" i="11"/>
  <c r="AN52" i="11"/>
  <c r="AK52" i="11"/>
  <c r="AH52" i="11"/>
  <c r="AE52" i="11"/>
  <c r="AB52" i="11"/>
  <c r="Y52" i="11"/>
  <c r="V52" i="11"/>
  <c r="S52" i="11"/>
  <c r="P52" i="11"/>
  <c r="M52" i="11"/>
  <c r="J52" i="11"/>
  <c r="G52" i="11"/>
  <c r="AX52" i="11" s="1"/>
  <c r="AW51" i="11"/>
  <c r="AT51" i="11"/>
  <c r="AQ51" i="11"/>
  <c r="AN51" i="11"/>
  <c r="AK51" i="11"/>
  <c r="AH51" i="11"/>
  <c r="AE51" i="11"/>
  <c r="AB51" i="11"/>
  <c r="Y51" i="11"/>
  <c r="V51" i="11"/>
  <c r="S51" i="11"/>
  <c r="P51" i="11"/>
  <c r="M51" i="11"/>
  <c r="J51" i="11"/>
  <c r="G51" i="11"/>
  <c r="AX51" i="11" s="1"/>
  <c r="AW50" i="11"/>
  <c r="AT50" i="11"/>
  <c r="AQ50" i="11"/>
  <c r="AN50" i="11"/>
  <c r="AK50" i="11"/>
  <c r="AH50" i="11"/>
  <c r="AE50" i="11"/>
  <c r="AB50" i="11"/>
  <c r="Y50" i="11"/>
  <c r="V50" i="11"/>
  <c r="S50" i="11"/>
  <c r="P50" i="11"/>
  <c r="M50" i="11"/>
  <c r="J50" i="11"/>
  <c r="G50" i="11"/>
  <c r="AX50" i="11" s="1"/>
  <c r="AW49" i="11"/>
  <c r="AT49" i="11"/>
  <c r="AQ49" i="11"/>
  <c r="AN49" i="11"/>
  <c r="AK49" i="11"/>
  <c r="AH49" i="11"/>
  <c r="AE49" i="11"/>
  <c r="AB49" i="11"/>
  <c r="Y49" i="11"/>
  <c r="V49" i="11"/>
  <c r="S49" i="11"/>
  <c r="P49" i="11"/>
  <c r="M49" i="11"/>
  <c r="J49" i="11"/>
  <c r="G49" i="11"/>
  <c r="AX49" i="11" s="1"/>
  <c r="AW48" i="11"/>
  <c r="AT48" i="11"/>
  <c r="AQ48" i="11"/>
  <c r="AN48" i="11"/>
  <c r="AK48" i="11"/>
  <c r="AH48" i="11"/>
  <c r="AE48" i="11"/>
  <c r="AB48" i="11"/>
  <c r="Y48" i="11"/>
  <c r="V48" i="11"/>
  <c r="S48" i="11"/>
  <c r="P48" i="11"/>
  <c r="M48" i="11"/>
  <c r="J48" i="11"/>
  <c r="G48" i="11"/>
  <c r="AX48" i="11" s="1"/>
  <c r="AW47" i="11"/>
  <c r="AT47" i="11"/>
  <c r="AQ47" i="11"/>
  <c r="AN47" i="11"/>
  <c r="AK47" i="11"/>
  <c r="AH47" i="11"/>
  <c r="AE47" i="11"/>
  <c r="AB47" i="11"/>
  <c r="Y47" i="11"/>
  <c r="V47" i="11"/>
  <c r="S47" i="11"/>
  <c r="P47" i="11"/>
  <c r="M47" i="11"/>
  <c r="J47" i="11"/>
  <c r="G47" i="11"/>
  <c r="AX47" i="11" s="1"/>
  <c r="AW46" i="11"/>
  <c r="AT46" i="11"/>
  <c r="AQ46" i="11"/>
  <c r="AN46" i="11"/>
  <c r="AK46" i="11"/>
  <c r="AH46" i="11"/>
  <c r="AE46" i="11"/>
  <c r="AB46" i="11"/>
  <c r="Y46" i="11"/>
  <c r="V46" i="11"/>
  <c r="S46" i="11"/>
  <c r="P46" i="11"/>
  <c r="M46" i="11"/>
  <c r="J46" i="11"/>
  <c r="G46" i="11"/>
  <c r="AX46" i="11" s="1"/>
  <c r="AW45" i="11"/>
  <c r="AT45" i="11"/>
  <c r="AQ45" i="11"/>
  <c r="AN45" i="11"/>
  <c r="AK45" i="11"/>
  <c r="AH45" i="11"/>
  <c r="AE45" i="11"/>
  <c r="AB45" i="11"/>
  <c r="Y45" i="11"/>
  <c r="V45" i="11"/>
  <c r="S45" i="11"/>
  <c r="P45" i="11"/>
  <c r="M45" i="11"/>
  <c r="J45" i="11"/>
  <c r="G45" i="11"/>
  <c r="AX45" i="11" s="1"/>
  <c r="AW44" i="11"/>
  <c r="AT44" i="11"/>
  <c r="AQ44" i="11"/>
  <c r="AN44" i="11"/>
  <c r="AK44" i="11"/>
  <c r="AH44" i="11"/>
  <c r="AE44" i="11"/>
  <c r="AB44" i="11"/>
  <c r="Y44" i="11"/>
  <c r="V44" i="11"/>
  <c r="S44" i="11"/>
  <c r="P44" i="11"/>
  <c r="M44" i="11"/>
  <c r="J44" i="11"/>
  <c r="G44" i="11"/>
  <c r="AX44" i="11" s="1"/>
  <c r="AW43" i="11"/>
  <c r="AT43" i="11"/>
  <c r="AQ43" i="11"/>
  <c r="AN43" i="11"/>
  <c r="AK43" i="11"/>
  <c r="AH43" i="11"/>
  <c r="AE43" i="11"/>
  <c r="AB43" i="11"/>
  <c r="Y43" i="11"/>
  <c r="V43" i="11"/>
  <c r="S43" i="11"/>
  <c r="P43" i="11"/>
  <c r="M43" i="11"/>
  <c r="J43" i="11"/>
  <c r="G43" i="11"/>
  <c r="AX43" i="11" s="1"/>
  <c r="AW42" i="11"/>
  <c r="AT42" i="11"/>
  <c r="AQ42" i="11"/>
  <c r="AN42" i="11"/>
  <c r="AK42" i="11"/>
  <c r="AH42" i="11"/>
  <c r="AE42" i="11"/>
  <c r="AB42" i="11"/>
  <c r="Y42" i="11"/>
  <c r="V42" i="11"/>
  <c r="S42" i="11"/>
  <c r="P42" i="11"/>
  <c r="M42" i="11"/>
  <c r="J42" i="11"/>
  <c r="G42" i="11"/>
  <c r="AX42" i="11" s="1"/>
  <c r="AW41" i="11"/>
  <c r="AT41" i="11"/>
  <c r="AQ41" i="11"/>
  <c r="AN41" i="11"/>
  <c r="AK41" i="11"/>
  <c r="AH41" i="11"/>
  <c r="AE41" i="11"/>
  <c r="AB41" i="11"/>
  <c r="Y41" i="11"/>
  <c r="V41" i="11"/>
  <c r="S41" i="11"/>
  <c r="P41" i="11"/>
  <c r="M41" i="11"/>
  <c r="J41" i="11"/>
  <c r="G41" i="11"/>
  <c r="AX41" i="11" s="1"/>
  <c r="AW40" i="11"/>
  <c r="AT40" i="11"/>
  <c r="AQ40" i="11"/>
  <c r="AN40" i="11"/>
  <c r="AK40" i="11"/>
  <c r="AH40" i="11"/>
  <c r="AE40" i="11"/>
  <c r="AB40" i="11"/>
  <c r="Y40" i="11"/>
  <c r="V40" i="11"/>
  <c r="S40" i="11"/>
  <c r="P40" i="11"/>
  <c r="M40" i="11"/>
  <c r="J40" i="11"/>
  <c r="G40" i="11"/>
  <c r="AX40" i="11" s="1"/>
  <c r="AW39" i="11"/>
  <c r="AT39" i="11"/>
  <c r="AQ39" i="11"/>
  <c r="AN39" i="11"/>
  <c r="AK39" i="11"/>
  <c r="AH39" i="11"/>
  <c r="AE39" i="11"/>
  <c r="AB39" i="11"/>
  <c r="Y39" i="11"/>
  <c r="V39" i="11"/>
  <c r="S39" i="11"/>
  <c r="P39" i="11"/>
  <c r="M39" i="11"/>
  <c r="J39" i="11"/>
  <c r="G39" i="11"/>
  <c r="AX39" i="11" s="1"/>
  <c r="AW38" i="11"/>
  <c r="AT38" i="11"/>
  <c r="AQ38" i="11"/>
  <c r="AN38" i="11"/>
  <c r="AK38" i="11"/>
  <c r="AH38" i="11"/>
  <c r="AE38" i="11"/>
  <c r="AB38" i="11"/>
  <c r="Y38" i="11"/>
  <c r="V38" i="11"/>
  <c r="S38" i="11"/>
  <c r="P38" i="11"/>
  <c r="M38" i="11"/>
  <c r="J38" i="11"/>
  <c r="G38" i="11"/>
  <c r="AX38" i="11" s="1"/>
  <c r="AW37" i="11"/>
  <c r="AT37" i="11"/>
  <c r="AQ37" i="11"/>
  <c r="AN37" i="11"/>
  <c r="AK37" i="11"/>
  <c r="AH37" i="11"/>
  <c r="AE37" i="11"/>
  <c r="AB37" i="11"/>
  <c r="Y37" i="11"/>
  <c r="V37" i="11"/>
  <c r="S37" i="11"/>
  <c r="P37" i="11"/>
  <c r="M37" i="11"/>
  <c r="J37" i="11"/>
  <c r="G37" i="11"/>
  <c r="AX37" i="11" s="1"/>
  <c r="AW36" i="11"/>
  <c r="AT36" i="11"/>
  <c r="AQ36" i="11"/>
  <c r="AN36" i="11"/>
  <c r="AK36" i="11"/>
  <c r="AH36" i="11"/>
  <c r="AE36" i="11"/>
  <c r="AB36" i="11"/>
  <c r="Y36" i="11"/>
  <c r="V36" i="11"/>
  <c r="S36" i="11"/>
  <c r="P36" i="11"/>
  <c r="M36" i="11"/>
  <c r="J36" i="11"/>
  <c r="G36" i="11"/>
  <c r="AX36" i="11" s="1"/>
  <c r="AW35" i="11"/>
  <c r="AT35" i="11"/>
  <c r="AQ35" i="11"/>
  <c r="AN35" i="11"/>
  <c r="AK35" i="11"/>
  <c r="AH35" i="11"/>
  <c r="AE35" i="11"/>
  <c r="AB35" i="11"/>
  <c r="Y35" i="11"/>
  <c r="V35" i="11"/>
  <c r="S35" i="11"/>
  <c r="P35" i="11"/>
  <c r="M35" i="11"/>
  <c r="J35" i="11"/>
  <c r="G35" i="11"/>
  <c r="AX35" i="11" s="1"/>
  <c r="AX34" i="11"/>
  <c r="AW34" i="11"/>
  <c r="AT34" i="11"/>
  <c r="AQ34" i="11"/>
  <c r="AN34" i="11"/>
  <c r="AK34" i="11"/>
  <c r="AH34" i="11"/>
  <c r="AE34" i="11"/>
  <c r="AB34" i="11"/>
  <c r="Y34" i="11"/>
  <c r="V34" i="11"/>
  <c r="S34" i="11"/>
  <c r="P34" i="11"/>
  <c r="M34" i="11"/>
  <c r="J34" i="11"/>
  <c r="G34" i="11"/>
  <c r="AX33" i="11"/>
  <c r="AW33" i="11"/>
  <c r="AT33" i="11"/>
  <c r="AQ33" i="11"/>
  <c r="AN33" i="11"/>
  <c r="AK33" i="11"/>
  <c r="AH33" i="11"/>
  <c r="AE33" i="11"/>
  <c r="AB33" i="11"/>
  <c r="Y33" i="11"/>
  <c r="V33" i="11"/>
  <c r="S33" i="11"/>
  <c r="P33" i="11"/>
  <c r="M33" i="11"/>
  <c r="J33" i="11"/>
  <c r="G33" i="11"/>
  <c r="AX32" i="11"/>
  <c r="AW32" i="11"/>
  <c r="AT32" i="11"/>
  <c r="AQ32" i="11"/>
  <c r="AN32" i="11"/>
  <c r="AK32" i="11"/>
  <c r="AH32" i="11"/>
  <c r="AE32" i="11"/>
  <c r="AB32" i="11"/>
  <c r="Y32" i="11"/>
  <c r="V32" i="11"/>
  <c r="S32" i="11"/>
  <c r="P32" i="11"/>
  <c r="M32" i="11"/>
  <c r="J32" i="11"/>
  <c r="G32" i="11"/>
  <c r="AX31" i="11"/>
  <c r="AW31" i="11"/>
  <c r="AT31" i="11"/>
  <c r="AQ31" i="11"/>
  <c r="AN31" i="11"/>
  <c r="AK31" i="11"/>
  <c r="AH31" i="11"/>
  <c r="AE31" i="11"/>
  <c r="AB31" i="11"/>
  <c r="Y31" i="11"/>
  <c r="V31" i="11"/>
  <c r="S31" i="11"/>
  <c r="P31" i="11"/>
  <c r="M31" i="11"/>
  <c r="J31" i="11"/>
  <c r="G31" i="11"/>
  <c r="AX30" i="11"/>
  <c r="AW30" i="11"/>
  <c r="AT30" i="11"/>
  <c r="AQ30" i="11"/>
  <c r="AN30" i="11"/>
  <c r="AK30" i="11"/>
  <c r="AH30" i="11"/>
  <c r="AE30" i="11"/>
  <c r="AB30" i="11"/>
  <c r="Y30" i="11"/>
  <c r="V30" i="11"/>
  <c r="S30" i="11"/>
  <c r="P30" i="11"/>
  <c r="M30" i="11"/>
  <c r="J30" i="11"/>
  <c r="G30" i="11"/>
  <c r="AX29" i="11"/>
  <c r="AW29" i="11"/>
  <c r="AT29" i="11"/>
  <c r="AQ29" i="11"/>
  <c r="AN29" i="11"/>
  <c r="AK29" i="11"/>
  <c r="AH29" i="11"/>
  <c r="AE29" i="11"/>
  <c r="AB29" i="11"/>
  <c r="Y29" i="11"/>
  <c r="V29" i="11"/>
  <c r="S29" i="11"/>
  <c r="P29" i="11"/>
  <c r="M29" i="11"/>
  <c r="J29" i="11"/>
  <c r="G29" i="11"/>
  <c r="AX28" i="11"/>
  <c r="AW28" i="11"/>
  <c r="AT28" i="11"/>
  <c r="AQ28" i="11"/>
  <c r="AN28" i="11"/>
  <c r="AK28" i="11"/>
  <c r="AH28" i="11"/>
  <c r="AE28" i="11"/>
  <c r="AB28" i="11"/>
  <c r="Y28" i="11"/>
  <c r="V28" i="11"/>
  <c r="S28" i="11"/>
  <c r="P28" i="11"/>
  <c r="M28" i="11"/>
  <c r="J28" i="11"/>
  <c r="G28" i="11"/>
  <c r="AX27" i="11"/>
  <c r="AW27" i="11"/>
  <c r="AT27" i="11"/>
  <c r="AQ27" i="11"/>
  <c r="AN27" i="11"/>
  <c r="AK27" i="11"/>
  <c r="AH27" i="11"/>
  <c r="AE27" i="11"/>
  <c r="AB27" i="11"/>
  <c r="Y27" i="11"/>
  <c r="V27" i="11"/>
  <c r="S27" i="11"/>
  <c r="P27" i="11"/>
  <c r="M27" i="11"/>
  <c r="J27" i="11"/>
  <c r="G27" i="11"/>
  <c r="AX26" i="11"/>
  <c r="AW26" i="11"/>
  <c r="AT26" i="11"/>
  <c r="AQ26" i="11"/>
  <c r="AN26" i="11"/>
  <c r="AK26" i="11"/>
  <c r="AH26" i="11"/>
  <c r="AE26" i="11"/>
  <c r="AB26" i="11"/>
  <c r="Y26" i="11"/>
  <c r="V26" i="11"/>
  <c r="S26" i="11"/>
  <c r="P26" i="11"/>
  <c r="M26" i="11"/>
  <c r="J26" i="11"/>
  <c r="G26" i="11"/>
  <c r="AX25" i="11"/>
  <c r="AW25" i="11"/>
  <c r="AT25" i="11"/>
  <c r="AQ25" i="11"/>
  <c r="AN25" i="11"/>
  <c r="AK25" i="11"/>
  <c r="AH25" i="11"/>
  <c r="AE25" i="11"/>
  <c r="AB25" i="11"/>
  <c r="Y25" i="11"/>
  <c r="V25" i="11"/>
  <c r="S25" i="11"/>
  <c r="P25" i="11"/>
  <c r="M25" i="11"/>
  <c r="J25" i="11"/>
  <c r="G25" i="11"/>
  <c r="AX24" i="11"/>
  <c r="AW24" i="11"/>
  <c r="AT24" i="11"/>
  <c r="AQ24" i="11"/>
  <c r="AN24" i="11"/>
  <c r="AK24" i="11"/>
  <c r="AH24" i="11"/>
  <c r="AE24" i="11"/>
  <c r="AB24" i="11"/>
  <c r="Y24" i="11"/>
  <c r="V24" i="11"/>
  <c r="S24" i="11"/>
  <c r="P24" i="11"/>
  <c r="M24" i="11"/>
  <c r="J24" i="11"/>
  <c r="G24" i="11"/>
  <c r="AX23" i="11"/>
  <c r="AW23" i="11"/>
  <c r="AT23" i="11"/>
  <c r="AQ23" i="11"/>
  <c r="AN23" i="11"/>
  <c r="AK23" i="11"/>
  <c r="AH23" i="11"/>
  <c r="AE23" i="11"/>
  <c r="AB23" i="11"/>
  <c r="Y23" i="11"/>
  <c r="V23" i="11"/>
  <c r="S23" i="11"/>
  <c r="P23" i="11"/>
  <c r="M23" i="11"/>
  <c r="J23" i="11"/>
  <c r="G23" i="11"/>
  <c r="AX22" i="11"/>
  <c r="AW22" i="11"/>
  <c r="AT22" i="11"/>
  <c r="AQ22" i="11"/>
  <c r="AN22" i="11"/>
  <c r="AK22" i="11"/>
  <c r="AH22" i="11"/>
  <c r="AE22" i="11"/>
  <c r="AB22" i="11"/>
  <c r="Y22" i="11"/>
  <c r="V22" i="11"/>
  <c r="S22" i="11"/>
  <c r="P22" i="11"/>
  <c r="M22" i="11"/>
  <c r="J22" i="11"/>
  <c r="G22" i="11"/>
  <c r="AX21" i="11"/>
  <c r="AW21" i="11"/>
  <c r="AT21" i="11"/>
  <c r="AQ21" i="11"/>
  <c r="AN21" i="11"/>
  <c r="AK21" i="11"/>
  <c r="AH21" i="11"/>
  <c r="AE21" i="11"/>
  <c r="AB21" i="11"/>
  <c r="Y21" i="11"/>
  <c r="V21" i="11"/>
  <c r="S21" i="11"/>
  <c r="P21" i="11"/>
  <c r="M21" i="11"/>
  <c r="J21" i="11"/>
  <c r="G21" i="11"/>
  <c r="AX20" i="11"/>
  <c r="AW20" i="11"/>
  <c r="AT20" i="11"/>
  <c r="AQ20" i="11"/>
  <c r="AN20" i="11"/>
  <c r="AK20" i="11"/>
  <c r="AH20" i="11"/>
  <c r="AE20" i="11"/>
  <c r="AB20" i="11"/>
  <c r="Y20" i="11"/>
  <c r="V20" i="11"/>
  <c r="S20" i="11"/>
  <c r="P20" i="11"/>
  <c r="M20" i="11"/>
  <c r="J20" i="11"/>
  <c r="G20" i="11"/>
  <c r="AX19" i="11"/>
  <c r="AW19" i="11"/>
  <c r="AT19" i="11"/>
  <c r="AQ19" i="11"/>
  <c r="AN19" i="11"/>
  <c r="AK19" i="11"/>
  <c r="AH19" i="11"/>
  <c r="AE19" i="11"/>
  <c r="AB19" i="11"/>
  <c r="Y19" i="11"/>
  <c r="V19" i="11"/>
  <c r="S19" i="11"/>
  <c r="P19" i="11"/>
  <c r="M19" i="11"/>
  <c r="J19" i="11"/>
  <c r="G19" i="11"/>
  <c r="AX18" i="11"/>
  <c r="AW18" i="11"/>
  <c r="AT18" i="11"/>
  <c r="AQ18" i="11"/>
  <c r="AN18" i="11"/>
  <c r="AK18" i="11"/>
  <c r="AH18" i="11"/>
  <c r="AE18" i="11"/>
  <c r="AB18" i="11"/>
  <c r="Y18" i="11"/>
  <c r="V18" i="11"/>
  <c r="S18" i="11"/>
  <c r="P18" i="11"/>
  <c r="M18" i="11"/>
  <c r="J18" i="11"/>
  <c r="G18" i="11"/>
  <c r="AX17" i="11"/>
  <c r="AW17" i="11"/>
  <c r="AT17" i="11"/>
  <c r="AQ17" i="11"/>
  <c r="AN17" i="11"/>
  <c r="AK17" i="11"/>
  <c r="AH17" i="11"/>
  <c r="AE17" i="11"/>
  <c r="AB17" i="11"/>
  <c r="Y17" i="11"/>
  <c r="V17" i="11"/>
  <c r="S17" i="11"/>
  <c r="P17" i="11"/>
  <c r="M17" i="11"/>
  <c r="J17" i="11"/>
  <c r="G17" i="11"/>
  <c r="AX16" i="11"/>
  <c r="AW16" i="11"/>
  <c r="AT16" i="11"/>
  <c r="AQ16" i="11"/>
  <c r="AN16" i="11"/>
  <c r="AK16" i="11"/>
  <c r="AH16" i="11"/>
  <c r="AE16" i="11"/>
  <c r="AB16" i="11"/>
  <c r="Y16" i="11"/>
  <c r="V16" i="11"/>
  <c r="S16" i="11"/>
  <c r="P16" i="11"/>
  <c r="M16" i="11"/>
  <c r="J16" i="11"/>
  <c r="G16" i="11"/>
  <c r="AX15" i="11"/>
  <c r="AW15" i="11"/>
  <c r="AT15" i="11"/>
  <c r="AQ15" i="11"/>
  <c r="AN15" i="11"/>
  <c r="AK15" i="11"/>
  <c r="AH15" i="11"/>
  <c r="AE15" i="11"/>
  <c r="AB15" i="11"/>
  <c r="Y15" i="11"/>
  <c r="V15" i="11"/>
  <c r="S15" i="11"/>
  <c r="P15" i="11"/>
  <c r="M15" i="11"/>
  <c r="J15" i="11"/>
  <c r="G15" i="11"/>
  <c r="AX14" i="11"/>
  <c r="AW14" i="11"/>
  <c r="AT14" i="11"/>
  <c r="AQ14" i="11"/>
  <c r="AN14" i="11"/>
  <c r="AK14" i="11"/>
  <c r="AH14" i="11"/>
  <c r="AE14" i="11"/>
  <c r="AB14" i="11"/>
  <c r="Y14" i="11"/>
  <c r="V14" i="11"/>
  <c r="S14" i="11"/>
  <c r="P14" i="11"/>
  <c r="M14" i="11"/>
  <c r="J14" i="11"/>
  <c r="G14" i="11"/>
  <c r="AX13" i="11"/>
  <c r="AW13" i="11"/>
  <c r="AT13" i="11"/>
  <c r="AQ13" i="11"/>
  <c r="AN13" i="11"/>
  <c r="AK13" i="11"/>
  <c r="AH13" i="11"/>
  <c r="AE13" i="11"/>
  <c r="AB13" i="11"/>
  <c r="Y13" i="11"/>
  <c r="V13" i="11"/>
  <c r="S13" i="11"/>
  <c r="P13" i="11"/>
  <c r="M13" i="11"/>
  <c r="J13" i="11"/>
  <c r="G13" i="11"/>
  <c r="AX12" i="11"/>
  <c r="AW12" i="11"/>
  <c r="AT12" i="11"/>
  <c r="AQ12" i="11"/>
  <c r="AN12" i="11"/>
  <c r="AK12" i="11"/>
  <c r="AH12" i="11"/>
  <c r="AE12" i="11"/>
  <c r="AB12" i="11"/>
  <c r="Y12" i="11"/>
  <c r="V12" i="11"/>
  <c r="S12" i="11"/>
  <c r="P12" i="11"/>
  <c r="M12" i="11"/>
  <c r="J12" i="11"/>
  <c r="G12" i="11"/>
  <c r="AX11" i="11"/>
  <c r="AW11" i="11"/>
  <c r="AT11" i="11"/>
  <c r="AQ11" i="11"/>
  <c r="AN11" i="11"/>
  <c r="AK11" i="11"/>
  <c r="AH11" i="11"/>
  <c r="AE11" i="11"/>
  <c r="AB11" i="11"/>
  <c r="Y11" i="11"/>
  <c r="V11" i="11"/>
  <c r="S11" i="11"/>
  <c r="P11" i="11"/>
  <c r="M11" i="11"/>
  <c r="J11" i="11"/>
  <c r="G11" i="11"/>
  <c r="AX10" i="11"/>
  <c r="AW10" i="11"/>
  <c r="AT10" i="11"/>
  <c r="AQ10" i="11"/>
  <c r="AN10" i="11"/>
  <c r="AK10" i="11"/>
  <c r="AH10" i="11"/>
  <c r="AE10" i="11"/>
  <c r="AB10" i="11"/>
  <c r="Y10" i="11"/>
  <c r="V10" i="11"/>
  <c r="S10" i="11"/>
  <c r="P10" i="11"/>
  <c r="M10" i="11"/>
  <c r="J10" i="11"/>
  <c r="G10" i="11"/>
  <c r="AX9" i="11"/>
  <c r="AW9" i="11"/>
  <c r="AT9" i="11"/>
  <c r="AQ9" i="11"/>
  <c r="AN9" i="11"/>
  <c r="AK9" i="11"/>
  <c r="AH9" i="11"/>
  <c r="AE9" i="11"/>
  <c r="AB9" i="11"/>
  <c r="Y9" i="11"/>
  <c r="V9" i="11"/>
  <c r="S9" i="11"/>
  <c r="P9" i="11"/>
  <c r="M9" i="11"/>
  <c r="J9" i="11"/>
  <c r="G9" i="11"/>
  <c r="AX8" i="11"/>
  <c r="AW8" i="11"/>
  <c r="AT8" i="11"/>
  <c r="AQ8" i="11"/>
  <c r="AN8" i="11"/>
  <c r="AK8" i="11"/>
  <c r="AH8" i="11"/>
  <c r="AE8" i="11"/>
  <c r="AB8" i="11"/>
  <c r="Y8" i="11"/>
  <c r="V8" i="11"/>
  <c r="S8" i="11"/>
  <c r="P8" i="11"/>
  <c r="M8" i="11"/>
  <c r="J8" i="11"/>
  <c r="G8" i="11"/>
  <c r="AX7" i="11"/>
  <c r="AW7" i="11"/>
  <c r="AT7" i="11"/>
  <c r="AQ7" i="11"/>
  <c r="AN7" i="11"/>
  <c r="AK7" i="11"/>
  <c r="AH7" i="11"/>
  <c r="AE7" i="11"/>
  <c r="AB7" i="11"/>
  <c r="Y7" i="11"/>
  <c r="V7" i="11"/>
  <c r="S7" i="11"/>
  <c r="P7" i="11"/>
  <c r="M7" i="11"/>
  <c r="J7" i="11"/>
  <c r="G7" i="11"/>
  <c r="AX6" i="11"/>
  <c r="AW6" i="11"/>
  <c r="AT6" i="11"/>
  <c r="AQ6" i="11"/>
  <c r="AN6" i="11"/>
  <c r="AK6" i="11"/>
  <c r="AH6" i="11"/>
  <c r="AE6" i="11"/>
  <c r="AB6" i="11"/>
  <c r="Y6" i="11"/>
  <c r="V6" i="11"/>
  <c r="S6" i="11"/>
  <c r="P6" i="11"/>
  <c r="M6" i="11"/>
  <c r="J6" i="11"/>
  <c r="G6" i="11"/>
  <c r="AX5" i="11"/>
  <c r="AW5" i="11"/>
  <c r="AT5" i="11"/>
  <c r="AQ5" i="11"/>
  <c r="AN5" i="11"/>
  <c r="AK5" i="11"/>
  <c r="AH5" i="11"/>
  <c r="AE5" i="11"/>
  <c r="AB5" i="11"/>
  <c r="Y5" i="11"/>
  <c r="V5" i="11"/>
  <c r="S5" i="11"/>
  <c r="P5" i="11"/>
  <c r="M5" i="11"/>
  <c r="J5" i="11"/>
  <c r="G5" i="11"/>
  <c r="AX4" i="11"/>
  <c r="AW4" i="11"/>
  <c r="AT4" i="11"/>
  <c r="AQ4" i="11"/>
  <c r="AN4" i="11"/>
  <c r="AK4" i="11"/>
  <c r="AH4" i="11"/>
  <c r="AE4" i="11"/>
  <c r="AB4" i="11"/>
  <c r="Y4" i="11"/>
  <c r="V4" i="11"/>
  <c r="S4" i="11"/>
  <c r="P4" i="11"/>
  <c r="M4" i="11"/>
  <c r="J4" i="11"/>
  <c r="G4" i="11"/>
  <c r="AX3" i="11"/>
  <c r="AW3" i="11"/>
  <c r="AT3" i="11"/>
  <c r="AQ3" i="11"/>
  <c r="AN3" i="11"/>
  <c r="AK3" i="11"/>
  <c r="AH3" i="11"/>
  <c r="AE3" i="11"/>
  <c r="AB3" i="11"/>
  <c r="Y3" i="11"/>
  <c r="V3" i="11"/>
  <c r="S3" i="11"/>
  <c r="P3" i="11"/>
  <c r="M3" i="11"/>
  <c r="J3" i="11"/>
  <c r="G3" i="11"/>
  <c r="F217" i="10"/>
  <c r="F212" i="10"/>
  <c r="F207" i="10"/>
  <c r="F202" i="10"/>
  <c r="F197" i="10"/>
  <c r="F192" i="10"/>
  <c r="F187" i="10"/>
  <c r="F182" i="10"/>
  <c r="F177" i="10"/>
  <c r="F172" i="10"/>
  <c r="F167" i="10"/>
  <c r="F162" i="10"/>
  <c r="F157" i="10"/>
  <c r="F152" i="10"/>
  <c r="F147" i="10"/>
  <c r="F142" i="10"/>
  <c r="F137" i="10"/>
  <c r="F132" i="10"/>
  <c r="F127" i="10"/>
  <c r="F122" i="10"/>
  <c r="F117" i="10"/>
  <c r="F112" i="10"/>
  <c r="F107" i="10"/>
  <c r="F102" i="10"/>
  <c r="F97" i="10"/>
  <c r="F92" i="10"/>
  <c r="F87" i="10"/>
  <c r="F82" i="10"/>
  <c r="F77" i="10"/>
  <c r="F72" i="10"/>
  <c r="F67" i="10"/>
  <c r="F62" i="10"/>
  <c r="F57" i="10"/>
  <c r="F52" i="10"/>
  <c r="F47" i="10"/>
  <c r="F42" i="10"/>
  <c r="F37" i="10"/>
  <c r="F32" i="10"/>
  <c r="F27" i="10"/>
  <c r="F22" i="10"/>
  <c r="F17" i="10"/>
  <c r="F12" i="10"/>
  <c r="F7" i="10"/>
  <c r="F2" i="10"/>
  <c r="I227" i="9"/>
  <c r="AB222" i="9"/>
  <c r="S222" i="9"/>
  <c r="AB221" i="9"/>
  <c r="V221" i="9"/>
  <c r="AB220" i="9"/>
  <c r="V220" i="9"/>
  <c r="AB219" i="9"/>
  <c r="AB218" i="9"/>
  <c r="AB217" i="9"/>
  <c r="S217" i="9"/>
  <c r="AB216" i="9"/>
  <c r="AB215" i="9"/>
  <c r="AC217" i="9" s="1"/>
  <c r="AB214" i="9"/>
  <c r="AB213" i="9"/>
  <c r="AB212" i="9"/>
  <c r="S212" i="9"/>
  <c r="AB211" i="9"/>
  <c r="AB210" i="9"/>
  <c r="AB209" i="9"/>
  <c r="AB208" i="9"/>
  <c r="W207" i="9"/>
  <c r="AB207" i="9" s="1"/>
  <c r="V207" i="9"/>
  <c r="S207" i="9"/>
  <c r="AB206" i="9"/>
  <c r="AB205" i="9"/>
  <c r="AB204" i="9"/>
  <c r="AB203" i="9"/>
  <c r="AB202" i="9"/>
  <c r="S202" i="9"/>
  <c r="AB201" i="9"/>
  <c r="AB200" i="9"/>
  <c r="AB199" i="9"/>
  <c r="AB198" i="9"/>
  <c r="AB197" i="9"/>
  <c r="S197" i="9"/>
  <c r="AB196" i="9"/>
  <c r="AB195" i="9"/>
  <c r="AB194" i="9"/>
  <c r="AB193" i="9"/>
  <c r="AB192" i="9"/>
  <c r="S192" i="9"/>
  <c r="AB191" i="9"/>
  <c r="AB190" i="9"/>
  <c r="AB189" i="9"/>
  <c r="AB188" i="9"/>
  <c r="AC192" i="9" s="1"/>
  <c r="AB187" i="9"/>
  <c r="S187" i="9"/>
  <c r="AB186" i="9"/>
  <c r="AB185" i="9"/>
  <c r="AB184" i="9"/>
  <c r="AB183" i="9"/>
  <c r="AC187" i="9" s="1"/>
  <c r="AC182" i="9"/>
  <c r="AB182" i="9"/>
  <c r="S182" i="9"/>
  <c r="AB181" i="9"/>
  <c r="AB180" i="9"/>
  <c r="AB179" i="9"/>
  <c r="AB178" i="9"/>
  <c r="AB177" i="9"/>
  <c r="S177" i="9"/>
  <c r="AB176" i="9"/>
  <c r="AB175" i="9"/>
  <c r="AB174" i="9"/>
  <c r="AB173" i="9"/>
  <c r="AB172" i="9"/>
  <c r="S172" i="9"/>
  <c r="AB171" i="9"/>
  <c r="AB170" i="9"/>
  <c r="AB169" i="9"/>
  <c r="AB168" i="9"/>
  <c r="AB167" i="9"/>
  <c r="S167" i="9"/>
  <c r="AB166" i="9"/>
  <c r="AB165" i="9"/>
  <c r="AC167" i="9" s="1"/>
  <c r="AB164" i="9"/>
  <c r="AB163" i="9"/>
  <c r="AB162" i="9"/>
  <c r="R162" i="9"/>
  <c r="AB161" i="9"/>
  <c r="R161" i="9"/>
  <c r="AB160" i="9"/>
  <c r="R160" i="9"/>
  <c r="W159" i="9"/>
  <c r="AB159" i="9" s="1"/>
  <c r="AC162" i="9" s="1"/>
  <c r="R159" i="9"/>
  <c r="AB158" i="9"/>
  <c r="R158" i="9"/>
  <c r="AB157" i="9"/>
  <c r="R157" i="9"/>
  <c r="AB156" i="9"/>
  <c r="R156" i="9"/>
  <c r="AB155" i="9"/>
  <c r="R155" i="9"/>
  <c r="AB154" i="9"/>
  <c r="R154" i="9"/>
  <c r="AB153" i="9"/>
  <c r="AC157" i="9" s="1"/>
  <c r="R153" i="9"/>
  <c r="AB152" i="9"/>
  <c r="R152" i="9"/>
  <c r="AB151" i="9"/>
  <c r="R151" i="9"/>
  <c r="AB150" i="9"/>
  <c r="R150" i="9"/>
  <c r="AB149" i="9"/>
  <c r="R149" i="9"/>
  <c r="AB148" i="9"/>
  <c r="R148" i="9"/>
  <c r="AB147" i="9"/>
  <c r="R147" i="9"/>
  <c r="AB146" i="9"/>
  <c r="R146" i="9"/>
  <c r="AB145" i="9"/>
  <c r="AB144" i="9"/>
  <c r="R144" i="9"/>
  <c r="AB143" i="9"/>
  <c r="R143" i="9"/>
  <c r="AC142" i="9"/>
  <c r="AB142" i="9"/>
  <c r="W142" i="9"/>
  <c r="Q142" i="9"/>
  <c r="O142" i="9"/>
  <c r="N142" i="9"/>
  <c r="M142" i="9"/>
  <c r="L142" i="9"/>
  <c r="K142" i="9"/>
  <c r="H142" i="9"/>
  <c r="F142" i="9"/>
  <c r="AB141" i="9"/>
  <c r="Q141" i="9"/>
  <c r="N141" i="9"/>
  <c r="K141" i="9"/>
  <c r="H141" i="9"/>
  <c r="F141" i="9"/>
  <c r="AB140" i="9"/>
  <c r="Q140" i="9"/>
  <c r="O140" i="9"/>
  <c r="N140" i="9"/>
  <c r="K140" i="9"/>
  <c r="H140" i="9"/>
  <c r="R140" i="9" s="1"/>
  <c r="AB139" i="9"/>
  <c r="Q139" i="9"/>
  <c r="P139" i="9"/>
  <c r="O139" i="9"/>
  <c r="N139" i="9"/>
  <c r="M139" i="9"/>
  <c r="L139" i="9"/>
  <c r="K139" i="9"/>
  <c r="H139" i="9"/>
  <c r="AB138" i="9"/>
  <c r="Q138" i="9"/>
  <c r="O138" i="9"/>
  <c r="N138" i="9"/>
  <c r="M138" i="9"/>
  <c r="L138" i="9"/>
  <c r="K138" i="9"/>
  <c r="H138" i="9"/>
  <c r="E138" i="9"/>
  <c r="R138" i="9" s="1"/>
  <c r="AB137" i="9"/>
  <c r="R137" i="9"/>
  <c r="O137" i="9"/>
  <c r="N137" i="9"/>
  <c r="K137" i="9"/>
  <c r="H137" i="9"/>
  <c r="AB136" i="9"/>
  <c r="R136" i="9"/>
  <c r="O136" i="9"/>
  <c r="N136" i="9"/>
  <c r="M136" i="9"/>
  <c r="K136" i="9"/>
  <c r="H136" i="9"/>
  <c r="AB135" i="9"/>
  <c r="Q135" i="9"/>
  <c r="O135" i="9"/>
  <c r="N135" i="9"/>
  <c r="K135" i="9"/>
  <c r="H135" i="9"/>
  <c r="AB134" i="9"/>
  <c r="AC137" i="9" s="1"/>
  <c r="Q134" i="9"/>
  <c r="O134" i="9"/>
  <c r="N134" i="9"/>
  <c r="M134" i="9"/>
  <c r="K134" i="9"/>
  <c r="H134" i="9"/>
  <c r="E134" i="9"/>
  <c r="R134" i="9" s="1"/>
  <c r="AB133" i="9"/>
  <c r="W133" i="9"/>
  <c r="R133" i="9"/>
  <c r="N133" i="9"/>
  <c r="K133" i="9"/>
  <c r="H133" i="9"/>
  <c r="AB132" i="9"/>
  <c r="W132" i="9"/>
  <c r="Q132" i="9"/>
  <c r="O132" i="9"/>
  <c r="N132" i="9"/>
  <c r="M132" i="9"/>
  <c r="L132" i="9"/>
  <c r="K132" i="9"/>
  <c r="H132" i="9"/>
  <c r="E132" i="9"/>
  <c r="R132" i="9" s="1"/>
  <c r="AB131" i="9"/>
  <c r="W131" i="9"/>
  <c r="O131" i="9"/>
  <c r="N131" i="9"/>
  <c r="M131" i="9"/>
  <c r="K131" i="9"/>
  <c r="J131" i="9"/>
  <c r="H131" i="9"/>
  <c r="E131" i="9"/>
  <c r="AB130" i="9"/>
  <c r="W130" i="9"/>
  <c r="Q130" i="9"/>
  <c r="O130" i="9"/>
  <c r="N130" i="9"/>
  <c r="L130" i="9"/>
  <c r="K130" i="9"/>
  <c r="R130" i="9" s="1"/>
  <c r="H130" i="9"/>
  <c r="E130" i="9"/>
  <c r="W129" i="9"/>
  <c r="AB129" i="9" s="1"/>
  <c r="AC132" i="9" s="1"/>
  <c r="Q129" i="9"/>
  <c r="P129" i="9"/>
  <c r="O129" i="9"/>
  <c r="N129" i="9"/>
  <c r="K129" i="9"/>
  <c r="H129" i="9"/>
  <c r="R129" i="9" s="1"/>
  <c r="AB128" i="9"/>
  <c r="W128" i="9"/>
  <c r="Q128" i="9"/>
  <c r="O128" i="9"/>
  <c r="N128" i="9"/>
  <c r="M128" i="9"/>
  <c r="K128" i="9"/>
  <c r="H128" i="9"/>
  <c r="AB127" i="9"/>
  <c r="R127" i="9"/>
  <c r="Q127" i="9"/>
  <c r="O127" i="9"/>
  <c r="N127" i="9"/>
  <c r="L127" i="9"/>
  <c r="K127" i="9"/>
  <c r="H127" i="9"/>
  <c r="AB126" i="9"/>
  <c r="R126" i="9"/>
  <c r="O126" i="9"/>
  <c r="N126" i="9"/>
  <c r="M126" i="9"/>
  <c r="K126" i="9"/>
  <c r="H126" i="9"/>
  <c r="AB125" i="9"/>
  <c r="O125" i="9"/>
  <c r="N125" i="9"/>
  <c r="M125" i="9"/>
  <c r="K125" i="9"/>
  <c r="H125" i="9"/>
  <c r="AB124" i="9"/>
  <c r="O124" i="9"/>
  <c r="N124" i="9"/>
  <c r="M124" i="9"/>
  <c r="L124" i="9"/>
  <c r="K124" i="9"/>
  <c r="J124" i="9"/>
  <c r="H124" i="9"/>
  <c r="Z123" i="9"/>
  <c r="W123" i="9"/>
  <c r="AB123" i="9" s="1"/>
  <c r="AC127" i="9" s="1"/>
  <c r="O123" i="9"/>
  <c r="N123" i="9"/>
  <c r="M123" i="9"/>
  <c r="K123" i="9"/>
  <c r="J123" i="9"/>
  <c r="H123" i="9"/>
  <c r="Y122" i="9"/>
  <c r="W122" i="9"/>
  <c r="AB122" i="9" s="1"/>
  <c r="V122" i="9"/>
  <c r="R122" i="9"/>
  <c r="W121" i="9"/>
  <c r="AB121" i="9" s="1"/>
  <c r="V121" i="9"/>
  <c r="AB120" i="9"/>
  <c r="Z120" i="9"/>
  <c r="Q120" i="9"/>
  <c r="M120" i="9"/>
  <c r="K120" i="9"/>
  <c r="H120" i="9"/>
  <c r="R120" i="9" s="1"/>
  <c r="E120" i="9"/>
  <c r="Z119" i="9"/>
  <c r="W119" i="9"/>
  <c r="AB119" i="9" s="1"/>
  <c r="R119" i="9"/>
  <c r="AB118" i="9"/>
  <c r="Z118" i="9"/>
  <c r="W118" i="9"/>
  <c r="Q118" i="9"/>
  <c r="K118" i="9"/>
  <c r="H118" i="9"/>
  <c r="E118" i="9"/>
  <c r="AB117" i="9"/>
  <c r="Z117" i="9"/>
  <c r="W117" i="9"/>
  <c r="V117" i="9"/>
  <c r="R117" i="9"/>
  <c r="O117" i="9"/>
  <c r="N117" i="9"/>
  <c r="M117" i="9"/>
  <c r="K117" i="9"/>
  <c r="J117" i="9"/>
  <c r="H117" i="9"/>
  <c r="E117" i="9"/>
  <c r="AB116" i="9"/>
  <c r="AC117" i="9" s="1"/>
  <c r="W116" i="9"/>
  <c r="O116" i="9"/>
  <c r="N116" i="9"/>
  <c r="M116" i="9"/>
  <c r="K116" i="9"/>
  <c r="J116" i="9"/>
  <c r="H116" i="9"/>
  <c r="E116" i="9"/>
  <c r="W115" i="9"/>
  <c r="AB115" i="9" s="1"/>
  <c r="O115" i="9"/>
  <c r="N115" i="9"/>
  <c r="M115" i="9"/>
  <c r="K115" i="9"/>
  <c r="J115" i="9"/>
  <c r="H115" i="9"/>
  <c r="E115" i="9"/>
  <c r="R115" i="9" s="1"/>
  <c r="AB114" i="9"/>
  <c r="Z114" i="9"/>
  <c r="W114" i="9"/>
  <c r="O114" i="9"/>
  <c r="N114" i="9"/>
  <c r="M114" i="9"/>
  <c r="K114" i="9"/>
  <c r="J114" i="9"/>
  <c r="H114" i="9"/>
  <c r="E114" i="9"/>
  <c r="AB113" i="9"/>
  <c r="Q113" i="9"/>
  <c r="O113" i="9"/>
  <c r="N113" i="9"/>
  <c r="M113" i="9"/>
  <c r="K113" i="9"/>
  <c r="J113" i="9"/>
  <c r="H113" i="9"/>
  <c r="E113" i="9"/>
  <c r="W112" i="9"/>
  <c r="AB112" i="9" s="1"/>
  <c r="R112" i="9"/>
  <c r="Q112" i="9"/>
  <c r="O112" i="9"/>
  <c r="N112" i="9"/>
  <c r="M112" i="9"/>
  <c r="K112" i="9"/>
  <c r="H112" i="9"/>
  <c r="E112" i="9"/>
  <c r="AB111" i="9"/>
  <c r="W111" i="9"/>
  <c r="O111" i="9"/>
  <c r="N111" i="9"/>
  <c r="K111" i="9"/>
  <c r="H111" i="9"/>
  <c r="E111" i="9"/>
  <c r="R111" i="9" s="1"/>
  <c r="W110" i="9"/>
  <c r="AB110" i="9" s="1"/>
  <c r="AB109" i="9"/>
  <c r="W109" i="9"/>
  <c r="W108" i="9"/>
  <c r="AB108" i="9" s="1"/>
  <c r="AC112" i="9" s="1"/>
  <c r="V108" i="9"/>
  <c r="R108" i="9"/>
  <c r="Q108" i="9"/>
  <c r="O108" i="9"/>
  <c r="N108" i="9"/>
  <c r="M108" i="9"/>
  <c r="K108" i="9"/>
  <c r="H108" i="9"/>
  <c r="E108" i="9"/>
  <c r="AB107" i="9"/>
  <c r="O107" i="9"/>
  <c r="N107" i="9"/>
  <c r="M107" i="9"/>
  <c r="K107" i="9"/>
  <c r="H107" i="9"/>
  <c r="E107" i="9"/>
  <c r="R107" i="9" s="1"/>
  <c r="W106" i="9"/>
  <c r="AB106" i="9" s="1"/>
  <c r="Q106" i="9"/>
  <c r="N106" i="9"/>
  <c r="K106" i="9"/>
  <c r="H106" i="9"/>
  <c r="R106" i="9" s="1"/>
  <c r="AB105" i="9"/>
  <c r="R105" i="9"/>
  <c r="Q105" i="9"/>
  <c r="O105" i="9"/>
  <c r="N105" i="9"/>
  <c r="K105" i="9"/>
  <c r="H105" i="9"/>
  <c r="F105" i="9"/>
  <c r="E105" i="9"/>
  <c r="AB104" i="9"/>
  <c r="W104" i="9"/>
  <c r="V104" i="9"/>
  <c r="R104" i="9"/>
  <c r="AB103" i="9"/>
  <c r="R103" i="9"/>
  <c r="AB102" i="9"/>
  <c r="R102" i="9"/>
  <c r="AB101" i="9"/>
  <c r="R101" i="9"/>
  <c r="AB100" i="9"/>
  <c r="R100" i="9"/>
  <c r="AB99" i="9"/>
  <c r="R99" i="9"/>
  <c r="AB98" i="9"/>
  <c r="R98" i="9"/>
  <c r="AC97" i="9"/>
  <c r="AB97" i="9"/>
  <c r="W97" i="9"/>
  <c r="R97" i="9"/>
  <c r="AB96" i="9"/>
  <c r="W96" i="9"/>
  <c r="R96" i="9"/>
  <c r="AB95" i="9"/>
  <c r="R95" i="9"/>
  <c r="AB94" i="9"/>
  <c r="R94" i="9"/>
  <c r="AB93" i="9"/>
  <c r="R93" i="9"/>
  <c r="AB92" i="9"/>
  <c r="R92" i="9"/>
  <c r="AB91" i="9"/>
  <c r="W91" i="9"/>
  <c r="R91" i="9"/>
  <c r="AB90" i="9"/>
  <c r="R90" i="9"/>
  <c r="W89" i="9"/>
  <c r="AB89" i="9" s="1"/>
  <c r="R89" i="9"/>
  <c r="AB88" i="9"/>
  <c r="AC92" i="9" s="1"/>
  <c r="W88" i="9"/>
  <c r="R88" i="9"/>
  <c r="AB87" i="9"/>
  <c r="R87" i="9"/>
  <c r="V86" i="9"/>
  <c r="AB86" i="9" s="1"/>
  <c r="R86" i="9"/>
  <c r="AB85" i="9"/>
  <c r="R85" i="9"/>
  <c r="AB84" i="9"/>
  <c r="V84" i="9"/>
  <c r="R84" i="9"/>
  <c r="W83" i="9"/>
  <c r="AB83" i="9" s="1"/>
  <c r="R83" i="9"/>
  <c r="AC82" i="9"/>
  <c r="Z82" i="9"/>
  <c r="Y82" i="9"/>
  <c r="AB82" i="9" s="1"/>
  <c r="R82" i="9"/>
  <c r="Z81" i="9"/>
  <c r="Y81" i="9"/>
  <c r="AB81" i="9" s="1"/>
  <c r="R81" i="9"/>
  <c r="Y80" i="9"/>
  <c r="AB80" i="9" s="1"/>
  <c r="R80" i="9"/>
  <c r="Q80" i="9"/>
  <c r="AB79" i="9"/>
  <c r="Y79" i="9"/>
  <c r="Q79" i="9"/>
  <c r="O79" i="9"/>
  <c r="N79" i="9"/>
  <c r="M79" i="9"/>
  <c r="J79" i="9"/>
  <c r="H79" i="9"/>
  <c r="AB78" i="9"/>
  <c r="Z78" i="9"/>
  <c r="R78" i="9"/>
  <c r="AB77" i="9"/>
  <c r="R77" i="9"/>
  <c r="Z76" i="9"/>
  <c r="Y76" i="9"/>
  <c r="AB76" i="9" s="1"/>
  <c r="R76" i="9"/>
  <c r="AB75" i="9"/>
  <c r="Z75" i="9"/>
  <c r="R75" i="9"/>
  <c r="Z74" i="9"/>
  <c r="Y74" i="9"/>
  <c r="AB74" i="9" s="1"/>
  <c r="R74" i="9"/>
  <c r="AB73" i="9"/>
  <c r="R73" i="9"/>
  <c r="AB72" i="9"/>
  <c r="R72" i="9"/>
  <c r="Z71" i="9"/>
  <c r="Y71" i="9"/>
  <c r="AB71" i="9" s="1"/>
  <c r="R71" i="9"/>
  <c r="AB70" i="9"/>
  <c r="Z70" i="9"/>
  <c r="Y70" i="9"/>
  <c r="W70" i="9"/>
  <c r="R70" i="9"/>
  <c r="AB69" i="9"/>
  <c r="Y69" i="9"/>
  <c r="Q69" i="9"/>
  <c r="O69" i="9"/>
  <c r="N69" i="9"/>
  <c r="M69" i="9"/>
  <c r="K69" i="9"/>
  <c r="J69" i="9"/>
  <c r="I69" i="9"/>
  <c r="H69" i="9"/>
  <c r="R69" i="9" s="1"/>
  <c r="AB68" i="9"/>
  <c r="Z68" i="9"/>
  <c r="R68" i="9"/>
  <c r="Z67" i="9"/>
  <c r="Y67" i="9"/>
  <c r="AB67" i="9" s="1"/>
  <c r="R67" i="9"/>
  <c r="AB66" i="9"/>
  <c r="Y66" i="9"/>
  <c r="R66" i="9"/>
  <c r="Z65" i="9"/>
  <c r="Y65" i="9"/>
  <c r="AB65" i="9" s="1"/>
  <c r="R65" i="9"/>
  <c r="AB64" i="9"/>
  <c r="Z64" i="9"/>
  <c r="Y64" i="9"/>
  <c r="R64" i="9"/>
  <c r="Z63" i="9"/>
  <c r="Y63" i="9"/>
  <c r="AB63" i="9" s="1"/>
  <c r="R63" i="9"/>
  <c r="AB62" i="9"/>
  <c r="Q62" i="9"/>
  <c r="N62" i="9"/>
  <c r="M62" i="9"/>
  <c r="J62" i="9"/>
  <c r="I62" i="9"/>
  <c r="H62" i="9"/>
  <c r="R62" i="9" s="1"/>
  <c r="AB61" i="9"/>
  <c r="Q61" i="9"/>
  <c r="O61" i="9"/>
  <c r="N61" i="9"/>
  <c r="M61" i="9"/>
  <c r="J61" i="9"/>
  <c r="I61" i="9"/>
  <c r="H61" i="9"/>
  <c r="G61" i="9"/>
  <c r="AB60" i="9"/>
  <c r="Q60" i="9"/>
  <c r="O60" i="9"/>
  <c r="N60" i="9"/>
  <c r="M60" i="9"/>
  <c r="I60" i="9"/>
  <c r="H60" i="9"/>
  <c r="G60" i="9"/>
  <c r="F60" i="9"/>
  <c r="R60" i="9" s="1"/>
  <c r="AB59" i="9"/>
  <c r="Q59" i="9"/>
  <c r="O59" i="9"/>
  <c r="N59" i="9"/>
  <c r="M59" i="9"/>
  <c r="J59" i="9"/>
  <c r="I59" i="9"/>
  <c r="H59" i="9"/>
  <c r="AB58" i="9"/>
  <c r="Q58" i="9"/>
  <c r="O58" i="9"/>
  <c r="N58" i="9"/>
  <c r="M58" i="9"/>
  <c r="J58" i="9"/>
  <c r="I58" i="9"/>
  <c r="H58" i="9"/>
  <c r="F58" i="9"/>
  <c r="E58" i="9"/>
  <c r="AC57" i="9"/>
  <c r="AB57" i="9"/>
  <c r="N57" i="9"/>
  <c r="M57" i="9"/>
  <c r="L57" i="9"/>
  <c r="J57" i="9"/>
  <c r="I57" i="9"/>
  <c r="H57" i="9"/>
  <c r="F57" i="9"/>
  <c r="E57" i="9"/>
  <c r="R57" i="9" s="1"/>
  <c r="AB56" i="9"/>
  <c r="Q56" i="9"/>
  <c r="O56" i="9"/>
  <c r="N56" i="9"/>
  <c r="M56" i="9"/>
  <c r="K56" i="9"/>
  <c r="J56" i="9"/>
  <c r="H56" i="9"/>
  <c r="G56" i="9"/>
  <c r="F56" i="9"/>
  <c r="E56" i="9"/>
  <c r="AB55" i="9"/>
  <c r="Q55" i="9"/>
  <c r="O55" i="9"/>
  <c r="N55" i="9"/>
  <c r="M55" i="9"/>
  <c r="K55" i="9"/>
  <c r="J55" i="9"/>
  <c r="H55" i="9"/>
  <c r="G55" i="9"/>
  <c r="R55" i="9" s="1"/>
  <c r="F55" i="9"/>
  <c r="E55" i="9"/>
  <c r="AB54" i="9"/>
  <c r="Q54" i="9"/>
  <c r="O54" i="9"/>
  <c r="N54" i="9"/>
  <c r="M54" i="9"/>
  <c r="K54" i="9"/>
  <c r="J54" i="9"/>
  <c r="I54" i="9"/>
  <c r="H54" i="9"/>
  <c r="F54" i="9"/>
  <c r="E54" i="9"/>
  <c r="AB53" i="9"/>
  <c r="Q53" i="9"/>
  <c r="O53" i="9"/>
  <c r="N53" i="9"/>
  <c r="M53" i="9"/>
  <c r="L53" i="9"/>
  <c r="K53" i="9"/>
  <c r="J53" i="9"/>
  <c r="H53" i="9"/>
  <c r="G53" i="9"/>
  <c r="F53" i="9"/>
  <c r="R53" i="9" s="1"/>
  <c r="E53" i="9"/>
  <c r="AB52" i="9"/>
  <c r="Q52" i="9"/>
  <c r="O52" i="9"/>
  <c r="N52" i="9"/>
  <c r="M52" i="9"/>
  <c r="K52" i="9"/>
  <c r="J52" i="9"/>
  <c r="H52" i="9"/>
  <c r="F52" i="9"/>
  <c r="R52" i="9" s="1"/>
  <c r="E52" i="9"/>
  <c r="AB51" i="9"/>
  <c r="Q51" i="9"/>
  <c r="O51" i="9"/>
  <c r="N51" i="9"/>
  <c r="J51" i="9"/>
  <c r="H51" i="9"/>
  <c r="F51" i="9"/>
  <c r="R51" i="9" s="1"/>
  <c r="AB50" i="9"/>
  <c r="Q50" i="9"/>
  <c r="O50" i="9"/>
  <c r="N50" i="9"/>
  <c r="M50" i="9"/>
  <c r="K50" i="9"/>
  <c r="J50" i="9"/>
  <c r="H50" i="9"/>
  <c r="F50" i="9"/>
  <c r="AB49" i="9"/>
  <c r="Q49" i="9"/>
  <c r="O49" i="9"/>
  <c r="N49" i="9"/>
  <c r="M49" i="9"/>
  <c r="J49" i="9"/>
  <c r="H49" i="9"/>
  <c r="F49" i="9"/>
  <c r="E49" i="9"/>
  <c r="AB48" i="9"/>
  <c r="Q48" i="9"/>
  <c r="O48" i="9"/>
  <c r="N48" i="9"/>
  <c r="M48" i="9"/>
  <c r="L48" i="9"/>
  <c r="J48" i="9"/>
  <c r="H48" i="9"/>
  <c r="F48" i="9"/>
  <c r="AB47" i="9"/>
  <c r="O47" i="9"/>
  <c r="N47" i="9"/>
  <c r="M47" i="9"/>
  <c r="J47" i="9"/>
  <c r="I47" i="9"/>
  <c r="H47" i="9"/>
  <c r="F47" i="9"/>
  <c r="E47" i="9"/>
  <c r="R47" i="9" s="1"/>
  <c r="AB46" i="9"/>
  <c r="Q46" i="9"/>
  <c r="O46" i="9"/>
  <c r="N46" i="9"/>
  <c r="M46" i="9"/>
  <c r="K46" i="9"/>
  <c r="J46" i="9"/>
  <c r="I46" i="9"/>
  <c r="H46" i="9"/>
  <c r="F46" i="9"/>
  <c r="E46" i="9"/>
  <c r="AB45" i="9"/>
  <c r="Q45" i="9"/>
  <c r="O45" i="9"/>
  <c r="N45" i="9"/>
  <c r="M45" i="9"/>
  <c r="J45" i="9"/>
  <c r="H45" i="9"/>
  <c r="F45" i="9"/>
  <c r="E45" i="9"/>
  <c r="R45" i="9" s="1"/>
  <c r="AB44" i="9"/>
  <c r="Q44" i="9"/>
  <c r="O44" i="9"/>
  <c r="N44" i="9"/>
  <c r="M44" i="9"/>
  <c r="L44" i="9"/>
  <c r="J44" i="9"/>
  <c r="I44" i="9"/>
  <c r="H44" i="9"/>
  <c r="R44" i="9" s="1"/>
  <c r="F44" i="9"/>
  <c r="E44" i="9"/>
  <c r="AB43" i="9"/>
  <c r="R43" i="9"/>
  <c r="AB42" i="9"/>
  <c r="O42" i="9"/>
  <c r="N42" i="9"/>
  <c r="M42" i="9"/>
  <c r="L42" i="9"/>
  <c r="K42" i="9"/>
  <c r="J42" i="9"/>
  <c r="I42" i="9"/>
  <c r="H42" i="9"/>
  <c r="F42" i="9"/>
  <c r="R42" i="9" s="1"/>
  <c r="AB41" i="9"/>
  <c r="AB40" i="9"/>
  <c r="Q40" i="9"/>
  <c r="O40" i="9"/>
  <c r="N40" i="9"/>
  <c r="M40" i="9"/>
  <c r="L40" i="9"/>
  <c r="J40" i="9"/>
  <c r="I40" i="9"/>
  <c r="H40" i="9"/>
  <c r="R40" i="9" s="1"/>
  <c r="F40" i="9"/>
  <c r="AB39" i="9"/>
  <c r="AC42" i="9" s="1"/>
  <c r="AB38" i="9"/>
  <c r="Q38" i="9"/>
  <c r="M38" i="9"/>
  <c r="L38" i="9"/>
  <c r="J38" i="9"/>
  <c r="I38" i="9"/>
  <c r="R38" i="9" s="1"/>
  <c r="S38" i="9" s="1"/>
  <c r="H38" i="9"/>
  <c r="AC37" i="9"/>
  <c r="AB37" i="9"/>
  <c r="R37" i="9"/>
  <c r="AB36" i="9"/>
  <c r="R36" i="9"/>
  <c r="AB35" i="9"/>
  <c r="R35" i="9"/>
  <c r="AB34" i="9"/>
  <c r="R34" i="9"/>
  <c r="E34" i="9"/>
  <c r="AB33" i="9"/>
  <c r="O33" i="9"/>
  <c r="N33" i="9"/>
  <c r="M33" i="9"/>
  <c r="J33" i="9"/>
  <c r="I33" i="9"/>
  <c r="H33" i="9"/>
  <c r="F33" i="9"/>
  <c r="AB32" i="9"/>
  <c r="R32" i="9"/>
  <c r="AB31" i="9"/>
  <c r="R31" i="9"/>
  <c r="AB30" i="9"/>
  <c r="R30" i="9"/>
  <c r="AB29" i="9"/>
  <c r="R29" i="9"/>
  <c r="AB28" i="9"/>
  <c r="S28" i="9"/>
  <c r="R28" i="9"/>
  <c r="AB27" i="9"/>
  <c r="R27" i="9"/>
  <c r="AB26" i="9"/>
  <c r="R26" i="9"/>
  <c r="AB25" i="9"/>
  <c r="R25" i="9"/>
  <c r="AB24" i="9"/>
  <c r="R24" i="9"/>
  <c r="AB23" i="9"/>
  <c r="AC27" i="9" s="1"/>
  <c r="R23" i="9"/>
  <c r="AB22" i="9"/>
  <c r="R22" i="9"/>
  <c r="AB21" i="9"/>
  <c r="O21" i="9"/>
  <c r="R21" i="9" s="1"/>
  <c r="AB20" i="9"/>
  <c r="AB19" i="9"/>
  <c r="R19" i="9"/>
  <c r="AB18" i="9"/>
  <c r="O18" i="9"/>
  <c r="L18" i="9"/>
  <c r="R18" i="9" s="1"/>
  <c r="S18" i="9" s="1"/>
  <c r="AB17" i="9"/>
  <c r="R17" i="9"/>
  <c r="AB16" i="9"/>
  <c r="O16" i="9"/>
  <c r="L16" i="9"/>
  <c r="K16" i="9"/>
  <c r="J16" i="9"/>
  <c r="E16" i="9"/>
  <c r="R16" i="9" s="1"/>
  <c r="AB15" i="9"/>
  <c r="O15" i="9"/>
  <c r="J15" i="9"/>
  <c r="R15" i="9" s="1"/>
  <c r="AB14" i="9"/>
  <c r="O14" i="9"/>
  <c r="L14" i="9"/>
  <c r="K14" i="9"/>
  <c r="J14" i="9"/>
  <c r="E14" i="9"/>
  <c r="R14" i="9" s="1"/>
  <c r="AB13" i="9"/>
  <c r="Q13" i="9"/>
  <c r="O13" i="9"/>
  <c r="N13" i="9"/>
  <c r="M13" i="9"/>
  <c r="L13" i="9"/>
  <c r="K13" i="9"/>
  <c r="J13" i="9"/>
  <c r="I13" i="9"/>
  <c r="H13" i="9"/>
  <c r="AB12" i="9"/>
  <c r="R12" i="9"/>
  <c r="AB11" i="9"/>
  <c r="R11" i="9"/>
  <c r="AB10" i="9"/>
  <c r="R10" i="9"/>
  <c r="Q10" i="9"/>
  <c r="AB9" i="9"/>
  <c r="AC12" i="9" s="1"/>
  <c r="Q9" i="9"/>
  <c r="O9" i="9"/>
  <c r="J9" i="9"/>
  <c r="R9" i="9" s="1"/>
  <c r="I9" i="9"/>
  <c r="AB8" i="9"/>
  <c r="R8" i="9"/>
  <c r="AB7" i="9"/>
  <c r="O7" i="9"/>
  <c r="N7" i="9"/>
  <c r="M7" i="9"/>
  <c r="L7" i="9"/>
  <c r="K7" i="9"/>
  <c r="J7" i="9"/>
  <c r="I7" i="9"/>
  <c r="H7" i="9"/>
  <c r="F7" i="9"/>
  <c r="E7" i="9"/>
  <c r="AB6" i="9"/>
  <c r="Q6" i="9"/>
  <c r="O6" i="9"/>
  <c r="N6" i="9"/>
  <c r="M6" i="9"/>
  <c r="L6" i="9"/>
  <c r="K6" i="9"/>
  <c r="J6" i="9"/>
  <c r="I6" i="9"/>
  <c r="H6" i="9"/>
  <c r="AB5" i="9"/>
  <c r="Y5" i="9"/>
  <c r="Q5" i="9"/>
  <c r="O5" i="9"/>
  <c r="N5" i="9"/>
  <c r="M5" i="9"/>
  <c r="L5" i="9"/>
  <c r="K5" i="9"/>
  <c r="J5" i="9"/>
  <c r="I5" i="9"/>
  <c r="R5" i="9" s="1"/>
  <c r="H5" i="9"/>
  <c r="E5" i="9"/>
  <c r="AB4" i="9"/>
  <c r="Z4" i="9"/>
  <c r="Y4" i="9"/>
  <c r="O4" i="9"/>
  <c r="N4" i="9"/>
  <c r="M4" i="9"/>
  <c r="L4" i="9"/>
  <c r="J4" i="9"/>
  <c r="I4" i="9"/>
  <c r="H4" i="9"/>
  <c r="F4" i="9"/>
  <c r="R4" i="9" s="1"/>
  <c r="E4" i="9"/>
  <c r="AB3" i="9"/>
  <c r="O3" i="9"/>
  <c r="N3" i="9"/>
  <c r="M3" i="9"/>
  <c r="L3" i="9"/>
  <c r="K3" i="9"/>
  <c r="J3" i="9"/>
  <c r="I3" i="9"/>
  <c r="H3" i="9"/>
  <c r="F3" i="9"/>
  <c r="E3" i="9"/>
  <c r="AD222" i="8"/>
  <c r="AB222" i="8"/>
  <c r="X222" i="8"/>
  <c r="U222" i="8"/>
  <c r="AD221" i="8"/>
  <c r="AD220" i="8"/>
  <c r="AD219" i="8"/>
  <c r="AD218" i="8"/>
  <c r="AD217" i="8"/>
  <c r="AB217" i="8"/>
  <c r="X217" i="8"/>
  <c r="U217" i="8"/>
  <c r="AD216" i="8"/>
  <c r="AD215" i="8"/>
  <c r="AD214" i="8"/>
  <c r="AD213" i="8"/>
  <c r="AD212" i="8"/>
  <c r="AB212" i="8"/>
  <c r="X212" i="8"/>
  <c r="U212" i="8"/>
  <c r="AD211" i="8"/>
  <c r="AD210" i="8"/>
  <c r="AD209" i="8"/>
  <c r="AD208" i="8"/>
  <c r="AD207" i="8"/>
  <c r="AB207" i="8"/>
  <c r="X207" i="8"/>
  <c r="U207" i="8"/>
  <c r="AD206" i="8"/>
  <c r="AD205" i="8"/>
  <c r="AD204" i="8"/>
  <c r="AD203" i="8"/>
  <c r="AD202" i="8"/>
  <c r="AB202" i="8"/>
  <c r="X202" i="8"/>
  <c r="U202" i="8"/>
  <c r="AD201" i="8"/>
  <c r="AD200" i="8"/>
  <c r="AD199" i="8"/>
  <c r="AD198" i="8"/>
  <c r="AD197" i="8"/>
  <c r="AB197" i="8"/>
  <c r="X197" i="8"/>
  <c r="U197" i="8"/>
  <c r="AD196" i="8"/>
  <c r="AD195" i="8"/>
  <c r="AD194" i="8"/>
  <c r="AD193" i="8"/>
  <c r="AD192" i="8"/>
  <c r="AB192" i="8"/>
  <c r="X192" i="8"/>
  <c r="U192" i="8"/>
  <c r="AD191" i="8"/>
  <c r="AD190" i="8"/>
  <c r="AD189" i="8"/>
  <c r="AD188" i="8"/>
  <c r="AD187" i="8"/>
  <c r="AB187" i="8"/>
  <c r="X187" i="8"/>
  <c r="U187" i="8"/>
  <c r="AD186" i="8"/>
  <c r="AD185" i="8"/>
  <c r="AD184" i="8"/>
  <c r="AD183" i="8"/>
  <c r="AD182" i="8"/>
  <c r="AB182" i="8"/>
  <c r="X182" i="8"/>
  <c r="U182" i="8"/>
  <c r="AD181" i="8"/>
  <c r="AD180" i="8"/>
  <c r="AD179" i="8"/>
  <c r="AD178" i="8"/>
  <c r="AD177" i="8"/>
  <c r="AB177" i="8"/>
  <c r="X177" i="8"/>
  <c r="U177" i="8"/>
  <c r="AD176" i="8"/>
  <c r="W176" i="8"/>
  <c r="AD175" i="8"/>
  <c r="AD174" i="8"/>
  <c r="AD173" i="8"/>
  <c r="AD172" i="8"/>
  <c r="AB172" i="8"/>
  <c r="X172" i="8"/>
  <c r="U172" i="8"/>
  <c r="AD171" i="8"/>
  <c r="AD170" i="8"/>
  <c r="AD169" i="8"/>
  <c r="AD168" i="8"/>
  <c r="AD167" i="8"/>
  <c r="AB167" i="8"/>
  <c r="U167" i="8"/>
  <c r="T167" i="8"/>
  <c r="AD166" i="8"/>
  <c r="AD165" i="8"/>
  <c r="W164" i="8"/>
  <c r="AD163" i="8"/>
  <c r="AB162" i="8"/>
  <c r="AA162" i="8"/>
  <c r="X162" i="8"/>
  <c r="T162" i="8"/>
  <c r="U162" i="8" s="1"/>
  <c r="AD161" i="8"/>
  <c r="AD160" i="8"/>
  <c r="AD159" i="8"/>
  <c r="AD158" i="8"/>
  <c r="AD157" i="8"/>
  <c r="AB157" i="8"/>
  <c r="X157" i="8"/>
  <c r="U157" i="8"/>
  <c r="AD156" i="8"/>
  <c r="AD155" i="8"/>
  <c r="AD154" i="8"/>
  <c r="AD153" i="8"/>
  <c r="AD152" i="8"/>
  <c r="AB152" i="8"/>
  <c r="U152" i="8"/>
  <c r="AD151" i="8"/>
  <c r="AD150" i="8"/>
  <c r="AD149" i="8"/>
  <c r="AD148" i="8"/>
  <c r="W148" i="8"/>
  <c r="X152" i="8" s="1"/>
  <c r="AB147" i="8"/>
  <c r="W147" i="8"/>
  <c r="AD147" i="8" s="1"/>
  <c r="U147" i="8"/>
  <c r="AD146" i="8"/>
  <c r="AD145" i="8"/>
  <c r="AD144" i="8"/>
  <c r="AD143" i="8"/>
  <c r="AD142" i="8"/>
  <c r="AB142" i="8"/>
  <c r="X142" i="8"/>
  <c r="U142" i="8"/>
  <c r="AD141" i="8"/>
  <c r="AD140" i="8"/>
  <c r="AD139" i="8"/>
  <c r="AD138" i="8"/>
  <c r="AD137" i="8"/>
  <c r="AB137" i="8"/>
  <c r="X137" i="8"/>
  <c r="U137" i="8"/>
  <c r="AD136" i="8"/>
  <c r="AD135" i="8"/>
  <c r="AD134" i="8"/>
  <c r="AD133" i="8"/>
  <c r="AD132" i="8"/>
  <c r="AB132" i="8"/>
  <c r="X132" i="8"/>
  <c r="U132" i="8"/>
  <c r="AD131" i="8"/>
  <c r="AD130" i="8"/>
  <c r="AD129" i="8"/>
  <c r="AD128" i="8"/>
  <c r="AD127" i="8"/>
  <c r="AB127" i="8"/>
  <c r="X127" i="8"/>
  <c r="U127" i="8"/>
  <c r="AD126" i="8"/>
  <c r="AD125" i="8"/>
  <c r="AD124" i="8"/>
  <c r="AD123" i="8"/>
  <c r="AD122" i="8"/>
  <c r="AB122" i="8"/>
  <c r="X122" i="8"/>
  <c r="U122" i="8"/>
  <c r="AD121" i="8"/>
  <c r="AD120" i="8"/>
  <c r="AD119" i="8"/>
  <c r="AD118" i="8"/>
  <c r="AD117" i="8"/>
  <c r="AB117" i="8"/>
  <c r="X117" i="8"/>
  <c r="U117" i="8"/>
  <c r="AD116" i="8"/>
  <c r="AD115" i="8"/>
  <c r="AD114" i="8"/>
  <c r="AD113" i="8"/>
  <c r="AD112" i="8"/>
  <c r="AB112" i="8"/>
  <c r="X112" i="8"/>
  <c r="U112" i="8"/>
  <c r="AD111" i="8"/>
  <c r="AD110" i="8"/>
  <c r="AD109" i="8"/>
  <c r="AD108" i="8"/>
  <c r="AB107" i="8"/>
  <c r="X107" i="8"/>
  <c r="U107" i="8"/>
  <c r="T107" i="8"/>
  <c r="AD107" i="8" s="1"/>
  <c r="AD106" i="8"/>
  <c r="AD105" i="8"/>
  <c r="AD104" i="8"/>
  <c r="AD103" i="8"/>
  <c r="AD102" i="8"/>
  <c r="AB102" i="8"/>
  <c r="U102" i="8"/>
  <c r="AD101" i="8"/>
  <c r="AD100" i="8"/>
  <c r="W100" i="8"/>
  <c r="X102" i="8" s="1"/>
  <c r="AD99" i="8"/>
  <c r="AD98" i="8"/>
  <c r="AD97" i="8"/>
  <c r="AB97" i="8"/>
  <c r="X97" i="8"/>
  <c r="U97" i="8"/>
  <c r="AD96" i="8"/>
  <c r="AD95" i="8"/>
  <c r="AD94" i="8"/>
  <c r="AD93" i="8"/>
  <c r="AD92" i="8"/>
  <c r="AB92" i="8"/>
  <c r="X92" i="8"/>
  <c r="U92" i="8"/>
  <c r="AD91" i="8"/>
  <c r="AD90" i="8"/>
  <c r="AD89" i="8"/>
  <c r="AD88" i="8"/>
  <c r="AD87" i="8"/>
  <c r="AB87" i="8"/>
  <c r="U87" i="8"/>
  <c r="AD86" i="8"/>
  <c r="AD85" i="8"/>
  <c r="AD84" i="8"/>
  <c r="W83" i="8"/>
  <c r="AD82" i="8"/>
  <c r="AB82" i="8"/>
  <c r="X82" i="8"/>
  <c r="U82" i="8"/>
  <c r="AD81" i="8"/>
  <c r="AD80" i="8"/>
  <c r="AD79" i="8"/>
  <c r="AD78" i="8"/>
  <c r="AD77" i="8"/>
  <c r="AB77" i="8"/>
  <c r="X77" i="8"/>
  <c r="U77" i="8"/>
  <c r="AD76" i="8"/>
  <c r="AD75" i="8"/>
  <c r="AD74" i="8"/>
  <c r="AD73" i="8"/>
  <c r="AD72" i="8"/>
  <c r="AB72" i="8"/>
  <c r="X72" i="8"/>
  <c r="U72" i="8"/>
  <c r="AD71" i="8"/>
  <c r="AD70" i="8"/>
  <c r="AD69" i="8"/>
  <c r="AD68" i="8"/>
  <c r="AD67" i="8"/>
  <c r="AB67" i="8"/>
  <c r="X67" i="8"/>
  <c r="U67" i="8"/>
  <c r="AD66" i="8"/>
  <c r="AD65" i="8"/>
  <c r="AD64" i="8"/>
  <c r="AD63" i="8"/>
  <c r="AD62" i="8"/>
  <c r="AB62" i="8"/>
  <c r="X62" i="8"/>
  <c r="W62" i="8"/>
  <c r="U62" i="8"/>
  <c r="AD61" i="8"/>
  <c r="AD60" i="8"/>
  <c r="AD59" i="8"/>
  <c r="AD58" i="8"/>
  <c r="AB57" i="8"/>
  <c r="X57" i="8"/>
  <c r="W57" i="8"/>
  <c r="AD57" i="8" s="1"/>
  <c r="AD56" i="8"/>
  <c r="T55" i="8"/>
  <c r="AD54" i="8"/>
  <c r="AD53" i="8"/>
  <c r="AD52" i="8"/>
  <c r="AB52" i="8"/>
  <c r="X52" i="8"/>
  <c r="U52" i="8"/>
  <c r="AD51" i="8"/>
  <c r="AD50" i="8"/>
  <c r="AD49" i="8"/>
  <c r="AD48" i="8"/>
  <c r="AD47" i="8"/>
  <c r="AB47" i="8"/>
  <c r="AD46" i="8"/>
  <c r="W45" i="8"/>
  <c r="AD44" i="8"/>
  <c r="T43" i="8"/>
  <c r="AB42" i="8"/>
  <c r="X42" i="8"/>
  <c r="T42" i="8"/>
  <c r="AD42" i="8" s="1"/>
  <c r="AD41" i="8"/>
  <c r="T41" i="8"/>
  <c r="AD40" i="8"/>
  <c r="T40" i="8"/>
  <c r="AD39" i="8"/>
  <c r="T39" i="8"/>
  <c r="AD38" i="8"/>
  <c r="T38" i="8"/>
  <c r="AB37" i="8"/>
  <c r="X37" i="8"/>
  <c r="T37" i="8"/>
  <c r="AD37" i="8" s="1"/>
  <c r="AD36" i="8"/>
  <c r="T36" i="8"/>
  <c r="AD35" i="8"/>
  <c r="T35" i="8"/>
  <c r="AD34" i="8"/>
  <c r="T34" i="8"/>
  <c r="T33" i="8"/>
  <c r="AD32" i="8"/>
  <c r="AB32" i="8"/>
  <c r="X32" i="8"/>
  <c r="T32" i="8"/>
  <c r="AD31" i="8"/>
  <c r="T31" i="8"/>
  <c r="T30" i="8"/>
  <c r="AD30" i="8" s="1"/>
  <c r="T29" i="8"/>
  <c r="AD28" i="8"/>
  <c r="T28" i="8"/>
  <c r="AD27" i="8"/>
  <c r="AB27" i="8"/>
  <c r="X27" i="8"/>
  <c r="T27" i="8"/>
  <c r="AD26" i="8"/>
  <c r="T26" i="8"/>
  <c r="T25" i="8"/>
  <c r="AD25" i="8" s="1"/>
  <c r="T24" i="8"/>
  <c r="AD24" i="8" s="1"/>
  <c r="T23" i="8"/>
  <c r="AD23" i="8" s="1"/>
  <c r="AD22" i="8"/>
  <c r="X22" i="8"/>
  <c r="U22" i="8"/>
  <c r="AD21" i="8"/>
  <c r="AD20" i="8"/>
  <c r="AD19" i="8"/>
  <c r="AD18" i="8"/>
  <c r="AD17" i="8"/>
  <c r="X17" i="8"/>
  <c r="U17" i="8"/>
  <c r="AD16" i="8"/>
  <c r="AD15" i="8"/>
  <c r="AD14" i="8"/>
  <c r="AD13" i="8"/>
  <c r="AD12" i="8"/>
  <c r="X12" i="8"/>
  <c r="U12" i="8"/>
  <c r="AD11" i="8"/>
  <c r="AD10" i="8"/>
  <c r="AD9" i="8"/>
  <c r="AD8" i="8"/>
  <c r="AD7" i="8"/>
  <c r="X7" i="8"/>
  <c r="U7" i="8"/>
  <c r="AD6" i="8"/>
  <c r="AD5" i="8"/>
  <c r="AD4" i="8"/>
  <c r="AD3" i="8"/>
  <c r="E226" i="7"/>
  <c r="E225" i="7"/>
  <c r="L223" i="7"/>
  <c r="I223" i="7"/>
  <c r="F223" i="7"/>
  <c r="L218" i="7"/>
  <c r="I218" i="7"/>
  <c r="F218" i="7"/>
  <c r="L213" i="7"/>
  <c r="I213" i="7"/>
  <c r="F213" i="7"/>
  <c r="L208" i="7"/>
  <c r="I208" i="7"/>
  <c r="F208" i="7"/>
  <c r="L203" i="7"/>
  <c r="I203" i="7"/>
  <c r="F203" i="7"/>
  <c r="L198" i="7"/>
  <c r="I198" i="7"/>
  <c r="F198" i="7"/>
  <c r="L193" i="7"/>
  <c r="I193" i="7"/>
  <c r="F193" i="7"/>
  <c r="L188" i="7"/>
  <c r="I188" i="7"/>
  <c r="F188" i="7"/>
  <c r="L183" i="7"/>
  <c r="I183" i="7"/>
  <c r="F183" i="7"/>
  <c r="L178" i="7"/>
  <c r="I178" i="7"/>
  <c r="F178" i="7"/>
  <c r="L173" i="7"/>
  <c r="I173" i="7"/>
  <c r="F173" i="7"/>
  <c r="L168" i="7"/>
  <c r="I168" i="7"/>
  <c r="F168" i="7"/>
  <c r="L163" i="7"/>
  <c r="I163" i="7"/>
  <c r="F163" i="7"/>
  <c r="L158" i="7"/>
  <c r="I158" i="7"/>
  <c r="F158" i="7"/>
  <c r="L153" i="7"/>
  <c r="I153" i="7"/>
  <c r="F153" i="7"/>
  <c r="L148" i="7"/>
  <c r="I148" i="7"/>
  <c r="F148" i="7"/>
  <c r="L143" i="7"/>
  <c r="I143" i="7"/>
  <c r="F143" i="7"/>
  <c r="L138" i="7"/>
  <c r="I138" i="7"/>
  <c r="F138" i="7"/>
  <c r="L133" i="7"/>
  <c r="I133" i="7"/>
  <c r="F133" i="7"/>
  <c r="L128" i="7"/>
  <c r="I128" i="7"/>
  <c r="F128" i="7"/>
  <c r="L123" i="7"/>
  <c r="I123" i="7"/>
  <c r="F123" i="7"/>
  <c r="L118" i="7"/>
  <c r="I118" i="7"/>
  <c r="F118" i="7"/>
  <c r="L113" i="7"/>
  <c r="I113" i="7"/>
  <c r="F113" i="7"/>
  <c r="L108" i="7"/>
  <c r="I108" i="7"/>
  <c r="F108" i="7"/>
  <c r="L103" i="7"/>
  <c r="I103" i="7"/>
  <c r="F103" i="7"/>
  <c r="H99" i="7"/>
  <c r="H225" i="7" s="1"/>
  <c r="L98" i="7"/>
  <c r="I98" i="7"/>
  <c r="F98" i="7"/>
  <c r="L93" i="7"/>
  <c r="I93" i="7"/>
  <c r="F93" i="7"/>
  <c r="I88" i="7"/>
  <c r="F88" i="7"/>
  <c r="K86" i="7"/>
  <c r="L88" i="7" s="1"/>
  <c r="L83" i="7"/>
  <c r="I83" i="7"/>
  <c r="F83" i="7"/>
  <c r="L78" i="7"/>
  <c r="I78" i="7"/>
  <c r="F78" i="7"/>
  <c r="L73" i="7"/>
  <c r="I73" i="7"/>
  <c r="F73" i="7"/>
  <c r="L68" i="7"/>
  <c r="I68" i="7"/>
  <c r="F68" i="7"/>
  <c r="I63" i="7"/>
  <c r="F63" i="7"/>
  <c r="K61" i="7"/>
  <c r="L63" i="7" s="1"/>
  <c r="L58" i="7"/>
  <c r="I58" i="7"/>
  <c r="F58" i="7"/>
  <c r="L53" i="7"/>
  <c r="I53" i="7"/>
  <c r="F53" i="7"/>
  <c r="I48" i="7"/>
  <c r="F48" i="7"/>
  <c r="K45" i="7"/>
  <c r="L48" i="7" s="1"/>
  <c r="L43" i="7"/>
  <c r="I43" i="7"/>
  <c r="F43" i="7"/>
  <c r="L38" i="7"/>
  <c r="I38" i="7"/>
  <c r="F38" i="7"/>
  <c r="L33" i="7"/>
  <c r="K33" i="7"/>
  <c r="I33" i="7"/>
  <c r="F33" i="7"/>
  <c r="L28" i="7"/>
  <c r="I28" i="7"/>
  <c r="F28" i="7"/>
  <c r="R22" i="7"/>
  <c r="L22" i="7"/>
  <c r="I22" i="7"/>
  <c r="F22" i="7"/>
  <c r="R17" i="7"/>
  <c r="L17" i="7"/>
  <c r="I17" i="7"/>
  <c r="F17" i="7"/>
  <c r="R12" i="7"/>
  <c r="L12" i="7"/>
  <c r="I12" i="7"/>
  <c r="F12" i="7"/>
  <c r="K9" i="7"/>
  <c r="R7" i="7"/>
  <c r="L7" i="7"/>
  <c r="I7" i="7"/>
  <c r="F7" i="7"/>
  <c r="H28" i="6"/>
  <c r="E28" i="6"/>
  <c r="H27" i="6"/>
  <c r="H26" i="6"/>
  <c r="H25" i="6"/>
  <c r="H24" i="6"/>
  <c r="H21" i="6"/>
  <c r="D20" i="6"/>
  <c r="H20" i="6" s="1"/>
  <c r="H19" i="6"/>
  <c r="H18" i="6"/>
  <c r="H17" i="6"/>
  <c r="H14" i="6"/>
  <c r="H13" i="6"/>
  <c r="D12" i="6"/>
  <c r="H12" i="6" s="1"/>
  <c r="H11" i="6"/>
  <c r="H10" i="6"/>
  <c r="D10" i="6"/>
  <c r="H8" i="6"/>
  <c r="H7" i="6"/>
  <c r="H6" i="6"/>
  <c r="H5" i="6"/>
  <c r="F4" i="6"/>
  <c r="H4" i="6" s="1"/>
  <c r="E224" i="5"/>
  <c r="M222" i="5"/>
  <c r="L222" i="5"/>
  <c r="I222" i="5"/>
  <c r="F222" i="5"/>
  <c r="M221" i="5"/>
  <c r="M220" i="5"/>
  <c r="M219" i="5"/>
  <c r="M218" i="5"/>
  <c r="M217" i="5"/>
  <c r="L217" i="5"/>
  <c r="I217" i="5"/>
  <c r="F217" i="5"/>
  <c r="M216" i="5"/>
  <c r="M215" i="5"/>
  <c r="M214" i="5"/>
  <c r="M213" i="5"/>
  <c r="M212" i="5"/>
  <c r="L212" i="5"/>
  <c r="I212" i="5"/>
  <c r="F212" i="5"/>
  <c r="M211" i="5"/>
  <c r="M210" i="5"/>
  <c r="M209" i="5"/>
  <c r="M208" i="5"/>
  <c r="M207" i="5"/>
  <c r="L207" i="5"/>
  <c r="F207" i="5"/>
  <c r="M206" i="5"/>
  <c r="M205" i="5"/>
  <c r="M204" i="5"/>
  <c r="H204" i="5"/>
  <c r="I207" i="5" s="1"/>
  <c r="M203" i="5"/>
  <c r="M202" i="5"/>
  <c r="L202" i="5"/>
  <c r="I202" i="5"/>
  <c r="F202" i="5"/>
  <c r="M201" i="5"/>
  <c r="M200" i="5"/>
  <c r="M199" i="5"/>
  <c r="M198" i="5"/>
  <c r="M197" i="5"/>
  <c r="I197" i="5"/>
  <c r="F197" i="5"/>
  <c r="M196" i="5"/>
  <c r="K195" i="5"/>
  <c r="L197" i="5" s="1"/>
  <c r="M194" i="5"/>
  <c r="M193" i="5"/>
  <c r="M192" i="5"/>
  <c r="I192" i="5"/>
  <c r="F192" i="5"/>
  <c r="K191" i="5"/>
  <c r="M191" i="5" s="1"/>
  <c r="M190" i="5"/>
  <c r="M189" i="5"/>
  <c r="K188" i="5"/>
  <c r="M188" i="5" s="1"/>
  <c r="M187" i="5"/>
  <c r="I187" i="5"/>
  <c r="F187" i="5"/>
  <c r="M186" i="5"/>
  <c r="M185" i="5"/>
  <c r="M184" i="5"/>
  <c r="K183" i="5"/>
  <c r="M182" i="5"/>
  <c r="I182" i="5"/>
  <c r="F182" i="5"/>
  <c r="M181" i="5"/>
  <c r="K180" i="5"/>
  <c r="M180" i="5" s="1"/>
  <c r="K179" i="5"/>
  <c r="M179" i="5" s="1"/>
  <c r="M178" i="5"/>
  <c r="K178" i="5"/>
  <c r="L182" i="5" s="1"/>
  <c r="I177" i="5"/>
  <c r="F177" i="5"/>
  <c r="K176" i="5"/>
  <c r="M176" i="5" s="1"/>
  <c r="M175" i="5"/>
  <c r="K175" i="5"/>
  <c r="M173" i="5"/>
  <c r="M172" i="5"/>
  <c r="I172" i="5"/>
  <c r="F172" i="5"/>
  <c r="M171" i="5"/>
  <c r="M170" i="5"/>
  <c r="K169" i="5"/>
  <c r="M167" i="5"/>
  <c r="L167" i="5"/>
  <c r="I167" i="5"/>
  <c r="F167" i="5"/>
  <c r="M166" i="5"/>
  <c r="M165" i="5"/>
  <c r="M164" i="5"/>
  <c r="K163" i="5"/>
  <c r="M163" i="5" s="1"/>
  <c r="I162" i="5"/>
  <c r="F162" i="5"/>
  <c r="M161" i="5"/>
  <c r="K160" i="5"/>
  <c r="K159" i="5"/>
  <c r="K162" i="5" s="1"/>
  <c r="M162" i="5" s="1"/>
  <c r="M158" i="5"/>
  <c r="K158" i="5"/>
  <c r="I157" i="5"/>
  <c r="F157" i="5"/>
  <c r="M156" i="5"/>
  <c r="M155" i="5"/>
  <c r="K154" i="5"/>
  <c r="K152" i="5"/>
  <c r="I152" i="5"/>
  <c r="F152" i="5"/>
  <c r="M151" i="5"/>
  <c r="M150" i="5"/>
  <c r="K150" i="5"/>
  <c r="M149" i="5"/>
  <c r="M148" i="5"/>
  <c r="I147" i="5"/>
  <c r="F147" i="5"/>
  <c r="K146" i="5"/>
  <c r="M146" i="5" s="1"/>
  <c r="M145" i="5"/>
  <c r="M144" i="5"/>
  <c r="K144" i="5"/>
  <c r="H143" i="5"/>
  <c r="M143" i="5" s="1"/>
  <c r="M142" i="5"/>
  <c r="L142" i="5"/>
  <c r="I142" i="5"/>
  <c r="F142" i="5"/>
  <c r="M141" i="5"/>
  <c r="M140" i="5"/>
  <c r="M139" i="5"/>
  <c r="M138" i="5"/>
  <c r="M137" i="5"/>
  <c r="L137" i="5"/>
  <c r="I137" i="5"/>
  <c r="F137" i="5"/>
  <c r="M136" i="5"/>
  <c r="M135" i="5"/>
  <c r="M134" i="5"/>
  <c r="M133" i="5"/>
  <c r="M132" i="5"/>
  <c r="L132" i="5"/>
  <c r="F132" i="5"/>
  <c r="M131" i="5"/>
  <c r="H131" i="5"/>
  <c r="M130" i="5"/>
  <c r="H129" i="5"/>
  <c r="M128" i="5"/>
  <c r="M127" i="5"/>
  <c r="L127" i="5"/>
  <c r="I127" i="5"/>
  <c r="H127" i="5"/>
  <c r="F127" i="5"/>
  <c r="M126" i="5"/>
  <c r="M125" i="5"/>
  <c r="M124" i="5"/>
  <c r="M123" i="5"/>
  <c r="M122" i="5"/>
  <c r="L122" i="5"/>
  <c r="F122" i="5"/>
  <c r="M121" i="5"/>
  <c r="M120" i="5"/>
  <c r="H119" i="5"/>
  <c r="M119" i="5" s="1"/>
  <c r="M118" i="5"/>
  <c r="H118" i="5"/>
  <c r="L117" i="5"/>
  <c r="H117" i="5"/>
  <c r="M117" i="5" s="1"/>
  <c r="F117" i="5"/>
  <c r="M116" i="5"/>
  <c r="M115" i="5"/>
  <c r="M114" i="5"/>
  <c r="M113" i="5"/>
  <c r="M112" i="5"/>
  <c r="L112" i="5"/>
  <c r="I112" i="5"/>
  <c r="F112" i="5"/>
  <c r="M111" i="5"/>
  <c r="M110" i="5"/>
  <c r="M109" i="5"/>
  <c r="M108" i="5"/>
  <c r="M107" i="5"/>
  <c r="L107" i="5"/>
  <c r="I107" i="5"/>
  <c r="F107" i="5"/>
  <c r="M106" i="5"/>
  <c r="M105" i="5"/>
  <c r="M104" i="5"/>
  <c r="M103" i="5"/>
  <c r="M102" i="5"/>
  <c r="I102" i="5"/>
  <c r="F102" i="5"/>
  <c r="M101" i="5"/>
  <c r="K100" i="5"/>
  <c r="L102" i="5" s="1"/>
  <c r="M99" i="5"/>
  <c r="H99" i="5"/>
  <c r="M98" i="5"/>
  <c r="L97" i="5"/>
  <c r="H97" i="5"/>
  <c r="I97" i="5" s="1"/>
  <c r="F97" i="5"/>
  <c r="M96" i="5"/>
  <c r="H95" i="5"/>
  <c r="M95" i="5" s="1"/>
  <c r="M94" i="5"/>
  <c r="M93" i="5"/>
  <c r="M92" i="5"/>
  <c r="L92" i="5"/>
  <c r="I92" i="5"/>
  <c r="H92" i="5"/>
  <c r="F92" i="5"/>
  <c r="M91" i="5"/>
  <c r="M90" i="5"/>
  <c r="H90" i="5"/>
  <c r="H89" i="5"/>
  <c r="M89" i="5" s="1"/>
  <c r="M88" i="5"/>
  <c r="M87" i="5"/>
  <c r="L87" i="5"/>
  <c r="F87" i="5"/>
  <c r="M86" i="5"/>
  <c r="H85" i="5"/>
  <c r="I87" i="5" s="1"/>
  <c r="M84" i="5"/>
  <c r="H84" i="5"/>
  <c r="M83" i="5"/>
  <c r="M82" i="5"/>
  <c r="L82" i="5"/>
  <c r="F82" i="5"/>
  <c r="M81" i="5"/>
  <c r="M80" i="5"/>
  <c r="M79" i="5"/>
  <c r="H78" i="5"/>
  <c r="M77" i="5"/>
  <c r="I77" i="5"/>
  <c r="F77" i="5"/>
  <c r="M76" i="5"/>
  <c r="M75" i="5"/>
  <c r="K74" i="5"/>
  <c r="M73" i="5"/>
  <c r="H73" i="5"/>
  <c r="M72" i="5"/>
  <c r="L72" i="5"/>
  <c r="I72" i="5"/>
  <c r="F72" i="5"/>
  <c r="M71" i="5"/>
  <c r="M70" i="5"/>
  <c r="M69" i="5"/>
  <c r="M68" i="5"/>
  <c r="M67" i="5"/>
  <c r="L67" i="5"/>
  <c r="I67" i="5"/>
  <c r="F67" i="5"/>
  <c r="M66" i="5"/>
  <c r="M65" i="5"/>
  <c r="M64" i="5"/>
  <c r="H64" i="5"/>
  <c r="M63" i="5"/>
  <c r="M62" i="5"/>
  <c r="L62" i="5"/>
  <c r="H62" i="5"/>
  <c r="F62" i="5"/>
  <c r="M61" i="5"/>
  <c r="M60" i="5"/>
  <c r="M59" i="5"/>
  <c r="H59" i="5"/>
  <c r="M58" i="5"/>
  <c r="H58" i="5"/>
  <c r="I62" i="5" s="1"/>
  <c r="M57" i="5"/>
  <c r="L57" i="5"/>
  <c r="F57" i="5"/>
  <c r="M55" i="5"/>
  <c r="H53" i="5"/>
  <c r="M52" i="5"/>
  <c r="L52" i="5"/>
  <c r="F52" i="5"/>
  <c r="M51" i="5"/>
  <c r="H51" i="5"/>
  <c r="H50" i="5"/>
  <c r="M50" i="5" s="1"/>
  <c r="M49" i="5"/>
  <c r="M48" i="5"/>
  <c r="M47" i="5"/>
  <c r="L47" i="5"/>
  <c r="H47" i="5"/>
  <c r="F47" i="5"/>
  <c r="M46" i="5"/>
  <c r="H45" i="5"/>
  <c r="M44" i="5"/>
  <c r="M43" i="5"/>
  <c r="L42" i="5"/>
  <c r="H42" i="5"/>
  <c r="H38" i="5" s="1"/>
  <c r="I42" i="5" s="1"/>
  <c r="F42" i="5"/>
  <c r="H40" i="5"/>
  <c r="M37" i="5"/>
  <c r="L37" i="5"/>
  <c r="F37" i="5"/>
  <c r="M36" i="5"/>
  <c r="H36" i="5"/>
  <c r="H35" i="5"/>
  <c r="M35" i="5" s="1"/>
  <c r="M34" i="5"/>
  <c r="H34" i="5"/>
  <c r="M33" i="5"/>
  <c r="H33" i="5"/>
  <c r="L32" i="5"/>
  <c r="H32" i="5"/>
  <c r="M32" i="5" s="1"/>
  <c r="F32" i="5"/>
  <c r="H30" i="5"/>
  <c r="M30" i="5" s="1"/>
  <c r="M29" i="5"/>
  <c r="K29" i="5"/>
  <c r="H29" i="5"/>
  <c r="H31" i="5" s="1"/>
  <c r="M31" i="5" s="1"/>
  <c r="M28" i="5"/>
  <c r="H28" i="5"/>
  <c r="M27" i="5"/>
  <c r="L27" i="5"/>
  <c r="F27" i="5"/>
  <c r="M26" i="5"/>
  <c r="H25" i="5"/>
  <c r="M24" i="5"/>
  <c r="H24" i="5"/>
  <c r="M23" i="5"/>
  <c r="M22" i="5"/>
  <c r="L22" i="5"/>
  <c r="F22" i="5"/>
  <c r="M21" i="5"/>
  <c r="M20" i="5"/>
  <c r="H20" i="5"/>
  <c r="I22" i="5" s="1"/>
  <c r="M19" i="5"/>
  <c r="M18" i="5"/>
  <c r="M17" i="5"/>
  <c r="L17" i="5"/>
  <c r="I17" i="5"/>
  <c r="F17" i="5"/>
  <c r="M16" i="5"/>
  <c r="H16" i="5"/>
  <c r="M15" i="5"/>
  <c r="M14" i="5"/>
  <c r="M13" i="5"/>
  <c r="M12" i="5"/>
  <c r="L12" i="5"/>
  <c r="I12" i="5"/>
  <c r="F12" i="5"/>
  <c r="M11" i="5"/>
  <c r="M10" i="5"/>
  <c r="M9" i="5"/>
  <c r="M8" i="5"/>
  <c r="M7" i="5"/>
  <c r="L7" i="5"/>
  <c r="I7" i="5"/>
  <c r="F7" i="5"/>
  <c r="M6" i="5"/>
  <c r="M5" i="5"/>
  <c r="M4" i="5"/>
  <c r="M3" i="5"/>
  <c r="AH222" i="4"/>
  <c r="AD222" i="4"/>
  <c r="W222" i="4"/>
  <c r="W221" i="4"/>
  <c r="W220" i="4"/>
  <c r="W219" i="4"/>
  <c r="W218" i="4"/>
  <c r="AH217" i="4"/>
  <c r="AD217" i="4"/>
  <c r="Z217" i="4"/>
  <c r="W217" i="4"/>
  <c r="W216" i="4"/>
  <c r="Y215" i="4"/>
  <c r="W215" i="4"/>
  <c r="W214" i="4"/>
  <c r="W213" i="4"/>
  <c r="X217" i="4" s="1"/>
  <c r="Y214" i="4" s="1"/>
  <c r="AH212" i="4"/>
  <c r="AD212" i="4"/>
  <c r="W212" i="4"/>
  <c r="W211" i="4"/>
  <c r="AC210" i="4"/>
  <c r="W210" i="4"/>
  <c r="AC209" i="4"/>
  <c r="AB209" i="4"/>
  <c r="W209" i="4"/>
  <c r="AC208" i="4"/>
  <c r="AB208" i="4"/>
  <c r="W208" i="4"/>
  <c r="AH207" i="4"/>
  <c r="AD207" i="4"/>
  <c r="W207" i="4"/>
  <c r="W206" i="4"/>
  <c r="Y205" i="4"/>
  <c r="W205" i="4"/>
  <c r="X207" i="4" s="1"/>
  <c r="W204" i="4"/>
  <c r="W203" i="4"/>
  <c r="AH202" i="4"/>
  <c r="AD202" i="4"/>
  <c r="W202" i="4"/>
  <c r="W201" i="4"/>
  <c r="W200" i="4"/>
  <c r="W199" i="4"/>
  <c r="W198" i="4"/>
  <c r="AH197" i="4"/>
  <c r="AD197" i="4"/>
  <c r="X197" i="4"/>
  <c r="Y197" i="4" s="1"/>
  <c r="W197" i="4"/>
  <c r="W196" i="4"/>
  <c r="W195" i="4"/>
  <c r="W194" i="4"/>
  <c r="W193" i="4"/>
  <c r="AH192" i="4"/>
  <c r="AD192" i="4"/>
  <c r="W192" i="4"/>
  <c r="W191" i="4"/>
  <c r="W190" i="4"/>
  <c r="W189" i="4"/>
  <c r="W188" i="4"/>
  <c r="Z192" i="4" s="1"/>
  <c r="AH187" i="4"/>
  <c r="AD187" i="4"/>
  <c r="X187" i="4"/>
  <c r="W187" i="4"/>
  <c r="W186" i="4"/>
  <c r="W185" i="4"/>
  <c r="W184" i="4"/>
  <c r="W183" i="4"/>
  <c r="Z187" i="4" s="1"/>
  <c r="AH182" i="4"/>
  <c r="AD182" i="4"/>
  <c r="AB182" i="4"/>
  <c r="Z182" i="4"/>
  <c r="W182" i="4"/>
  <c r="W181" i="4"/>
  <c r="Y180" i="4"/>
  <c r="W180" i="4"/>
  <c r="W179" i="4"/>
  <c r="W178" i="4"/>
  <c r="X182" i="4" s="1"/>
  <c r="Y179" i="4" s="1"/>
  <c r="AH177" i="4"/>
  <c r="AD177" i="4"/>
  <c r="AB177" i="4"/>
  <c r="W177" i="4"/>
  <c r="W176" i="4"/>
  <c r="W175" i="4"/>
  <c r="W174" i="4"/>
  <c r="AB173" i="4"/>
  <c r="W173" i="4"/>
  <c r="AD172" i="4"/>
  <c r="W172" i="4"/>
  <c r="W171" i="4"/>
  <c r="AG170" i="4"/>
  <c r="AH172" i="4" s="1"/>
  <c r="AB170" i="4"/>
  <c r="W170" i="4"/>
  <c r="AB169" i="4"/>
  <c r="W169" i="4"/>
  <c r="AB168" i="4"/>
  <c r="W168" i="4"/>
  <c r="AH167" i="4"/>
  <c r="AG167" i="4"/>
  <c r="AD167" i="4"/>
  <c r="AB167" i="4"/>
  <c r="W167" i="4"/>
  <c r="W166" i="4"/>
  <c r="AB165" i="4"/>
  <c r="W165" i="4"/>
  <c r="AG164" i="4"/>
  <c r="W164" i="4"/>
  <c r="Z167" i="4" s="1"/>
  <c r="AB163" i="4"/>
  <c r="W163" i="4"/>
  <c r="AH162" i="4"/>
  <c r="AD162" i="4"/>
  <c r="AB162" i="4"/>
  <c r="W162" i="4"/>
  <c r="W161" i="4"/>
  <c r="W160" i="4"/>
  <c r="W159" i="4"/>
  <c r="W158" i="4"/>
  <c r="AD157" i="4"/>
  <c r="AB157" i="4"/>
  <c r="W157" i="4"/>
  <c r="AB156" i="4"/>
  <c r="W156" i="4"/>
  <c r="AG155" i="4"/>
  <c r="AH157" i="4" s="1"/>
  <c r="W155" i="4"/>
  <c r="W154" i="4"/>
  <c r="W153" i="4"/>
  <c r="AH152" i="4"/>
  <c r="AD152" i="4"/>
  <c r="AB152" i="4"/>
  <c r="W152" i="4"/>
  <c r="W151" i="4"/>
  <c r="W150" i="4"/>
  <c r="W149" i="4"/>
  <c r="W148" i="4"/>
  <c r="AH147" i="4"/>
  <c r="AB147" i="4"/>
  <c r="W147" i="4"/>
  <c r="W146" i="4"/>
  <c r="AC145" i="4"/>
  <c r="AD147" i="4" s="1"/>
  <c r="W145" i="4"/>
  <c r="AB144" i="4"/>
  <c r="W144" i="4"/>
  <c r="W143" i="4"/>
  <c r="AH142" i="4"/>
  <c r="AD142" i="4"/>
  <c r="W142" i="4"/>
  <c r="W141" i="4"/>
  <c r="W140" i="4"/>
  <c r="W139" i="4"/>
  <c r="W138" i="4"/>
  <c r="AH137" i="4"/>
  <c r="AD137" i="4"/>
  <c r="X137" i="4"/>
  <c r="Y137" i="4" s="1"/>
  <c r="W137" i="4"/>
  <c r="Y136" i="4"/>
  <c r="W136" i="4"/>
  <c r="Y135" i="4"/>
  <c r="W135" i="4"/>
  <c r="W134" i="4"/>
  <c r="W133" i="4"/>
  <c r="Z137" i="4" s="1"/>
  <c r="AG132" i="4"/>
  <c r="AH132" i="4" s="1"/>
  <c r="AD132" i="4"/>
  <c r="W132" i="4"/>
  <c r="W131" i="4"/>
  <c r="W130" i="4"/>
  <c r="W129" i="4"/>
  <c r="AH127" i="4"/>
  <c r="AD127" i="4"/>
  <c r="W127" i="4"/>
  <c r="W126" i="4"/>
  <c r="W125" i="4"/>
  <c r="W124" i="4"/>
  <c r="W123" i="4"/>
  <c r="X127" i="4" s="1"/>
  <c r="Y127" i="4" s="1"/>
  <c r="AH122" i="4"/>
  <c r="W122" i="4"/>
  <c r="W121" i="4"/>
  <c r="W120" i="4"/>
  <c r="AC119" i="4"/>
  <c r="AD122" i="4" s="1"/>
  <c r="W119" i="4"/>
  <c r="W118" i="4"/>
  <c r="AH117" i="4"/>
  <c r="AD117" i="4"/>
  <c r="W117" i="4"/>
  <c r="W116" i="4"/>
  <c r="W115" i="4"/>
  <c r="W113" i="4"/>
  <c r="AH112" i="4"/>
  <c r="AD112" i="4"/>
  <c r="W112" i="4"/>
  <c r="W111" i="4"/>
  <c r="W109" i="4"/>
  <c r="W108" i="4"/>
  <c r="Z112" i="4" s="1"/>
  <c r="AH107" i="4"/>
  <c r="AD107" i="4"/>
  <c r="Z107" i="4"/>
  <c r="X107" i="4"/>
  <c r="Y103" i="4" s="1"/>
  <c r="W107" i="4"/>
  <c r="W106" i="4"/>
  <c r="W105" i="4"/>
  <c r="W104" i="4"/>
  <c r="W103" i="4"/>
  <c r="AH102" i="4"/>
  <c r="AD102" i="4"/>
  <c r="AD97" i="4"/>
  <c r="AG95" i="4"/>
  <c r="AH97" i="4" s="1"/>
  <c r="AG93" i="4"/>
  <c r="AH92" i="4"/>
  <c r="AD92" i="4"/>
  <c r="AH87" i="4"/>
  <c r="AC83" i="4"/>
  <c r="AD87" i="4" s="1"/>
  <c r="AH82" i="4"/>
  <c r="AD82" i="4"/>
  <c r="X82" i="4"/>
  <c r="W82" i="4"/>
  <c r="W81" i="4"/>
  <c r="W80" i="4"/>
  <c r="Y80" i="4" s="1"/>
  <c r="W79" i="4"/>
  <c r="W78" i="4"/>
  <c r="AH77" i="4"/>
  <c r="AD77" i="4"/>
  <c r="W76" i="4"/>
  <c r="W75" i="4"/>
  <c r="W74" i="4"/>
  <c r="Z77" i="4" s="1"/>
  <c r="W73" i="4"/>
  <c r="AH72" i="4"/>
  <c r="AD72" i="4"/>
  <c r="W72" i="4"/>
  <c r="W71" i="4"/>
  <c r="W70" i="4"/>
  <c r="W69" i="4"/>
  <c r="W68" i="4"/>
  <c r="AH67" i="4"/>
  <c r="AD67" i="4"/>
  <c r="W67" i="4"/>
  <c r="W65" i="4"/>
  <c r="W63" i="4"/>
  <c r="AH62" i="4"/>
  <c r="AD62" i="4"/>
  <c r="W62" i="4"/>
  <c r="W61" i="4"/>
  <c r="W60" i="4"/>
  <c r="W59" i="4"/>
  <c r="W58" i="4"/>
  <c r="X62" i="4" s="1"/>
  <c r="AH57" i="4"/>
  <c r="AC57" i="4"/>
  <c r="AB57" i="4"/>
  <c r="W57" i="4"/>
  <c r="W56" i="4"/>
  <c r="W55" i="4"/>
  <c r="W54" i="4"/>
  <c r="W53" i="4"/>
  <c r="Z57" i="4" s="1"/>
  <c r="AH52" i="4"/>
  <c r="AD52" i="4"/>
  <c r="Z52" i="4"/>
  <c r="Y52" i="4"/>
  <c r="W52" i="4"/>
  <c r="W51" i="4"/>
  <c r="W49" i="4"/>
  <c r="Y48" i="4"/>
  <c r="W48" i="4"/>
  <c r="X52" i="4" s="1"/>
  <c r="Y49" i="4" s="1"/>
  <c r="AH47" i="4"/>
  <c r="AD47" i="4"/>
  <c r="W47" i="4"/>
  <c r="W46" i="4"/>
  <c r="W45" i="4"/>
  <c r="W44" i="4"/>
  <c r="X47" i="4" s="1"/>
  <c r="W43" i="4"/>
  <c r="AH42" i="4"/>
  <c r="AD42" i="4"/>
  <c r="W42" i="4"/>
  <c r="AG41" i="4"/>
  <c r="AG224" i="4" s="1"/>
  <c r="W41" i="4"/>
  <c r="W40" i="4"/>
  <c r="W39" i="4"/>
  <c r="W38" i="4"/>
  <c r="AH37" i="4"/>
  <c r="AD37" i="4"/>
  <c r="W37" i="4"/>
  <c r="W36" i="4"/>
  <c r="W35" i="4"/>
  <c r="W34" i="4"/>
  <c r="W33" i="4"/>
  <c r="AH32" i="4"/>
  <c r="AD32" i="4"/>
  <c r="W32" i="4"/>
  <c r="W31" i="4"/>
  <c r="W30" i="4"/>
  <c r="W29" i="4"/>
  <c r="W28" i="4"/>
  <c r="AH27" i="4"/>
  <c r="AD27" i="4"/>
  <c r="W27" i="4"/>
  <c r="W26" i="4"/>
  <c r="W25" i="4"/>
  <c r="W24" i="4"/>
  <c r="W23" i="4"/>
  <c r="AH22" i="4"/>
  <c r="AD22" i="4"/>
  <c r="W21" i="4"/>
  <c r="X22" i="4" s="1"/>
  <c r="W20" i="4"/>
  <c r="W19" i="4"/>
  <c r="W18" i="4"/>
  <c r="AH17" i="4"/>
  <c r="AD17" i="4"/>
  <c r="Y17" i="4"/>
  <c r="X17" i="4"/>
  <c r="W17" i="4"/>
  <c r="W16" i="4"/>
  <c r="W15" i="4"/>
  <c r="Y15" i="4" s="1"/>
  <c r="W14" i="4"/>
  <c r="AH12" i="4"/>
  <c r="AD12" i="4"/>
  <c r="W12" i="4"/>
  <c r="W10" i="4"/>
  <c r="W9" i="4"/>
  <c r="W8" i="4"/>
  <c r="X12" i="4" s="1"/>
  <c r="Y9" i="4" s="1"/>
  <c r="AH7" i="4"/>
  <c r="AD7" i="4"/>
  <c r="W7" i="4"/>
  <c r="W6" i="4"/>
  <c r="W5" i="4"/>
  <c r="W4" i="4"/>
  <c r="AI3" i="4"/>
  <c r="W3" i="4"/>
  <c r="AF222" i="3"/>
  <c r="AB222" i="3"/>
  <c r="W222" i="3"/>
  <c r="W221" i="3"/>
  <c r="W220" i="3"/>
  <c r="W219" i="3"/>
  <c r="W218" i="3"/>
  <c r="Z222" i="3" s="1"/>
  <c r="AF217" i="3"/>
  <c r="AB217" i="3"/>
  <c r="W217" i="3"/>
  <c r="W216" i="3"/>
  <c r="W215" i="3"/>
  <c r="X217" i="3" s="1"/>
  <c r="Y217" i="3" s="1"/>
  <c r="W214" i="3"/>
  <c r="W213" i="3"/>
  <c r="AF212" i="3"/>
  <c r="AB212" i="3"/>
  <c r="W212" i="3"/>
  <c r="W211" i="3"/>
  <c r="W210" i="3"/>
  <c r="W209" i="3"/>
  <c r="W208" i="3"/>
  <c r="Z212" i="3" s="1"/>
  <c r="AF207" i="3"/>
  <c r="AB207" i="3"/>
  <c r="W207" i="3"/>
  <c r="W206" i="3"/>
  <c r="W205" i="3"/>
  <c r="W204" i="3"/>
  <c r="W203" i="3"/>
  <c r="AF202" i="3"/>
  <c r="AB202" i="3"/>
  <c r="W202" i="3"/>
  <c r="W201" i="3"/>
  <c r="W200" i="3"/>
  <c r="W199" i="3"/>
  <c r="W198" i="3"/>
  <c r="AF197" i="3"/>
  <c r="AB197" i="3"/>
  <c r="W197" i="3"/>
  <c r="W196" i="3"/>
  <c r="W195" i="3"/>
  <c r="W194" i="3"/>
  <c r="AF192" i="3"/>
  <c r="AB192" i="3"/>
  <c r="W192" i="3"/>
  <c r="W191" i="3"/>
  <c r="W190" i="3"/>
  <c r="W189" i="3"/>
  <c r="W188" i="3"/>
  <c r="AF187" i="3"/>
  <c r="AB187" i="3"/>
  <c r="W187" i="3"/>
  <c r="W186" i="3"/>
  <c r="W184" i="3"/>
  <c r="W183" i="3"/>
  <c r="AF182" i="3"/>
  <c r="AB182" i="3"/>
  <c r="X182" i="3"/>
  <c r="Y180" i="3" s="1"/>
  <c r="W181" i="3"/>
  <c r="W180" i="3"/>
  <c r="W179" i="3"/>
  <c r="AF177" i="3"/>
  <c r="AB177" i="3"/>
  <c r="W176" i="3"/>
  <c r="W175" i="3"/>
  <c r="W174" i="3"/>
  <c r="W173" i="3"/>
  <c r="AF172" i="3"/>
  <c r="AB172" i="3"/>
  <c r="W172" i="3"/>
  <c r="W171" i="3"/>
  <c r="W170" i="3"/>
  <c r="W169" i="3"/>
  <c r="W168" i="3"/>
  <c r="AF167" i="3"/>
  <c r="AB167" i="3"/>
  <c r="W167" i="3"/>
  <c r="W166" i="3"/>
  <c r="W165" i="3"/>
  <c r="W164" i="3"/>
  <c r="W163" i="3"/>
  <c r="AF162" i="3"/>
  <c r="AB162" i="3"/>
  <c r="W162" i="3"/>
  <c r="W161" i="3"/>
  <c r="W160" i="3"/>
  <c r="W158" i="3"/>
  <c r="AF157" i="3"/>
  <c r="AB157" i="3"/>
  <c r="W156" i="3"/>
  <c r="W155" i="3"/>
  <c r="W154" i="3"/>
  <c r="W153" i="3"/>
  <c r="AF152" i="3"/>
  <c r="AB152" i="3"/>
  <c r="X152" i="3"/>
  <c r="Y150" i="3" s="1"/>
  <c r="W152" i="3"/>
  <c r="W151" i="3"/>
  <c r="W150" i="3"/>
  <c r="W149" i="3"/>
  <c r="W148" i="3"/>
  <c r="AF147" i="3"/>
  <c r="AB147" i="3"/>
  <c r="W147" i="3"/>
  <c r="W145" i="3"/>
  <c r="W144" i="3"/>
  <c r="W143" i="3"/>
  <c r="AF142" i="3"/>
  <c r="AB142" i="3"/>
  <c r="W142" i="3"/>
  <c r="W141" i="3"/>
  <c r="W140" i="3"/>
  <c r="W139" i="3"/>
  <c r="W138" i="3"/>
  <c r="AF137" i="3"/>
  <c r="AB137" i="3"/>
  <c r="W137" i="3"/>
  <c r="W136" i="3"/>
  <c r="W135" i="3"/>
  <c r="W134" i="3"/>
  <c r="W133" i="3"/>
  <c r="X137" i="3" s="1"/>
  <c r="AF132" i="3"/>
  <c r="AB132" i="3"/>
  <c r="W132" i="3"/>
  <c r="W131" i="3"/>
  <c r="W130" i="3"/>
  <c r="W129" i="3"/>
  <c r="W128" i="3"/>
  <c r="AF127" i="3"/>
  <c r="AB127" i="3"/>
  <c r="W127" i="3"/>
  <c r="W126" i="3"/>
  <c r="W125" i="3"/>
  <c r="W124" i="3"/>
  <c r="W123" i="3"/>
  <c r="AF122" i="3"/>
  <c r="AB122" i="3"/>
  <c r="W122" i="3"/>
  <c r="W121" i="3"/>
  <c r="W120" i="3"/>
  <c r="W119" i="3"/>
  <c r="W118" i="3"/>
  <c r="AF117" i="3"/>
  <c r="AB117" i="3"/>
  <c r="X117" i="3"/>
  <c r="Y116" i="3" s="1"/>
  <c r="W117" i="3"/>
  <c r="W116" i="3"/>
  <c r="W115" i="3"/>
  <c r="W114" i="3"/>
  <c r="W113" i="3"/>
  <c r="AF112" i="3"/>
  <c r="AB112" i="3"/>
  <c r="W112" i="3"/>
  <c r="W111" i="3"/>
  <c r="W110" i="3"/>
  <c r="W109" i="3"/>
  <c r="W108" i="3"/>
  <c r="AF107" i="3"/>
  <c r="AB107" i="3"/>
  <c r="W107" i="3"/>
  <c r="W106" i="3"/>
  <c r="W105" i="3"/>
  <c r="W104" i="3"/>
  <c r="W103" i="3"/>
  <c r="AF82" i="3"/>
  <c r="AB82" i="3"/>
  <c r="W82" i="3"/>
  <c r="W81" i="3"/>
  <c r="W80" i="3"/>
  <c r="W79" i="3"/>
  <c r="X82" i="3" s="1"/>
  <c r="Y78" i="3" s="1"/>
  <c r="W78" i="3"/>
  <c r="AF77" i="3"/>
  <c r="AB77" i="3"/>
  <c r="W77" i="3"/>
  <c r="W76" i="3"/>
  <c r="W75" i="3"/>
  <c r="W74" i="3"/>
  <c r="W73" i="3"/>
  <c r="X77" i="3" s="1"/>
  <c r="AF72" i="3"/>
  <c r="AB72" i="3"/>
  <c r="W72" i="3"/>
  <c r="W71" i="3"/>
  <c r="W70" i="3"/>
  <c r="W69" i="3"/>
  <c r="W68" i="3"/>
  <c r="AF67" i="3"/>
  <c r="AB67" i="3"/>
  <c r="W67" i="3"/>
  <c r="W66" i="3"/>
  <c r="W65" i="3"/>
  <c r="W64" i="3"/>
  <c r="W63" i="3"/>
  <c r="AF62" i="3"/>
  <c r="AB62" i="3"/>
  <c r="W62" i="3"/>
  <c r="W61" i="3"/>
  <c r="W60" i="3"/>
  <c r="W59" i="3"/>
  <c r="W58" i="3"/>
  <c r="AF57" i="3"/>
  <c r="AB57" i="3"/>
  <c r="W57" i="3"/>
  <c r="W56" i="3"/>
  <c r="W54" i="3"/>
  <c r="W53" i="3"/>
  <c r="AF52" i="3"/>
  <c r="W52" i="3"/>
  <c r="W51" i="3"/>
  <c r="W50" i="3"/>
  <c r="W49" i="3"/>
  <c r="AE48" i="3"/>
  <c r="AE224" i="3" s="1"/>
  <c r="AA48" i="3"/>
  <c r="AA224" i="3" s="1"/>
  <c r="W48" i="3"/>
  <c r="AF47" i="3"/>
  <c r="AB47" i="3"/>
  <c r="W47" i="3"/>
  <c r="W46" i="3"/>
  <c r="W45" i="3"/>
  <c r="W44" i="3"/>
  <c r="W43" i="3"/>
  <c r="AF42" i="3"/>
  <c r="AB42" i="3"/>
  <c r="Z42" i="3"/>
  <c r="W42" i="3"/>
  <c r="W41" i="3"/>
  <c r="W40" i="3"/>
  <c r="W39" i="3"/>
  <c r="W38" i="3"/>
  <c r="AF37" i="3"/>
  <c r="AB37" i="3"/>
  <c r="W37" i="3"/>
  <c r="W36" i="3"/>
  <c r="W35" i="3"/>
  <c r="W34" i="3"/>
  <c r="W33" i="3"/>
  <c r="Z37" i="3" s="1"/>
  <c r="AF32" i="3"/>
  <c r="AB32" i="3"/>
  <c r="W32" i="3"/>
  <c r="W31" i="3"/>
  <c r="W30" i="3"/>
  <c r="W29" i="3"/>
  <c r="W28" i="3"/>
  <c r="AF27" i="3"/>
  <c r="AB27" i="3"/>
  <c r="W27" i="3"/>
  <c r="W26" i="3"/>
  <c r="W25" i="3"/>
  <c r="W24" i="3"/>
  <c r="W23" i="3"/>
  <c r="AF22" i="3"/>
  <c r="AB22" i="3"/>
  <c r="Z22" i="3"/>
  <c r="W22" i="3"/>
  <c r="W21" i="3"/>
  <c r="W20" i="3"/>
  <c r="W19" i="3"/>
  <c r="W18" i="3"/>
  <c r="AF17" i="3"/>
  <c r="AB17" i="3"/>
  <c r="W16" i="3"/>
  <c r="Y16" i="3" s="1"/>
  <c r="W15" i="3"/>
  <c r="W14" i="3"/>
  <c r="W13" i="3"/>
  <c r="X17" i="3" s="1"/>
  <c r="AF12" i="3"/>
  <c r="AB12" i="3"/>
  <c r="W12" i="3"/>
  <c r="AA11" i="3"/>
  <c r="W11" i="3"/>
  <c r="W10" i="3"/>
  <c r="W9" i="3"/>
  <c r="W8" i="3"/>
  <c r="Z12" i="3" s="1"/>
  <c r="AF7" i="3"/>
  <c r="AB7" i="3"/>
  <c r="W7" i="3"/>
  <c r="W6" i="3"/>
  <c r="W5" i="3"/>
  <c r="Y5" i="3" s="1"/>
  <c r="W4" i="3"/>
  <c r="X7" i="3" s="1"/>
  <c r="Y4" i="3" s="1"/>
  <c r="W3" i="3"/>
  <c r="H41" i="2"/>
  <c r="H40" i="2"/>
  <c r="H39" i="2"/>
  <c r="H38" i="2"/>
  <c r="H37" i="2"/>
  <c r="H34" i="2"/>
  <c r="H33" i="2"/>
  <c r="H32" i="2"/>
  <c r="H31" i="2"/>
  <c r="H30" i="2"/>
  <c r="H27" i="2"/>
  <c r="H26" i="2"/>
  <c r="H25" i="2"/>
  <c r="H24" i="2"/>
  <c r="H23" i="2"/>
  <c r="H21" i="2"/>
  <c r="H20" i="2"/>
  <c r="H19" i="2"/>
  <c r="H18" i="2"/>
  <c r="H17" i="2"/>
  <c r="Y137" i="3" l="1"/>
  <c r="Y76" i="3"/>
  <c r="Y77" i="3"/>
  <c r="Y31" i="3"/>
  <c r="Y32" i="3"/>
  <c r="Y14" i="3"/>
  <c r="X37" i="3"/>
  <c r="Y37" i="3" s="1"/>
  <c r="Z57" i="3"/>
  <c r="Y80" i="3"/>
  <c r="Z117" i="3"/>
  <c r="W224" i="3"/>
  <c r="Z7" i="3"/>
  <c r="Y15" i="3"/>
  <c r="Z27" i="3"/>
  <c r="X27" i="3"/>
  <c r="Y25" i="3" s="1"/>
  <c r="Y23" i="3"/>
  <c r="X32" i="3"/>
  <c r="Y28" i="3"/>
  <c r="Z32" i="3"/>
  <c r="Y81" i="3"/>
  <c r="Y113" i="3"/>
  <c r="Z122" i="3"/>
  <c r="Y135" i="3"/>
  <c r="X147" i="3"/>
  <c r="Z147" i="3"/>
  <c r="Z152" i="3"/>
  <c r="Y148" i="3"/>
  <c r="Z192" i="3"/>
  <c r="X192" i="3"/>
  <c r="Z32" i="4"/>
  <c r="X32" i="4"/>
  <c r="Z67" i="3"/>
  <c r="X67" i="3"/>
  <c r="Y64" i="3" s="1"/>
  <c r="Y63" i="3"/>
  <c r="X72" i="3"/>
  <c r="Y68" i="3" s="1"/>
  <c r="Z72" i="3"/>
  <c r="Y114" i="3"/>
  <c r="X122" i="3"/>
  <c r="Y119" i="3" s="1"/>
  <c r="Y149" i="3"/>
  <c r="Z172" i="3"/>
  <c r="Z187" i="3"/>
  <c r="X42" i="4"/>
  <c r="Y38" i="4" s="1"/>
  <c r="AC224" i="4"/>
  <c r="AD57" i="4"/>
  <c r="Z72" i="4"/>
  <c r="X72" i="4"/>
  <c r="Y68" i="4"/>
  <c r="Z132" i="4"/>
  <c r="Y24" i="3"/>
  <c r="Y30" i="3"/>
  <c r="Z77" i="3"/>
  <c r="Y82" i="3"/>
  <c r="Y115" i="3"/>
  <c r="Y144" i="3"/>
  <c r="Y189" i="3"/>
  <c r="X207" i="3"/>
  <c r="Y203" i="3" s="1"/>
  <c r="X212" i="3"/>
  <c r="Y208" i="3" s="1"/>
  <c r="Y39" i="4"/>
  <c r="Z42" i="4"/>
  <c r="Y43" i="4"/>
  <c r="Y45" i="4"/>
  <c r="Y47" i="4"/>
  <c r="Y29" i="3"/>
  <c r="Y33" i="3"/>
  <c r="X42" i="3"/>
  <c r="Y41" i="3" s="1"/>
  <c r="Z82" i="3"/>
  <c r="X222" i="3"/>
  <c r="Y222" i="3" s="1"/>
  <c r="Y19" i="4"/>
  <c r="Y40" i="4"/>
  <c r="Y60" i="4"/>
  <c r="Y59" i="4"/>
  <c r="Y70" i="4"/>
  <c r="Y7" i="3"/>
  <c r="Y3" i="3"/>
  <c r="Y69" i="3"/>
  <c r="Y34" i="3"/>
  <c r="X57" i="3"/>
  <c r="Y56" i="3" s="1"/>
  <c r="Y73" i="3"/>
  <c r="Y107" i="3"/>
  <c r="Y195" i="3"/>
  <c r="Y26" i="3"/>
  <c r="Y35" i="3"/>
  <c r="Y74" i="3"/>
  <c r="Y120" i="3"/>
  <c r="Y181" i="3"/>
  <c r="Y204" i="3"/>
  <c r="Y219" i="3"/>
  <c r="Y51" i="4"/>
  <c r="Y82" i="4"/>
  <c r="Z47" i="3"/>
  <c r="X47" i="3"/>
  <c r="Y45" i="3" s="1"/>
  <c r="Y43" i="3"/>
  <c r="Y66" i="3"/>
  <c r="Y147" i="3"/>
  <c r="Y205" i="3"/>
  <c r="Z7" i="4"/>
  <c r="W224" i="4"/>
  <c r="X7" i="4"/>
  <c r="Y3" i="4" s="1"/>
  <c r="Y46" i="4"/>
  <c r="Y65" i="4"/>
  <c r="X67" i="4"/>
  <c r="Z67" i="4"/>
  <c r="Y27" i="3"/>
  <c r="Y48" i="3"/>
  <c r="Z52" i="3"/>
  <c r="X52" i="3"/>
  <c r="Y50" i="3" s="1"/>
  <c r="Y75" i="3"/>
  <c r="Y6" i="3"/>
  <c r="X22" i="3"/>
  <c r="Y22" i="3" s="1"/>
  <c r="Y40" i="3"/>
  <c r="Z62" i="3"/>
  <c r="Y67" i="3"/>
  <c r="Y79" i="3"/>
  <c r="Z107" i="3"/>
  <c r="X107" i="3"/>
  <c r="Y106" i="3" s="1"/>
  <c r="Y103" i="3"/>
  <c r="X112" i="3"/>
  <c r="Y108" i="3" s="1"/>
  <c r="Z112" i="3"/>
  <c r="Y117" i="3"/>
  <c r="Z137" i="3"/>
  <c r="Y133" i="3"/>
  <c r="Y152" i="3"/>
  <c r="X172" i="3"/>
  <c r="Y172" i="3" s="1"/>
  <c r="X197" i="3"/>
  <c r="Y197" i="3" s="1"/>
  <c r="Y215" i="3"/>
  <c r="Y221" i="3"/>
  <c r="Y21" i="4"/>
  <c r="Y72" i="4"/>
  <c r="Y126" i="4"/>
  <c r="Y123" i="4"/>
  <c r="Z142" i="4"/>
  <c r="Y138" i="4"/>
  <c r="X142" i="4"/>
  <c r="Y153" i="4"/>
  <c r="X157" i="4"/>
  <c r="Y157" i="4" s="1"/>
  <c r="Z157" i="4"/>
  <c r="Y36" i="3"/>
  <c r="AB52" i="3"/>
  <c r="Z17" i="3"/>
  <c r="Y13" i="3"/>
  <c r="X62" i="3"/>
  <c r="Y109" i="3"/>
  <c r="Y134" i="3"/>
  <c r="Y12" i="4"/>
  <c r="Y61" i="4"/>
  <c r="Y104" i="4"/>
  <c r="Y105" i="4"/>
  <c r="Y106" i="4"/>
  <c r="Y186" i="4"/>
  <c r="Y194" i="4"/>
  <c r="X202" i="4"/>
  <c r="Y198" i="4" s="1"/>
  <c r="Z202" i="4"/>
  <c r="X212" i="4"/>
  <c r="Y210" i="4" s="1"/>
  <c r="Y208" i="4"/>
  <c r="Y213" i="4"/>
  <c r="M129" i="5"/>
  <c r="I132" i="5"/>
  <c r="K225" i="7"/>
  <c r="U32" i="8"/>
  <c r="AD29" i="8"/>
  <c r="R58" i="9"/>
  <c r="AC107" i="9"/>
  <c r="Z162" i="4"/>
  <c r="X12" i="3"/>
  <c r="X142" i="3"/>
  <c r="Y142" i="3" s="1"/>
  <c r="Z142" i="3"/>
  <c r="Z157" i="3"/>
  <c r="Z177" i="3"/>
  <c r="Y191" i="3"/>
  <c r="Y210" i="3"/>
  <c r="Z217" i="3"/>
  <c r="Y10" i="4"/>
  <c r="X27" i="4"/>
  <c r="Y25" i="4" s="1"/>
  <c r="Y23" i="4"/>
  <c r="Z27" i="4"/>
  <c r="Y31" i="4"/>
  <c r="Y42" i="4"/>
  <c r="Y44" i="4"/>
  <c r="Z47" i="4"/>
  <c r="Y53" i="4"/>
  <c r="X57" i="4"/>
  <c r="Z117" i="4"/>
  <c r="Y133" i="4"/>
  <c r="Y159" i="4"/>
  <c r="Y171" i="4"/>
  <c r="I52" i="5"/>
  <c r="Y125" i="4"/>
  <c r="Z162" i="3"/>
  <c r="Y179" i="3"/>
  <c r="X187" i="3"/>
  <c r="Y187" i="3" s="1"/>
  <c r="Y196" i="3"/>
  <c r="Y213" i="3"/>
  <c r="Y16" i="4"/>
  <c r="X77" i="4"/>
  <c r="Y74" i="4" s="1"/>
  <c r="X112" i="4"/>
  <c r="Y134" i="4"/>
  <c r="Y168" i="4"/>
  <c r="Z172" i="4"/>
  <c r="Y178" i="4"/>
  <c r="Y187" i="4"/>
  <c r="Y183" i="4"/>
  <c r="Y195" i="4"/>
  <c r="Y207" i="4"/>
  <c r="Y203" i="4"/>
  <c r="M100" i="5"/>
  <c r="AD164" i="8"/>
  <c r="X167" i="8"/>
  <c r="X202" i="3"/>
  <c r="Y201" i="3" s="1"/>
  <c r="Y198" i="3"/>
  <c r="Z202" i="3"/>
  <c r="Y206" i="3"/>
  <c r="Y6" i="4"/>
  <c r="Z22" i="4"/>
  <c r="Y18" i="4"/>
  <c r="Y57" i="4"/>
  <c r="Z62" i="4"/>
  <c r="Y79" i="4"/>
  <c r="Y18" i="3"/>
  <c r="Y38" i="3"/>
  <c r="X132" i="3"/>
  <c r="Y131" i="3" s="1"/>
  <c r="Y128" i="3"/>
  <c r="Z132" i="3"/>
  <c r="Y136" i="3"/>
  <c r="Y151" i="3"/>
  <c r="X167" i="3"/>
  <c r="Y163" i="3" s="1"/>
  <c r="Z167" i="3"/>
  <c r="Y171" i="3"/>
  <c r="Y183" i="3"/>
  <c r="Y200" i="3"/>
  <c r="Z207" i="3"/>
  <c r="Y214" i="3"/>
  <c r="Y20" i="4"/>
  <c r="Y81" i="4"/>
  <c r="Y107" i="4"/>
  <c r="X122" i="4"/>
  <c r="Y118" i="4"/>
  <c r="Z122" i="4"/>
  <c r="Y131" i="4"/>
  <c r="X132" i="4"/>
  <c r="Y132" i="4" s="1"/>
  <c r="X167" i="4"/>
  <c r="Y164" i="4" s="1"/>
  <c r="X172" i="4"/>
  <c r="X192" i="4"/>
  <c r="Y206" i="4"/>
  <c r="Z212" i="4"/>
  <c r="Y216" i="4"/>
  <c r="I32" i="5"/>
  <c r="H54" i="5"/>
  <c r="M54" i="5" s="1"/>
  <c r="M53" i="5"/>
  <c r="H56" i="5"/>
  <c r="M56" i="5" s="1"/>
  <c r="L192" i="5"/>
  <c r="AC7" i="9"/>
  <c r="R48" i="9"/>
  <c r="R141" i="9"/>
  <c r="Z127" i="4"/>
  <c r="X147" i="4"/>
  <c r="Y146" i="4" s="1"/>
  <c r="Y154" i="4"/>
  <c r="X177" i="4"/>
  <c r="Y177" i="4" s="1"/>
  <c r="Z177" i="4"/>
  <c r="I47" i="5"/>
  <c r="M45" i="5"/>
  <c r="M78" i="5"/>
  <c r="I82" i="5"/>
  <c r="M97" i="5"/>
  <c r="AD43" i="8"/>
  <c r="U47" i="8"/>
  <c r="U57" i="8"/>
  <c r="AD55" i="8"/>
  <c r="M152" i="5"/>
  <c r="L152" i="5"/>
  <c r="AC87" i="9"/>
  <c r="Y216" i="3"/>
  <c r="Z12" i="4"/>
  <c r="Y8" i="4"/>
  <c r="Y29" i="4"/>
  <c r="Y62" i="4"/>
  <c r="Z82" i="4"/>
  <c r="Y140" i="4"/>
  <c r="Y147" i="4"/>
  <c r="Z127" i="3"/>
  <c r="X127" i="3"/>
  <c r="Y126" i="3" s="1"/>
  <c r="X157" i="3"/>
  <c r="Y156" i="3" s="1"/>
  <c r="X162" i="3"/>
  <c r="Y161" i="3" s="1"/>
  <c r="X177" i="3"/>
  <c r="Y174" i="3" s="1"/>
  <c r="Z182" i="3"/>
  <c r="Z197" i="3"/>
  <c r="Y194" i="3"/>
  <c r="Y220" i="3"/>
  <c r="Z17" i="4"/>
  <c r="Y14" i="4"/>
  <c r="X37" i="4"/>
  <c r="Y36" i="4" s="1"/>
  <c r="Z37" i="4"/>
  <c r="Y41" i="4"/>
  <c r="Y58" i="4"/>
  <c r="Y78" i="4"/>
  <c r="X117" i="4"/>
  <c r="Y113" i="4" s="1"/>
  <c r="Y144" i="4"/>
  <c r="Z147" i="4"/>
  <c r="X162" i="4"/>
  <c r="Y185" i="4"/>
  <c r="Z197" i="4"/>
  <c r="Y193" i="4"/>
  <c r="I27" i="5"/>
  <c r="M25" i="5"/>
  <c r="M160" i="5"/>
  <c r="L162" i="5"/>
  <c r="L187" i="5"/>
  <c r="M183" i="5"/>
  <c r="R7" i="9"/>
  <c r="W225" i="4"/>
  <c r="Z152" i="4"/>
  <c r="X152" i="4"/>
  <c r="Y150" i="4" s="1"/>
  <c r="Y192" i="4"/>
  <c r="Y204" i="4"/>
  <c r="X222" i="4"/>
  <c r="Y218" i="4"/>
  <c r="Z222" i="4"/>
  <c r="I122" i="5"/>
  <c r="M159" i="5"/>
  <c r="M169" i="5"/>
  <c r="K168" i="5"/>
  <c r="U42" i="8"/>
  <c r="AD83" i="8"/>
  <c r="X87" i="8"/>
  <c r="AD162" i="8"/>
  <c r="AC17" i="9"/>
  <c r="AC22" i="9"/>
  <c r="AC47" i="9"/>
  <c r="R46" i="9"/>
  <c r="AC72" i="9"/>
  <c r="R125" i="9"/>
  <c r="R116" i="9"/>
  <c r="R124" i="9"/>
  <c r="Y196" i="4"/>
  <c r="Y217" i="4"/>
  <c r="M74" i="5"/>
  <c r="L77" i="5"/>
  <c r="X47" i="8"/>
  <c r="AD45" i="8"/>
  <c r="AC32" i="9"/>
  <c r="AC62" i="9"/>
  <c r="AC147" i="9"/>
  <c r="AC212" i="9"/>
  <c r="Y111" i="4"/>
  <c r="Y124" i="4"/>
  <c r="Y142" i="4"/>
  <c r="Y169" i="4"/>
  <c r="M85" i="5"/>
  <c r="U27" i="8"/>
  <c r="R3" i="9"/>
  <c r="R33" i="9"/>
  <c r="S33" i="9" s="1"/>
  <c r="AC52" i="9"/>
  <c r="R49" i="9"/>
  <c r="R54" i="9"/>
  <c r="R59" i="9"/>
  <c r="AC122" i="9"/>
  <c r="Y181" i="4"/>
  <c r="Z207" i="4"/>
  <c r="Y209" i="4"/>
  <c r="I37" i="5"/>
  <c r="I117" i="5"/>
  <c r="M154" i="5"/>
  <c r="K157" i="5"/>
  <c r="M157" i="5" s="1"/>
  <c r="K153" i="5"/>
  <c r="M195" i="5"/>
  <c r="X147" i="8"/>
  <c r="S8" i="9"/>
  <c r="S23" i="9"/>
  <c r="R50" i="9"/>
  <c r="R113" i="9"/>
  <c r="R128" i="9"/>
  <c r="S128" i="9" s="1"/>
  <c r="AC202" i="9"/>
  <c r="Y165" i="4"/>
  <c r="Y182" i="4"/>
  <c r="Y184" i="4"/>
  <c r="R13" i="9"/>
  <c r="S13" i="9" s="1"/>
  <c r="AC67" i="9"/>
  <c r="AC77" i="9"/>
  <c r="R79" i="9"/>
  <c r="AC102" i="9"/>
  <c r="R114" i="9"/>
  <c r="R131" i="9"/>
  <c r="AC177" i="9"/>
  <c r="AC197" i="9"/>
  <c r="AC222" i="9"/>
  <c r="AC172" i="9"/>
  <c r="AX64" i="11"/>
  <c r="AX68" i="11"/>
  <c r="AX69" i="11"/>
  <c r="AX91" i="11"/>
  <c r="AX99" i="11"/>
  <c r="AX110" i="11"/>
  <c r="AX112" i="11"/>
  <c r="AX125" i="11"/>
  <c r="AX149" i="11"/>
  <c r="AX172" i="11"/>
  <c r="AX204" i="11"/>
  <c r="AX6" i="12"/>
  <c r="AX22" i="12"/>
  <c r="AX38" i="12"/>
  <c r="AX54" i="12"/>
  <c r="AX70" i="12"/>
  <c r="AX86" i="12"/>
  <c r="AX74" i="11"/>
  <c r="AX90" i="11"/>
  <c r="AX98" i="11"/>
  <c r="AX138" i="11"/>
  <c r="AX166" i="11"/>
  <c r="AX180" i="11"/>
  <c r="AX190" i="11"/>
  <c r="AX194" i="11"/>
  <c r="AX197" i="11"/>
  <c r="AX18" i="12"/>
  <c r="U37" i="8"/>
  <c r="AD33" i="8"/>
  <c r="R6" i="9"/>
  <c r="R61" i="9"/>
  <c r="R135" i="9"/>
  <c r="S133" i="9" s="1"/>
  <c r="AC152" i="9"/>
  <c r="AX119" i="11"/>
  <c r="AX143" i="11"/>
  <c r="AX147" i="11"/>
  <c r="AX193" i="11"/>
  <c r="Z220" i="11"/>
  <c r="AB220" i="11" s="1"/>
  <c r="Y216" i="11"/>
  <c r="Z216" i="11"/>
  <c r="AB216" i="11" s="1"/>
  <c r="AX216" i="11" s="1"/>
  <c r="AX222" i="11"/>
  <c r="AX17" i="12"/>
  <c r="AX33" i="12"/>
  <c r="AX49" i="12"/>
  <c r="AX65" i="12"/>
  <c r="AX76" i="12"/>
  <c r="AX81" i="12"/>
  <c r="AX92" i="12"/>
  <c r="AX78" i="11"/>
  <c r="AX88" i="11"/>
  <c r="AX96" i="11"/>
  <c r="AX122" i="11"/>
  <c r="AX128" i="11"/>
  <c r="AX133" i="11"/>
  <c r="AX161" i="11"/>
  <c r="AX179" i="11"/>
  <c r="AX192" i="11"/>
  <c r="AX201" i="11"/>
  <c r="AX8" i="12"/>
  <c r="AX24" i="12"/>
  <c r="AX40" i="12"/>
  <c r="AX56" i="12"/>
  <c r="AX87" i="11"/>
  <c r="AX95" i="11"/>
  <c r="AX108" i="11"/>
  <c r="AX142" i="11"/>
  <c r="AX160" i="11"/>
  <c r="AX174" i="11"/>
  <c r="AX176" i="11"/>
  <c r="AX188" i="11"/>
  <c r="AX218" i="11"/>
  <c r="Z223" i="11"/>
  <c r="AX71" i="12"/>
  <c r="AX87" i="12"/>
  <c r="K147" i="5"/>
  <c r="M147" i="5" s="1"/>
  <c r="K177" i="5"/>
  <c r="M177" i="5" s="1"/>
  <c r="K174" i="5"/>
  <c r="R118" i="9"/>
  <c r="R142" i="9"/>
  <c r="AX71" i="11"/>
  <c r="AX81" i="11"/>
  <c r="AX84" i="11"/>
  <c r="AX117" i="11"/>
  <c r="AX132" i="11"/>
  <c r="AX137" i="11"/>
  <c r="AX151" i="11"/>
  <c r="AX158" i="11"/>
  <c r="AX164" i="11"/>
  <c r="AX169" i="11"/>
  <c r="AX206" i="11"/>
  <c r="AX210" i="11"/>
  <c r="AX213" i="11"/>
  <c r="Z219" i="11"/>
  <c r="AB219" i="11" s="1"/>
  <c r="AX219" i="11" s="1"/>
  <c r="Z215" i="11"/>
  <c r="AB215" i="11" s="1"/>
  <c r="AX215" i="11" s="1"/>
  <c r="Y215" i="11"/>
  <c r="AX12" i="12"/>
  <c r="AX28" i="12"/>
  <c r="AX44" i="12"/>
  <c r="AX60" i="12"/>
  <c r="R56" i="9"/>
  <c r="R123" i="9"/>
  <c r="S123" i="9" s="1"/>
  <c r="R139" i="9"/>
  <c r="S138" i="9" s="1"/>
  <c r="AC207" i="9"/>
  <c r="AX131" i="11"/>
  <c r="AX135" i="11"/>
  <c r="AX154" i="11"/>
  <c r="AX163" i="11"/>
  <c r="AX182" i="11"/>
  <c r="AX209" i="11"/>
  <c r="AX217" i="11"/>
  <c r="AX220" i="11"/>
  <c r="AX83" i="12"/>
  <c r="AX75" i="11"/>
  <c r="AX80" i="11"/>
  <c r="AX92" i="11"/>
  <c r="AX100" i="11"/>
  <c r="AX116" i="11"/>
  <c r="AX130" i="11"/>
  <c r="AX153" i="11"/>
  <c r="AX185" i="11"/>
  <c r="AX208" i="11"/>
  <c r="AX7" i="12"/>
  <c r="AX23" i="12"/>
  <c r="AX94" i="11"/>
  <c r="AX102" i="11"/>
  <c r="AX103" i="11"/>
  <c r="AX148" i="11"/>
  <c r="AX165" i="11"/>
  <c r="AX170" i="11"/>
  <c r="AX198" i="11"/>
  <c r="AX214" i="11"/>
  <c r="AX3" i="12"/>
  <c r="AX19" i="12"/>
  <c r="AX35" i="12"/>
  <c r="AX51" i="12"/>
  <c r="AX67" i="12"/>
  <c r="AX72" i="12"/>
  <c r="AX79" i="11"/>
  <c r="AX86" i="11"/>
  <c r="AX93" i="11"/>
  <c r="AX101" i="11"/>
  <c r="AX124" i="11"/>
  <c r="AX141" i="11"/>
  <c r="AX146" i="11"/>
  <c r="AX187" i="11"/>
  <c r="AX203" i="11"/>
  <c r="AX13" i="12"/>
  <c r="AX29" i="12"/>
  <c r="AX45" i="12"/>
  <c r="AX61" i="12"/>
  <c r="AX77" i="12"/>
  <c r="AX88" i="12"/>
  <c r="AX93" i="12"/>
  <c r="AX98" i="12"/>
  <c r="Z141" i="12"/>
  <c r="AB139" i="12"/>
  <c r="AX34" i="12"/>
  <c r="AX50" i="12"/>
  <c r="AX66" i="12"/>
  <c r="AX82" i="12"/>
  <c r="AX133" i="12"/>
  <c r="AX134" i="12"/>
  <c r="AX138" i="12"/>
  <c r="AX140" i="11"/>
  <c r="AX157" i="11"/>
  <c r="AX162" i="11"/>
  <c r="AX196" i="11"/>
  <c r="AX212" i="11"/>
  <c r="AX221" i="11"/>
  <c r="AX16" i="12"/>
  <c r="AX32" i="12"/>
  <c r="AX48" i="12"/>
  <c r="AX64" i="12"/>
  <c r="AX75" i="12"/>
  <c r="AX91" i="12"/>
  <c r="AX97" i="12"/>
  <c r="AX11" i="12"/>
  <c r="AX27" i="12"/>
  <c r="AX43" i="12"/>
  <c r="AX59" i="12"/>
  <c r="AX101" i="12"/>
  <c r="AX140" i="12"/>
  <c r="AX63" i="11"/>
  <c r="AX70" i="11"/>
  <c r="AX89" i="11"/>
  <c r="AX97" i="11"/>
  <c r="AX109" i="11"/>
  <c r="AX114" i="11"/>
  <c r="AX156" i="11"/>
  <c r="AX173" i="11"/>
  <c r="AX178" i="11"/>
  <c r="AX195" i="11"/>
  <c r="AX211" i="11"/>
  <c r="AX5" i="12"/>
  <c r="AX21" i="12"/>
  <c r="AX37" i="12"/>
  <c r="AX53" i="12"/>
  <c r="AX69" i="12"/>
  <c r="AX80" i="12"/>
  <c r="AX85" i="12"/>
  <c r="AX96" i="12"/>
  <c r="AX10" i="12"/>
  <c r="AX26" i="12"/>
  <c r="AX42" i="12"/>
  <c r="AX58" i="12"/>
  <c r="AX74" i="12"/>
  <c r="AX90" i="12"/>
  <c r="AX99" i="12"/>
  <c r="AX139" i="12"/>
  <c r="Y133" i="12"/>
  <c r="Z133" i="12"/>
  <c r="AB133" i="12" s="1"/>
  <c r="Z135" i="12"/>
  <c r="AB135" i="12" s="1"/>
  <c r="AX135" i="12" s="1"/>
  <c r="Y58" i="3" l="1"/>
  <c r="Y62" i="3"/>
  <c r="Y59" i="3"/>
  <c r="Y124" i="3"/>
  <c r="Y26" i="4"/>
  <c r="Y170" i="3"/>
  <c r="Y21" i="3"/>
  <c r="Y34" i="4"/>
  <c r="Y30" i="4"/>
  <c r="Y32" i="4"/>
  <c r="Y28" i="4"/>
  <c r="Y145" i="3"/>
  <c r="Y143" i="3"/>
  <c r="Y54" i="3"/>
  <c r="Y129" i="3"/>
  <c r="Y112" i="3"/>
  <c r="Z142" i="12"/>
  <c r="AB141" i="12"/>
  <c r="AX141" i="12" s="1"/>
  <c r="M153" i="5"/>
  <c r="L157" i="5"/>
  <c r="K224" i="5"/>
  <c r="Y199" i="4"/>
  <c r="Y138" i="3"/>
  <c r="Y139" i="4"/>
  <c r="Y141" i="4"/>
  <c r="Y5" i="4"/>
  <c r="Y184" i="3"/>
  <c r="Y139" i="3"/>
  <c r="Y49" i="3"/>
  <c r="Y57" i="3"/>
  <c r="L147" i="5"/>
  <c r="Y175" i="4"/>
  <c r="Y173" i="4"/>
  <c r="Y174" i="4"/>
  <c r="Y176" i="4"/>
  <c r="Y201" i="4"/>
  <c r="Y202" i="4"/>
  <c r="Y211" i="3"/>
  <c r="Y209" i="3"/>
  <c r="Y168" i="3"/>
  <c r="Y70" i="3"/>
  <c r="Y71" i="3"/>
  <c r="Y7" i="4"/>
  <c r="Z224" i="11"/>
  <c r="AB223" i="11"/>
  <c r="AX223" i="11" s="1"/>
  <c r="Y119" i="4"/>
  <c r="Y120" i="4"/>
  <c r="Y122" i="4"/>
  <c r="Y121" i="4"/>
  <c r="Y9" i="3"/>
  <c r="Y8" i="3"/>
  <c r="Y11" i="3"/>
  <c r="Y10" i="3"/>
  <c r="Y165" i="3"/>
  <c r="Y61" i="3"/>
  <c r="Y69" i="4"/>
  <c r="Y71" i="4"/>
  <c r="Y190" i="3"/>
  <c r="Y188" i="3"/>
  <c r="Y192" i="3"/>
  <c r="Y130" i="3"/>
  <c r="Y207" i="3"/>
  <c r="Y186" i="3"/>
  <c r="Y220" i="4"/>
  <c r="Y222" i="4"/>
  <c r="Y221" i="4"/>
  <c r="Y219" i="4"/>
  <c r="Y162" i="4"/>
  <c r="Y161" i="4"/>
  <c r="Y160" i="4"/>
  <c r="Y33" i="4"/>
  <c r="I57" i="5"/>
  <c r="Y191" i="4"/>
  <c r="Y189" i="4"/>
  <c r="Y188" i="4"/>
  <c r="Y173" i="3"/>
  <c r="Y158" i="4"/>
  <c r="Y190" i="4"/>
  <c r="Y44" i="3"/>
  <c r="Y4" i="4"/>
  <c r="Y175" i="3"/>
  <c r="Y155" i="3"/>
  <c r="Y218" i="3"/>
  <c r="Y51" i="3"/>
  <c r="Y60" i="3"/>
  <c r="Y176" i="3"/>
  <c r="Y212" i="3"/>
  <c r="Y162" i="3"/>
  <c r="Y160" i="3"/>
  <c r="H224" i="5"/>
  <c r="Y143" i="4"/>
  <c r="Y145" i="4"/>
  <c r="Y170" i="4"/>
  <c r="Y172" i="4"/>
  <c r="Y200" i="4"/>
  <c r="Y112" i="4"/>
  <c r="Y109" i="4"/>
  <c r="Y108" i="4"/>
  <c r="Y158" i="3"/>
  <c r="Y202" i="3"/>
  <c r="Y110" i="3"/>
  <c r="Y111" i="3"/>
  <c r="Y76" i="4"/>
  <c r="Y132" i="3"/>
  <c r="Y39" i="3"/>
  <c r="Y42" i="3"/>
  <c r="Y169" i="3"/>
  <c r="Y47" i="3"/>
  <c r="Y140" i="3"/>
  <c r="Y19" i="3"/>
  <c r="L177" i="5"/>
  <c r="M174" i="5"/>
  <c r="M168" i="5"/>
  <c r="L172" i="5"/>
  <c r="Y166" i="4"/>
  <c r="Y163" i="4"/>
  <c r="Y166" i="3"/>
  <c r="Y164" i="3"/>
  <c r="Y75" i="4"/>
  <c r="Y73" i="4"/>
  <c r="Y77" i="4"/>
  <c r="Y153" i="3"/>
  <c r="Y167" i="4"/>
  <c r="Y167" i="3"/>
  <c r="Y199" i="3"/>
  <c r="Y12" i="3"/>
  <c r="Y154" i="3"/>
  <c r="Y122" i="3"/>
  <c r="Y118" i="3"/>
  <c r="Y121" i="3"/>
  <c r="Y46" i="3"/>
  <c r="Y53" i="3"/>
  <c r="Y72" i="3"/>
  <c r="S3" i="9"/>
  <c r="Y151" i="4"/>
  <c r="Y148" i="4"/>
  <c r="Y152" i="4"/>
  <c r="Y116" i="4"/>
  <c r="Y115" i="4"/>
  <c r="Y117" i="4"/>
  <c r="Y123" i="3"/>
  <c r="Y127" i="3"/>
  <c r="Y125" i="3"/>
  <c r="Y130" i="4"/>
  <c r="Y129" i="4"/>
  <c r="Y35" i="4"/>
  <c r="Y56" i="4"/>
  <c r="Y54" i="4"/>
  <c r="Y55" i="4"/>
  <c r="Y24" i="4"/>
  <c r="Y27" i="4"/>
  <c r="Y212" i="4"/>
  <c r="Y211" i="4"/>
  <c r="Y149" i="4"/>
  <c r="Y155" i="4"/>
  <c r="Y156" i="4"/>
  <c r="Y37" i="4"/>
  <c r="Y104" i="3"/>
  <c r="Y105" i="3"/>
  <c r="Y67" i="4"/>
  <c r="Y63" i="4"/>
  <c r="Y52" i="3"/>
  <c r="Y20" i="3"/>
  <c r="Y141" i="3"/>
  <c r="Y65" i="3"/>
  <c r="Z225" i="11" l="1"/>
  <c r="AB224" i="11"/>
  <c r="AX224" i="11" s="1"/>
  <c r="Z143" i="12"/>
  <c r="AB142" i="12"/>
  <c r="AX142" i="12" s="1"/>
  <c r="Z144" i="12" l="1"/>
  <c r="AB143" i="12"/>
  <c r="AX143" i="12" s="1"/>
  <c r="AB225" i="11"/>
  <c r="AX225" i="11" s="1"/>
  <c r="Z226" i="11"/>
  <c r="Z146" i="12" l="1"/>
  <c r="Z145" i="12"/>
  <c r="AB144" i="12"/>
  <c r="AX144" i="12" s="1"/>
  <c r="Z228" i="11"/>
  <c r="Z227" i="11"/>
  <c r="AB226" i="11"/>
  <c r="AX226" i="11" s="1"/>
  <c r="Z149" i="12" l="1"/>
  <c r="AB149" i="12" s="1"/>
  <c r="AX149" i="12" s="1"/>
  <c r="Z148" i="12"/>
  <c r="AB148" i="12" s="1"/>
  <c r="AX148" i="12" s="1"/>
  <c r="Z147" i="12"/>
  <c r="AB147" i="12" s="1"/>
  <c r="AX147" i="12" s="1"/>
  <c r="AB145" i="12"/>
  <c r="AX145" i="12" s="1"/>
  <c r="Z150" i="12"/>
  <c r="AB150" i="12" s="1"/>
  <c r="AX150" i="12" s="1"/>
  <c r="AB146" i="12"/>
  <c r="AX146" i="12" s="1"/>
  <c r="Z151" i="12"/>
  <c r="Z230" i="11"/>
  <c r="AB230" i="11" s="1"/>
  <c r="AX230" i="11" s="1"/>
  <c r="AB227" i="11"/>
  <c r="AX227" i="11" s="1"/>
  <c r="Z232" i="11"/>
  <c r="AB232" i="11" s="1"/>
  <c r="AX232" i="11" s="1"/>
  <c r="Z231" i="11"/>
  <c r="AB231" i="11" s="1"/>
  <c r="AX231" i="11" s="1"/>
  <c r="Z229" i="11"/>
  <c r="AB229" i="11" s="1"/>
  <c r="AX229" i="11" s="1"/>
  <c r="Z233" i="11"/>
  <c r="AB228" i="11"/>
  <c r="AX228" i="11" s="1"/>
  <c r="Z152" i="12" l="1"/>
  <c r="AB152" i="12" s="1"/>
  <c r="AX152" i="12" s="1"/>
  <c r="AB151" i="12"/>
  <c r="AX151" i="12" s="1"/>
  <c r="AB233" i="11"/>
  <c r="AX233" i="11" s="1"/>
  <c r="Z234" i="11"/>
  <c r="AB234" i="11" s="1"/>
  <c r="AX234" i="11" s="1"/>
</calcChain>
</file>

<file path=xl/comments1.xml><?xml version="1.0" encoding="utf-8"?>
<comments xmlns="http://schemas.openxmlformats.org/spreadsheetml/2006/main">
  <authors>
    <author/>
  </authors>
  <commentList>
    <comment ref="AG28" authorId="0" shapeId="0">
      <text>
        <r>
          <rPr>
            <sz val="10"/>
            <color rgb="FF000000"/>
            <rFont val="Arial"/>
          </rPr>
          <t>visitor:
C2 2: Baskets 2 and 5 are both named A3</t>
        </r>
      </text>
    </comment>
  </commentList>
</comments>
</file>

<file path=xl/comments2.xml><?xml version="1.0" encoding="utf-8"?>
<comments xmlns="http://schemas.openxmlformats.org/spreadsheetml/2006/main">
  <authors>
    <author/>
  </authors>
  <commentList>
    <comment ref="K16" authorId="0" shapeId="0">
      <text>
        <r>
          <rPr>
            <sz val="10"/>
            <color rgb="FF000000"/>
            <rFont val="Arial"/>
          </rPr>
          <t>Harshdeep weighed this and wrote the weight on the bag.  3.8 something.  Maybe closer to 3.9.
	-Ruth Yanai</t>
        </r>
      </text>
    </comment>
    <comment ref="K30" authorId="0" shapeId="0">
      <text>
        <r>
          <rPr>
            <sz val="10"/>
            <color rgb="FF000000"/>
            <rFont val="Arial"/>
          </rPr>
          <t>Harshdeep weighed the next big sample on the list.  It had LOTS of beech leaves.  But it wasn't as heavy as reported.  If this number was changed to 8.7, it's the one!
	-Ruth Yanai</t>
        </r>
      </text>
    </comment>
  </commentList>
</comments>
</file>

<file path=xl/comments3.xml><?xml version="1.0" encoding="utf-8"?>
<comments xmlns="http://schemas.openxmlformats.org/spreadsheetml/2006/main">
  <authors>
    <author/>
  </authors>
  <commentList>
    <comment ref="V2" authorId="0" shapeId="0">
      <text>
        <r>
          <rPr>
            <sz val="10"/>
            <color rgb="FF000000"/>
            <rFont val="Arial"/>
          </rPr>
          <t xml:space="preserve">Originally sorted into beech, non-leaf and other. Tested time between that and sorting everything, and found the difference to be between 3 and 17 minutes. Changed to sorting into Beech, Sugar Maple, Other, and Non-leaf. Sugar Maple was found to be what was making up most of the "other" originally, so we created a column for it.
</t>
        </r>
      </text>
    </comment>
    <comment ref="W77" authorId="0" shapeId="0">
      <text>
        <r>
          <rPr>
            <sz val="10"/>
            <color rgb="FF000000"/>
            <rFont val="Arial"/>
          </rPr>
          <t>Labeled C3, but the gaps in data led us to believe that it was actually C6. If we find a C6-3-C3, we will reconsider.</t>
        </r>
      </text>
    </comment>
    <comment ref="E107" authorId="0" shapeId="0">
      <text>
        <r>
          <rPr>
            <sz val="10"/>
            <color rgb="FF000000"/>
            <rFont val="Arial"/>
          </rPr>
          <t>Said it was in a large bag, seems weird for only 2 grams. Check original sample</t>
        </r>
      </text>
    </comment>
    <comment ref="M108" authorId="0" shapeId="0">
      <text>
        <r>
          <rPr>
            <sz val="10"/>
            <color rgb="FF000000"/>
            <rFont val="Arial"/>
          </rPr>
          <t>Says it was in a small bag, but it's only 2.5 grams. check original sample to make sure we were supposed to subtract the bag weight, not coin envelope weight
	-Stephanie Suttenberg</t>
        </r>
      </text>
    </comment>
    <comment ref="N108" authorId="0" shapeId="0">
      <text>
        <r>
          <rPr>
            <sz val="10"/>
            <color rgb="FF000000"/>
            <rFont val="Arial"/>
          </rPr>
          <t>Says it was in a small bag, but it's only 1.6 grams. check original sample to make sure we were supposed to subtract the bag weight, not coin envelope weight
	-Stephanie Suttenberg</t>
        </r>
      </text>
    </comment>
    <comment ref="O108" authorId="0" shapeId="0">
      <text>
        <r>
          <rPr>
            <sz val="10"/>
            <color rgb="FF000000"/>
            <rFont val="Arial"/>
          </rPr>
          <t>Says it was in a small bag, but it's only 1.9 grams. check original sample to make sure we were supposed to subtract the bag weight, not coin envelope weight
	-Stephanie Suttenberg</t>
        </r>
      </text>
    </comment>
  </commentList>
</comments>
</file>

<file path=xl/sharedStrings.xml><?xml version="1.0" encoding="utf-8"?>
<sst xmlns="http://schemas.openxmlformats.org/spreadsheetml/2006/main" count="6887" uniqueCount="364">
  <si>
    <t>Work history:</t>
  </si>
  <si>
    <t>Corrie created this workbook January 19, 2011</t>
  </si>
  <si>
    <t>estimated values</t>
  </si>
  <si>
    <t>It contains data from the basket litter that was collected November 5-8, 2009</t>
  </si>
  <si>
    <t>not collected samples</t>
  </si>
  <si>
    <t>and sorted by the 2010 field crew(s)</t>
  </si>
  <si>
    <t>2009 Basket Litter - collected Nov 5-8, 2009 by Braulio Quintero and sorted by summer 2010 crew</t>
  </si>
  <si>
    <t>Corrie and Craig worked on organizing and inventorying the litter on June 1, 2011</t>
  </si>
  <si>
    <t>Craig worked on that during 2012 to 2013</t>
  </si>
  <si>
    <t>Yang reorganized the datasets on July 28, 2014</t>
  </si>
  <si>
    <t>11/22/14 For litterfall mass 2012, There are two columns for C2 1 C3</t>
  </si>
  <si>
    <t>TOTAL</t>
  </si>
  <si>
    <t>12/20/14 Griffin Walsh: Looking through the data, I picked out outliers, took out sticks, and made a comment on C2 2 Summer 2011</t>
  </si>
  <si>
    <t>MELNHE Litterfall 2009-2015</t>
  </si>
  <si>
    <t>2/7/14 Max Charlamb was responsible for entering data for fall 2014</t>
  </si>
  <si>
    <t>People involved in sample collection</t>
  </si>
  <si>
    <t xml:space="preserve">08/24/16 Here are some notes written on bags from Fall 2015: </t>
  </si>
  <si>
    <t>C9-3-C1: "tilted, broke, increase SA."</t>
  </si>
  <si>
    <t>C9-2-A3: "lots of broken bark/wood, basket had cracked bottom."</t>
  </si>
  <si>
    <t>C9-3-C3: "basket broke, increase SA."</t>
  </si>
  <si>
    <t xml:space="preserve">Matt Regan: added wet field weights (frozen) for Fall 2014 HBM </t>
  </si>
  <si>
    <t>People involved with spreadsheet preparation</t>
  </si>
  <si>
    <t>Prinicipal Investigator</t>
  </si>
  <si>
    <t>Added D16 mass- GEW</t>
  </si>
  <si>
    <t>Ruth Yanai : rdyanai@syr.edu</t>
  </si>
  <si>
    <t>Project Description</t>
  </si>
  <si>
    <t>Litterfall mass was measured in 10 stands in Fall 2009, spring 2010, and summer 2010 in the White Mountains, New Hampshire.  In fall 2010 an extra site (C7) was added, making 11 stands of litter collected fall 2010, spring 2011 and later years. Litter collection was performed three times a year.</t>
  </si>
  <si>
    <t>Data Set Methods</t>
  </si>
  <si>
    <t>Sample Description</t>
  </si>
  <si>
    <t>Dry leaf matter stored in paper bags.</t>
  </si>
  <si>
    <t>Sample Location</t>
  </si>
  <si>
    <t>Litter collected from Fall 2009 to spring 2013 (not Fall 2010) were dried, weighed and stored in 4th floor storage room in Bray at SUNY-ESF, Syracuse, NY. Litter from Fall 2010 is currently being sorted, dried and weighed in B9 at Marshall Hall in ESF. Litter collected after Sping 2013 is currently being dried and weighed at Bartlett Experimental Forest, NH.</t>
  </si>
  <si>
    <t>Related Datasets</t>
  </si>
  <si>
    <t>1993-1996 Federer Chronosequence Litter Biomass;  2003-2005 Federer Chronosequence Litter Biomass (both contain litterfall biomass from other BEF sites)</t>
  </si>
  <si>
    <t>Definitions of Variables</t>
  </si>
  <si>
    <t>Missing values are coded as "." and 0 values represent a true weight of 0.0 g.</t>
  </si>
  <si>
    <t>Other: Leaf material not identified to species</t>
  </si>
  <si>
    <t>Twigs: Twigs &lt; 30 mm diameter</t>
  </si>
  <si>
    <t>Related Publications:</t>
  </si>
  <si>
    <t>None yet.</t>
  </si>
  <si>
    <t>Index of Pages in this spreadsheet</t>
  </si>
  <si>
    <t>Notes:  Notes on the history of this workbook including dates of changes, estimation of missing samples, paired former and current labels for baskets, etc.</t>
  </si>
  <si>
    <t>Litterfall mass 2009: Litter samples collected from fall 2009, spring 2010 and summer 2010, as a year of 2009 litter. Stand , plot, and basket number, along with the weights found in each basket. In fall 2009, weights were down to individual species for each basket.</t>
  </si>
  <si>
    <t>Litterfall mass 2010: Litter samples collected from fall 2010, spring 2011 and summer 2011, as a year of 2010 litter. Stand , plot, and basket number, along with the weights found in each basket. In fall 2010, weights were down to individual species for each basket (not complete so far).</t>
  </si>
  <si>
    <t>Litterfall mass 2011: Litter samples collected from fall 2011, spring 2012 and summer 2012, as a year of 2011 litter. Stand , plot, and basket number, along with the total weights found in each basket.</t>
  </si>
  <si>
    <t>Litterfall mass 2012: Litter samples collected from fall 2012, spring 2013 and summer 2013, as a year of 2012 litter. Stand , plot, and basket number, along with the total weights found in each basket (not complete).</t>
  </si>
  <si>
    <t>Known problems and inconsistencies</t>
  </si>
  <si>
    <t>Baskets were relabeled in summer 2011, hard to pair the former name and current name for all baskets.</t>
  </si>
  <si>
    <t>Fall 2010</t>
  </si>
  <si>
    <t>Spring 2011</t>
  </si>
  <si>
    <t>Summer 2011</t>
  </si>
  <si>
    <t>Site</t>
  </si>
  <si>
    <t>Stand</t>
  </si>
  <si>
    <t>Plot</t>
  </si>
  <si>
    <t>Basket</t>
  </si>
  <si>
    <t>ASH</t>
  </si>
  <si>
    <t>Bigtooth ASP</t>
  </si>
  <si>
    <t>Quick ASP</t>
  </si>
  <si>
    <t>BASS</t>
  </si>
  <si>
    <t>BE</t>
  </si>
  <si>
    <t>GB</t>
  </si>
  <si>
    <t>MM</t>
  </si>
  <si>
    <t>PC</t>
  </si>
  <si>
    <t>RM</t>
  </si>
  <si>
    <t>RO</t>
  </si>
  <si>
    <t>SEEDS</t>
  </si>
  <si>
    <t>SM</t>
  </si>
  <si>
    <t>STM</t>
  </si>
  <si>
    <t>TWIGS</t>
  </si>
  <si>
    <t>UNK</t>
  </si>
  <si>
    <t>VIB</t>
  </si>
  <si>
    <t>WB</t>
  </si>
  <si>
    <t>YB</t>
  </si>
  <si>
    <t>Sum. of BKS</t>
  </si>
  <si>
    <t>ave.of plot</t>
  </si>
  <si>
    <t>Weight</t>
  </si>
  <si>
    <t>reweight</t>
  </si>
  <si>
    <t>Sum of Basket (per year)</t>
  </si>
  <si>
    <t>BEF</t>
  </si>
  <si>
    <t>C1</t>
  </si>
  <si>
    <t>Fall 2011</t>
  </si>
  <si>
    <t>Spring 2012</t>
  </si>
  <si>
    <t>Summer 2012</t>
  </si>
  <si>
    <t>A1</t>
  </si>
  <si>
    <t>verified</t>
  </si>
  <si>
    <t>A3</t>
  </si>
  <si>
    <t xml:space="preserve">                                                                                                                                                                                                                                                                                                                                                                                                                                                                                                                                                                                                             </t>
  </si>
  <si>
    <t>B2</t>
  </si>
  <si>
    <t>C3</t>
  </si>
  <si>
    <t>Fall</t>
  </si>
  <si>
    <t>NP</t>
  </si>
  <si>
    <t>Control</t>
  </si>
  <si>
    <t>P</t>
  </si>
  <si>
    <t>N</t>
  </si>
  <si>
    <t>C2</t>
  </si>
  <si>
    <t>C4</t>
  </si>
  <si>
    <t>Fall 2009 (g)</t>
  </si>
  <si>
    <t>Spring 2010</t>
  </si>
  <si>
    <t>Summer 2010</t>
  </si>
  <si>
    <t>%error</t>
  </si>
  <si>
    <t>Standard deviation</t>
  </si>
  <si>
    <t>C6</t>
  </si>
  <si>
    <t>C7</t>
  </si>
  <si>
    <t>N/A</t>
  </si>
  <si>
    <t>C8</t>
  </si>
  <si>
    <t>C9</t>
  </si>
  <si>
    <t>HB</t>
  </si>
  <si>
    <t>HBM</t>
  </si>
  <si>
    <t>A2</t>
  </si>
  <si>
    <t>B1</t>
  </si>
  <si>
    <t>HBO</t>
  </si>
  <si>
    <t>B3</t>
  </si>
  <si>
    <t>JB</t>
  </si>
  <si>
    <t>JBM</t>
  </si>
  <si>
    <t>CENTER</t>
  </si>
  <si>
    <t>JBO</t>
  </si>
  <si>
    <t>17 (Fall missing)</t>
  </si>
  <si>
    <t>C7 3 A3</t>
  </si>
  <si>
    <t>C2 2 C1</t>
  </si>
  <si>
    <t>C8 3 C1</t>
  </si>
  <si>
    <t>C4 4 A1 and A3</t>
  </si>
  <si>
    <t>C7 3 C1</t>
  </si>
  <si>
    <t>HBM 1 B2</t>
  </si>
  <si>
    <t>-</t>
  </si>
  <si>
    <t>1. Litter collection in fall 2012 was performed in multiple times, thus it has it's own way of correction for missing samples</t>
  </si>
  <si>
    <t>Mid</t>
  </si>
  <si>
    <t>2. Correction of missing samples for total mass (not sorted) was calculated based on the averaged mass of the rest samples in that plot</t>
  </si>
  <si>
    <t>Not listed here so far</t>
  </si>
  <si>
    <t>Paired former and current names for baskets</t>
  </si>
  <si>
    <t>If it's blank, no clues on that paired information.</t>
  </si>
  <si>
    <t>Former labeled basket</t>
  </si>
  <si>
    <t>Paired current labeled basket</t>
  </si>
  <si>
    <t>How can there be two A3's?</t>
  </si>
  <si>
    <t>Old</t>
  </si>
  <si>
    <t>not sure?</t>
  </si>
  <si>
    <t>not sure&gt;</t>
  </si>
  <si>
    <t>Fall 2012</t>
  </si>
  <si>
    <t>Spring 2013</t>
  </si>
  <si>
    <t>Summer 2013</t>
  </si>
  <si>
    <t>Total</t>
  </si>
  <si>
    <t>Treatment</t>
  </si>
  <si>
    <t>P N C NP</t>
  </si>
  <si>
    <t>C</t>
  </si>
  <si>
    <t>NP C P N</t>
  </si>
  <si>
    <t>NP N C P</t>
  </si>
  <si>
    <t>NP C N P</t>
  </si>
  <si>
    <t>N NP P C</t>
  </si>
  <si>
    <t>P C N NP</t>
  </si>
  <si>
    <t>C P NP N</t>
  </si>
  <si>
    <t>C6 3 3 Red Maple</t>
  </si>
  <si>
    <t>C6 4 3 Beech Red Maple White Birch</t>
  </si>
  <si>
    <t>10 (Fall Missing)</t>
  </si>
  <si>
    <t xml:space="preserve">C1 3 3 </t>
  </si>
  <si>
    <t>C2 2 1</t>
  </si>
  <si>
    <t>Cg 4 3 Beech</t>
  </si>
  <si>
    <t>JB Old 1 2</t>
  </si>
  <si>
    <t>C7 2 5</t>
  </si>
  <si>
    <t>C6 4 3 Red Maple</t>
  </si>
  <si>
    <t>C6 4 3 WB</t>
  </si>
  <si>
    <t>Fall 2013</t>
  </si>
  <si>
    <t>Spring 2014</t>
  </si>
  <si>
    <t>Summer 2014</t>
  </si>
  <si>
    <t>BIRCH</t>
  </si>
  <si>
    <t>FRAG</t>
  </si>
  <si>
    <t>PC+ASH</t>
  </si>
  <si>
    <t>Cherry and Ash</t>
  </si>
  <si>
    <t>Birch and Aspen</t>
  </si>
  <si>
    <t>sum of basket (3 seasons)</t>
  </si>
  <si>
    <t>P N NP C</t>
  </si>
  <si>
    <t>10 (Fall missing)</t>
  </si>
  <si>
    <t>HB Mid 4 3</t>
  </si>
  <si>
    <t>HB Mid 1 2 and 1 4</t>
  </si>
  <si>
    <t>Fall 2009</t>
  </si>
  <si>
    <t>C9 2 2</t>
  </si>
  <si>
    <t>JB Old Plot 3 basket 4 and Plot 4 basket 5 have no sugar maple</t>
  </si>
  <si>
    <t>C8 2 2 and 4 4</t>
  </si>
  <si>
    <t>C4 3 5 White Birch</t>
  </si>
  <si>
    <t>C 1 1 3</t>
  </si>
  <si>
    <t xml:space="preserve"> </t>
  </si>
  <si>
    <t>NP P N C</t>
  </si>
  <si>
    <t>Fall 2014</t>
  </si>
  <si>
    <t>Spring 2015</t>
  </si>
  <si>
    <t xml:space="preserve">D4 and B3 found on C6? Others possible missing/ mislabeled </t>
  </si>
  <si>
    <t>Ash</t>
  </si>
  <si>
    <t>BT Aspen</t>
  </si>
  <si>
    <t>Oak</t>
  </si>
  <si>
    <t>Beech</t>
  </si>
  <si>
    <t>P Cherry</t>
  </si>
  <si>
    <t>Red M</t>
  </si>
  <si>
    <t>Sugar M</t>
  </si>
  <si>
    <t>Striped M</t>
  </si>
  <si>
    <t>White B</t>
  </si>
  <si>
    <t>Yellow B</t>
  </si>
  <si>
    <t>Unkown</t>
  </si>
  <si>
    <t>Hobble Bush</t>
  </si>
  <si>
    <t>Non-Leaf</t>
  </si>
  <si>
    <t>notes</t>
  </si>
  <si>
    <t>Sugar Maple</t>
  </si>
  <si>
    <t>Other</t>
  </si>
  <si>
    <t>Nonleaf</t>
  </si>
  <si>
    <t>Average of Plot</t>
  </si>
  <si>
    <t>Cracked Basket</t>
  </si>
  <si>
    <t>Not sorted</t>
  </si>
  <si>
    <t>5 (Fall Missing)</t>
  </si>
  <si>
    <t>Flipped, Off of stakes (need to fix)</t>
  </si>
  <si>
    <t>Flipped</t>
  </si>
  <si>
    <t xml:space="preserve">
</t>
  </si>
  <si>
    <t>Missing Data: Reweigh</t>
  </si>
  <si>
    <t>Empty, Basket pulled outside plot (bear)</t>
  </si>
  <si>
    <t>Empty, Tree fell on basket, broken</t>
  </si>
  <si>
    <t>This basket and another basket are both labeled C2-4-A3</t>
  </si>
  <si>
    <t>Empty, Moved outside subplot</t>
  </si>
  <si>
    <t>Empty, Basket moved</t>
  </si>
  <si>
    <t>6.3(bag?)</t>
  </si>
  <si>
    <t>0.98(bag?)</t>
  </si>
  <si>
    <t>6.83(bag?)</t>
  </si>
  <si>
    <t>0.08(bag?)</t>
  </si>
  <si>
    <t>2.32(bag?)</t>
  </si>
  <si>
    <t>-0.09(?)</t>
  </si>
  <si>
    <t>2.75(bag?)</t>
  </si>
  <si>
    <t>-.05(?)</t>
  </si>
  <si>
    <t>0(?)</t>
  </si>
  <si>
    <t>EMPTY</t>
  </si>
  <si>
    <t>Tree fell on it</t>
  </si>
  <si>
    <t>Basket moved in blowdown</t>
  </si>
  <si>
    <t>Blowdown</t>
  </si>
  <si>
    <t xml:space="preserve">N </t>
  </si>
  <si>
    <t>maybe the later one</t>
  </si>
  <si>
    <t>Plot avg</t>
  </si>
  <si>
    <t>Pin cherry stems</t>
  </si>
  <si>
    <t>Empty, basket turned over</t>
  </si>
  <si>
    <t>17 (Fall Missing)</t>
  </si>
  <si>
    <t>Total=59</t>
  </si>
  <si>
    <t>C1 1 B2</t>
  </si>
  <si>
    <t>C2 3 B2</t>
  </si>
  <si>
    <t>C9 4 C3</t>
  </si>
  <si>
    <t>HBO 3 A3</t>
  </si>
  <si>
    <t>checked, weight correct</t>
  </si>
  <si>
    <t>checked, correct weight</t>
  </si>
  <si>
    <t>Fall 2015</t>
  </si>
  <si>
    <t>checked, reweighed</t>
  </si>
  <si>
    <t>Spring 2016</t>
  </si>
  <si>
    <t>Summer 2016</t>
  </si>
  <si>
    <t>Unsorted Mass</t>
  </si>
  <si>
    <t>Bag</t>
  </si>
  <si>
    <t>Ash weight w/bag</t>
  </si>
  <si>
    <t>bag</t>
  </si>
  <si>
    <t>Ash w/out bag</t>
  </si>
  <si>
    <t>Basswood w/bag</t>
  </si>
  <si>
    <t>Basswood w/out bag</t>
  </si>
  <si>
    <t>Aspen w/bag</t>
  </si>
  <si>
    <t>Aspen w/o bag</t>
  </si>
  <si>
    <t>Oak w/ bag</t>
  </si>
  <si>
    <t>Oak w/out bag</t>
  </si>
  <si>
    <t>Beech w/ bag</t>
  </si>
  <si>
    <t>beech w/out bag</t>
  </si>
  <si>
    <t>P Cherry w/ bag</t>
  </si>
  <si>
    <t>P Cherry w/out bag</t>
  </si>
  <si>
    <t>Red M w/ bag</t>
  </si>
  <si>
    <t>Red M w/out bag</t>
  </si>
  <si>
    <t>Sugar M w/ bag</t>
  </si>
  <si>
    <t>Sugar M w/out bag</t>
  </si>
  <si>
    <t>Striped M w/ bag</t>
  </si>
  <si>
    <t>Striped M w/out bag</t>
  </si>
  <si>
    <t>White B w/ bag</t>
  </si>
  <si>
    <t>White B w/out bag</t>
  </si>
  <si>
    <t>Yellow B w/ bag</t>
  </si>
  <si>
    <t>Yellow B w/out bag</t>
  </si>
  <si>
    <t>Unkown w/ bag</t>
  </si>
  <si>
    <t>Unknown w/out bag</t>
  </si>
  <si>
    <t>Hobble Bush w/ bag</t>
  </si>
  <si>
    <t>Hobble Bush w/out bag</t>
  </si>
  <si>
    <t>Non-Leaf w/ bag</t>
  </si>
  <si>
    <t>Non-Leaf w/out bag</t>
  </si>
  <si>
    <t>Total Mass</t>
  </si>
  <si>
    <t>Caterpillars</t>
  </si>
  <si>
    <t>D20</t>
  </si>
  <si>
    <t>basket needs replacing</t>
  </si>
  <si>
    <t>other weight recorded:2.64</t>
  </si>
  <si>
    <t>basket needs to be replaced</t>
  </si>
  <si>
    <t>basket cracked. Sample lost</t>
  </si>
  <si>
    <t>***no data, bag not found</t>
  </si>
  <si>
    <t>basket handle cracked</t>
  </si>
  <si>
    <t>basket uprooted</t>
  </si>
  <si>
    <t>basket cracked</t>
  </si>
  <si>
    <t>No leaves</t>
  </si>
  <si>
    <t>labelled C3</t>
  </si>
  <si>
    <t>Center</t>
  </si>
  <si>
    <t>labelled C1</t>
  </si>
  <si>
    <t>cornell</t>
  </si>
  <si>
    <t>D16</t>
  </si>
  <si>
    <t>MIX UP. NO DATA</t>
  </si>
  <si>
    <t>BT Aspen w/ bag</t>
  </si>
  <si>
    <t>BT Aspen w/out bag</t>
  </si>
  <si>
    <t>D12</t>
  </si>
  <si>
    <t>D5</t>
  </si>
  <si>
    <t>LC</t>
  </si>
  <si>
    <t>Duplicates of all the samples in thE C6-1 plot</t>
  </si>
  <si>
    <t>SC</t>
  </si>
  <si>
    <t>Ruth: Very strange: leaves are broken down, roots growing through them, let's not count this with 2014 litter</t>
  </si>
  <si>
    <t>SORTED</t>
  </si>
  <si>
    <t>BAG IS MISSING</t>
  </si>
  <si>
    <t>NB</t>
  </si>
  <si>
    <t>FOUND BETWEEN 9/2-9/10! WHO?</t>
  </si>
  <si>
    <t>NP, wet field weight, frozen, unknown bag</t>
  </si>
  <si>
    <t>wet field weight, frozen, uknown bag</t>
  </si>
  <si>
    <t>wet field weight, frozen, unknown bag</t>
  </si>
  <si>
    <t>wet field weight, frozen, unknown bag, double bagged</t>
  </si>
  <si>
    <t>N, wet field weight, frozen, unknown bag, double bagged, tree fell on basket</t>
  </si>
  <si>
    <t>wet field weight, frozen, D16 bag</t>
  </si>
  <si>
    <t>C, wet field weight, frozen, unknown bag, double bagged</t>
  </si>
  <si>
    <t xml:space="preserve">wet field weight, frozen, unknown bag, double bagged
</t>
  </si>
  <si>
    <t>P, wet field weight, frozen, unknown bag</t>
  </si>
  <si>
    <t>Not Sorted</t>
  </si>
  <si>
    <t>Bag was dropped, whole sample may not be present</t>
  </si>
  <si>
    <t>Y3</t>
  </si>
  <si>
    <t>Ripped</t>
  </si>
  <si>
    <t>Basket Cracked at bottom, N</t>
  </si>
  <si>
    <t>No Bag</t>
  </si>
  <si>
    <t>Tipped no Collection</t>
  </si>
  <si>
    <t>Bag not specified</t>
  </si>
  <si>
    <t>freezer behind desk</t>
  </si>
  <si>
    <t>6.68D5 (NEGATIVE)</t>
  </si>
  <si>
    <t>Weights</t>
  </si>
  <si>
    <t>S</t>
  </si>
  <si>
    <t>M</t>
  </si>
  <si>
    <t>L</t>
  </si>
  <si>
    <t>Bag Type</t>
  </si>
  <si>
    <t>Mass</t>
  </si>
  <si>
    <t>Bag not Specified</t>
  </si>
  <si>
    <t>No bag</t>
  </si>
  <si>
    <t>bag weights</t>
  </si>
  <si>
    <t>D20 x2</t>
  </si>
  <si>
    <t>freezer b6</t>
  </si>
  <si>
    <t>freeezer in b6</t>
  </si>
  <si>
    <t>small chest freezer</t>
  </si>
  <si>
    <t>There is a duplicate</t>
  </si>
  <si>
    <t>TWO WEIGHTS, BAG EMPTY</t>
  </si>
  <si>
    <t>Fallen branch overhead.</t>
  </si>
  <si>
    <t>NO LEAVES COLLECTED</t>
  </si>
  <si>
    <t xml:space="preserve">Basket flipped NO LEAVES COLLECTED </t>
  </si>
  <si>
    <t xml:space="preserve">basket flipped NO LEAVES COLLECTED </t>
  </si>
  <si>
    <t>(2) 0.08 NB</t>
  </si>
  <si>
    <t>(2) 0.09 NB</t>
  </si>
  <si>
    <t>(1) 0.08 NB</t>
  </si>
  <si>
    <t>(2) 0.01 NB</t>
  </si>
  <si>
    <t>(3) 0.06 NB</t>
  </si>
  <si>
    <t>0.0 NB</t>
  </si>
  <si>
    <t>0.9 NB</t>
  </si>
  <si>
    <t>.06g, 2 caterp.</t>
  </si>
  <si>
    <t>.01g, 2 cat.</t>
  </si>
  <si>
    <t>.05g, 2 cat.</t>
  </si>
  <si>
    <t>0.4g, 4 caterp.</t>
  </si>
  <si>
    <t>.11g, 5 caterp.</t>
  </si>
  <si>
    <t xml:space="preserve">No LEAVES COLLECTED BASKET DESTROYED </t>
  </si>
  <si>
    <t>NO LEAVES COLLECTED BASKET DESTROYED</t>
  </si>
  <si>
    <t>BAG EMPTY</t>
  </si>
  <si>
    <t>.</t>
  </si>
  <si>
    <t>Missing</t>
  </si>
  <si>
    <t>Duro 20</t>
  </si>
  <si>
    <t>Duro 12</t>
  </si>
  <si>
    <t>Duro 5</t>
  </si>
  <si>
    <t>large coin</t>
  </si>
  <si>
    <t>small coin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</si>
</sst>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0.0"/>
  </numFmts>
  <fonts count="24">
    <font>
      <sz val="10"/>
      <color rgb="FF000000"/>
      <name val="Arial"/>
    </font>
    <font>
      <sz val="11"/>
      <color rgb="FF000000"/>
      <name val="Calibri"/>
    </font>
    <font>
      <sz val="10"/>
      <name val="Arial"/>
    </font>
    <font>
      <b/>
      <sz val="12"/>
      <name val="Arial"/>
    </font>
    <font>
      <sz val="12"/>
      <name val="Arial"/>
    </font>
    <font>
      <sz val="10"/>
      <name val="Arial"/>
    </font>
    <font>
      <sz val="10"/>
      <color rgb="FF000000"/>
      <name val="Arial"/>
    </font>
    <font>
      <b/>
      <sz val="10"/>
      <name val="Arial"/>
    </font>
    <font>
      <sz val="11"/>
      <color rgb="FF000000"/>
      <name val="Arial"/>
    </font>
    <font>
      <sz val="12"/>
      <color rgb="FF000000"/>
      <name val="Arial"/>
    </font>
    <font>
      <b/>
      <sz val="12"/>
      <color rgb="FF000000"/>
      <name val="Arial"/>
    </font>
    <font>
      <b/>
      <sz val="14"/>
      <color rgb="FF000000"/>
      <name val="Arial"/>
    </font>
    <font>
      <b/>
      <sz val="14"/>
      <name val="Arial"/>
    </font>
    <font>
      <sz val="11"/>
      <name val="Calibri"/>
    </font>
    <font>
      <sz val="11"/>
      <color rgb="FF0000FF"/>
      <name val="Calibri"/>
    </font>
    <font>
      <sz val="11"/>
      <color rgb="FFFF0000"/>
      <name val="Arial"/>
    </font>
    <font>
      <sz val="10"/>
      <color rgb="FF000000"/>
      <name val="Arial"/>
    </font>
    <font>
      <sz val="11"/>
      <name val="Arial"/>
    </font>
    <font>
      <sz val="12"/>
      <color rgb="FF000000"/>
      <name val="Calibri"/>
    </font>
    <font>
      <sz val="11"/>
      <name val="Arial"/>
    </font>
    <font>
      <b/>
      <sz val="11"/>
      <color rgb="FF000000"/>
      <name val="Calibri"/>
    </font>
    <font>
      <b/>
      <sz val="10"/>
      <name val="Arial"/>
    </font>
    <font>
      <sz val="14"/>
      <name val="Arial"/>
    </font>
    <font>
      <sz val="10"/>
      <name val="Arial"/>
    </font>
  </fonts>
  <fills count="13">
    <fill>
      <patternFill patternType="none"/>
    </fill>
    <fill>
      <patternFill patternType="gray125"/>
    </fill>
    <fill>
      <patternFill patternType="solid">
        <fgColor rgb="FF00B0F0"/>
        <bgColor rgb="FF00B0F0"/>
      </patternFill>
    </fill>
    <fill>
      <patternFill patternType="solid">
        <fgColor rgb="FFFFFF00"/>
        <bgColor rgb="FFFFFF00"/>
      </patternFill>
    </fill>
    <fill>
      <patternFill patternType="solid">
        <fgColor rgb="FFC4BD97"/>
        <bgColor rgb="FFC4BD97"/>
      </patternFill>
    </fill>
    <fill>
      <patternFill patternType="solid">
        <fgColor rgb="FFDBE5F1"/>
        <bgColor rgb="FFDBE5F1"/>
      </patternFill>
    </fill>
    <fill>
      <patternFill patternType="solid">
        <fgColor rgb="FFFFFFFF"/>
        <bgColor rgb="FFFFFFFF"/>
      </patternFill>
    </fill>
    <fill>
      <patternFill patternType="solid">
        <fgColor rgb="FF92D050"/>
        <bgColor rgb="FF92D050"/>
      </patternFill>
    </fill>
    <fill>
      <patternFill patternType="solid">
        <fgColor rgb="FFFFC000"/>
        <bgColor rgb="FFFFC000"/>
      </patternFill>
    </fill>
    <fill>
      <patternFill patternType="solid">
        <fgColor rgb="FFFFF2CC"/>
        <bgColor rgb="FFFFF2CC"/>
      </patternFill>
    </fill>
    <fill>
      <patternFill patternType="solid">
        <fgColor rgb="FFE06666"/>
        <bgColor rgb="FFE06666"/>
      </patternFill>
    </fill>
    <fill>
      <patternFill patternType="solid">
        <fgColor rgb="FFFF0000"/>
        <bgColor rgb="FFFF0000"/>
      </patternFill>
    </fill>
    <fill>
      <patternFill patternType="solid">
        <fgColor rgb="FF00FF00"/>
        <bgColor rgb="FF00FF00"/>
      </patternFill>
    </fill>
  </fills>
  <borders count="35">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right/>
      <top style="thin">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7B7B7"/>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top style="thin">
        <color rgb="FFB7B7B7"/>
      </top>
      <bottom/>
      <diagonal/>
    </border>
    <border>
      <left/>
      <right style="thin">
        <color rgb="FFB7B7B7"/>
      </right>
      <top style="thin">
        <color rgb="FFB7B7B7"/>
      </top>
      <bottom/>
      <diagonal/>
    </border>
    <border>
      <left style="thin">
        <color rgb="FFB7B7B7"/>
      </left>
      <right/>
      <top/>
      <bottom/>
      <diagonal/>
    </border>
    <border>
      <left/>
      <right style="thin">
        <color rgb="FFB7B7B7"/>
      </right>
      <top/>
      <bottom/>
      <diagonal/>
    </border>
    <border>
      <left style="thin">
        <color rgb="FFB7B7B7"/>
      </left>
      <right/>
      <top/>
      <bottom style="thin">
        <color rgb="FFB7B7B7"/>
      </bottom>
      <diagonal/>
    </border>
    <border>
      <left/>
      <right style="thin">
        <color rgb="FFB7B7B7"/>
      </right>
      <top/>
      <bottom style="thin">
        <color rgb="FFB7B7B7"/>
      </bottom>
      <diagonal/>
    </border>
  </borders>
  <cellStyleXfs count="1">
    <xf numFmtId="0" fontId="0" fillId="0" borderId="0"/>
  </cellStyleXfs>
  <cellXfs count="177">
    <xf numFmtId="0" fontId="0" fillId="0" borderId="0" xfId="0" applyFont="1" applyAlignment="1"/>
    <xf numFmtId="0" fontId="1" fillId="2" borderId="1" xfId="0" applyFont="1" applyFill="1" applyBorder="1" applyAlignment="1"/>
    <xf numFmtId="0" fontId="1" fillId="0" borderId="0" xfId="0" applyFont="1" applyAlignment="1"/>
    <xf numFmtId="0" fontId="2" fillId="0" borderId="0" xfId="0" applyFont="1" applyAlignment="1"/>
    <xf numFmtId="0" fontId="1" fillId="3" borderId="1" xfId="0" applyFont="1" applyFill="1" applyBorder="1" applyAlignment="1"/>
    <xf numFmtId="0" fontId="1" fillId="4" borderId="1" xfId="0" applyFont="1" applyFill="1" applyBorder="1" applyAlignment="1"/>
    <xf numFmtId="0" fontId="1" fillId="0" borderId="0" xfId="0" applyFont="1" applyAlignment="1">
      <alignment horizontal="left"/>
    </xf>
    <xf numFmtId="1" fontId="1" fillId="0" borderId="0" xfId="0" applyNumberFormat="1" applyFont="1" applyAlignment="1"/>
    <xf numFmtId="14" fontId="1" fillId="0" borderId="0" xfId="0" applyNumberFormat="1" applyFont="1" applyAlignment="1"/>
    <xf numFmtId="16" fontId="1" fillId="0" borderId="0" xfId="0" applyNumberFormat="1" applyFont="1" applyAlignment="1"/>
    <xf numFmtId="0" fontId="1" fillId="5" borderId="1" xfId="0" applyFont="1" applyFill="1" applyBorder="1" applyAlignment="1"/>
    <xf numFmtId="14" fontId="2" fillId="0" borderId="0" xfId="0" applyNumberFormat="1" applyFont="1" applyAlignment="1">
      <alignment horizontal="left"/>
    </xf>
    <xf numFmtId="0" fontId="1" fillId="3" borderId="2" xfId="0" applyFont="1" applyFill="1" applyBorder="1" applyAlignment="1"/>
    <xf numFmtId="0" fontId="3" fillId="0" borderId="3" xfId="0" applyFont="1" applyBorder="1" applyAlignment="1">
      <alignment vertical="top" wrapText="1"/>
    </xf>
    <xf numFmtId="14" fontId="1" fillId="5" borderId="1" xfId="0" applyNumberFormat="1" applyFont="1" applyFill="1" applyBorder="1" applyAlignment="1"/>
    <xf numFmtId="0" fontId="4" fillId="0" borderId="4" xfId="0" applyFont="1" applyBorder="1" applyAlignment="1">
      <alignment vertical="top" wrapText="1"/>
    </xf>
    <xf numFmtId="0" fontId="5" fillId="0" borderId="0" xfId="0" applyFont="1" applyAlignment="1"/>
    <xf numFmtId="0" fontId="3" fillId="0" borderId="5" xfId="0" applyFont="1" applyBorder="1" applyAlignment="1">
      <alignment vertical="top" wrapText="1"/>
    </xf>
    <xf numFmtId="0" fontId="4" fillId="0" borderId="6" xfId="0" applyFont="1" applyBorder="1" applyAlignment="1"/>
    <xf numFmtId="0" fontId="4" fillId="0" borderId="8" xfId="0" applyFont="1" applyBorder="1" applyAlignment="1"/>
    <xf numFmtId="0" fontId="6" fillId="6" borderId="0" xfId="0" applyFont="1" applyFill="1" applyAlignment="1"/>
    <xf numFmtId="0" fontId="1" fillId="0" borderId="0" xfId="0" applyFont="1" applyAlignment="1"/>
    <xf numFmtId="0" fontId="7" fillId="0" borderId="0" xfId="0" applyFont="1" applyAlignment="1"/>
    <xf numFmtId="14" fontId="1" fillId="0" borderId="0" xfId="0" applyNumberFormat="1" applyFont="1" applyAlignment="1"/>
    <xf numFmtId="0" fontId="3" fillId="0" borderId="0" xfId="0" applyFont="1" applyAlignment="1">
      <alignment wrapText="1"/>
    </xf>
    <xf numFmtId="0" fontId="4" fillId="0" borderId="9" xfId="0" applyFont="1" applyBorder="1" applyAlignment="1">
      <alignment vertical="top" wrapText="1"/>
    </xf>
    <xf numFmtId="0" fontId="3" fillId="0" borderId="10" xfId="0" applyFont="1" applyBorder="1" applyAlignment="1">
      <alignment vertical="top" wrapText="1"/>
    </xf>
    <xf numFmtId="164" fontId="8" fillId="0" borderId="0" xfId="0" applyNumberFormat="1" applyFont="1" applyAlignment="1"/>
    <xf numFmtId="0" fontId="8" fillId="0" borderId="0" xfId="0" applyFont="1" applyAlignment="1"/>
    <xf numFmtId="0" fontId="4" fillId="0" borderId="12" xfId="0" applyFont="1" applyBorder="1" applyAlignment="1">
      <alignment vertical="top" wrapText="1"/>
    </xf>
    <xf numFmtId="0" fontId="1" fillId="0" borderId="14" xfId="0" applyFont="1" applyBorder="1" applyAlignment="1"/>
    <xf numFmtId="0" fontId="4" fillId="0" borderId="7" xfId="0" applyFont="1" applyBorder="1" applyAlignment="1">
      <alignment vertical="top" wrapText="1"/>
    </xf>
    <xf numFmtId="0" fontId="4" fillId="0" borderId="15" xfId="0" applyFont="1" applyBorder="1" applyAlignment="1">
      <alignment vertical="top" wrapText="1"/>
    </xf>
    <xf numFmtId="0" fontId="3" fillId="0" borderId="16" xfId="0" applyFont="1" applyBorder="1" applyAlignment="1">
      <alignment vertical="top" wrapText="1"/>
    </xf>
    <xf numFmtId="0" fontId="9" fillId="0" borderId="1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9" fillId="0" borderId="8" xfId="0" applyFont="1" applyBorder="1" applyAlignment="1">
      <alignment vertical="top" wrapText="1"/>
    </xf>
    <xf numFmtId="0" fontId="7" fillId="0" borderId="7" xfId="0" applyFont="1" applyBorder="1" applyAlignment="1"/>
    <xf numFmtId="0" fontId="10" fillId="0" borderId="8" xfId="0" applyFont="1" applyBorder="1" applyAlignment="1">
      <alignment vertical="top" wrapText="1"/>
    </xf>
    <xf numFmtId="0" fontId="9" fillId="0" borderId="7" xfId="0" applyFont="1" applyBorder="1" applyAlignment="1">
      <alignment vertical="top" wrapText="1"/>
    </xf>
    <xf numFmtId="0" fontId="4" fillId="0" borderId="8" xfId="0" applyFont="1" applyBorder="1" applyAlignment="1">
      <alignment vertical="top" wrapText="1"/>
    </xf>
    <xf numFmtId="0" fontId="7" fillId="0" borderId="17" xfId="0" applyFont="1" applyBorder="1" applyAlignment="1"/>
    <xf numFmtId="0" fontId="1" fillId="0" borderId="9" xfId="0" applyFont="1" applyBorder="1" applyAlignment="1"/>
    <xf numFmtId="0" fontId="3" fillId="0" borderId="18" xfId="0" applyFont="1" applyBorder="1" applyAlignment="1">
      <alignment vertical="top" wrapText="1"/>
    </xf>
    <xf numFmtId="0" fontId="4" fillId="0" borderId="3" xfId="0" applyFont="1" applyBorder="1" applyAlignment="1"/>
    <xf numFmtId="0" fontId="4" fillId="0" borderId="3" xfId="0" applyFont="1" applyBorder="1" applyAlignment="1">
      <alignment vertical="top" wrapText="1"/>
    </xf>
    <xf numFmtId="0" fontId="4" fillId="0" borderId="8" xfId="0" applyFont="1" applyBorder="1" applyAlignment="1">
      <alignment wrapText="1"/>
    </xf>
    <xf numFmtId="0" fontId="1" fillId="0" borderId="8" xfId="0" applyFont="1" applyBorder="1" applyAlignment="1"/>
    <xf numFmtId="0" fontId="1" fillId="0" borderId="16" xfId="0" applyFont="1" applyBorder="1" applyAlignment="1"/>
    <xf numFmtId="0" fontId="4" fillId="0" borderId="20" xfId="0" applyFont="1" applyBorder="1" applyAlignment="1">
      <alignment vertical="top" wrapText="1"/>
    </xf>
    <xf numFmtId="0" fontId="4" fillId="0" borderId="21" xfId="0" applyFont="1" applyBorder="1" applyAlignment="1">
      <alignment vertical="top" wrapText="1"/>
    </xf>
    <xf numFmtId="0" fontId="3" fillId="0" borderId="20" xfId="0" applyFont="1" applyBorder="1" applyAlignment="1">
      <alignment vertical="top" wrapText="1"/>
    </xf>
    <xf numFmtId="46" fontId="4" fillId="0" borderId="20" xfId="0" applyNumberFormat="1" applyFont="1" applyBorder="1" applyAlignment="1">
      <alignment wrapText="1"/>
    </xf>
    <xf numFmtId="0" fontId="11" fillId="0" borderId="0" xfId="0" applyFont="1" applyAlignment="1">
      <alignment horizontal="center"/>
    </xf>
    <xf numFmtId="0" fontId="11" fillId="0" borderId="0" xfId="0" applyFont="1" applyAlignment="1"/>
    <xf numFmtId="0" fontId="2" fillId="0" borderId="0" xfId="0" applyFont="1" applyAlignment="1"/>
    <xf numFmtId="0" fontId="1" fillId="0" borderId="1" xfId="0" applyFont="1" applyBorder="1" applyAlignment="1"/>
    <xf numFmtId="0" fontId="1" fillId="7" borderId="1" xfId="0" applyFont="1" applyFill="1" applyBorder="1" applyAlignment="1"/>
    <xf numFmtId="0" fontId="1" fillId="0" borderId="1" xfId="0" applyFont="1" applyBorder="1" applyAlignment="1"/>
    <xf numFmtId="0" fontId="1" fillId="8" borderId="1" xfId="0" applyFont="1" applyFill="1" applyBorder="1" applyAlignment="1"/>
    <xf numFmtId="0" fontId="2" fillId="0" borderId="0" xfId="0" applyFont="1" applyAlignment="1"/>
    <xf numFmtId="165" fontId="1" fillId="0" borderId="0" xfId="0" applyNumberFormat="1" applyFont="1" applyAlignment="1"/>
    <xf numFmtId="165" fontId="1" fillId="3" borderId="1" xfId="0" applyNumberFormat="1" applyFont="1" applyFill="1" applyBorder="1" applyAlignment="1"/>
    <xf numFmtId="165" fontId="1" fillId="4" borderId="1" xfId="0" applyNumberFormat="1" applyFont="1" applyFill="1" applyBorder="1" applyAlignment="1"/>
    <xf numFmtId="0" fontId="8" fillId="8" borderId="1" xfId="0" applyFont="1" applyFill="1" applyBorder="1" applyAlignment="1"/>
    <xf numFmtId="165" fontId="13" fillId="3" borderId="1" xfId="0" applyNumberFormat="1" applyFont="1" applyFill="1" applyBorder="1" applyAlignment="1"/>
    <xf numFmtId="165" fontId="1" fillId="6" borderId="1" xfId="0" applyNumberFormat="1" applyFont="1" applyFill="1" applyBorder="1" applyAlignment="1"/>
    <xf numFmtId="0" fontId="2" fillId="7" borderId="1" xfId="0" applyFont="1" applyFill="1" applyBorder="1" applyAlignment="1"/>
    <xf numFmtId="0" fontId="8" fillId="2" borderId="1" xfId="0" applyFont="1" applyFill="1" applyBorder="1" applyAlignment="1"/>
    <xf numFmtId="0" fontId="8" fillId="6" borderId="0" xfId="0" applyFont="1" applyFill="1" applyAlignment="1"/>
    <xf numFmtId="0" fontId="8" fillId="3" borderId="1" xfId="0" applyFont="1" applyFill="1" applyBorder="1" applyAlignment="1"/>
    <xf numFmtId="0" fontId="1" fillId="3" borderId="1" xfId="0" applyFont="1" applyFill="1" applyBorder="1" applyAlignment="1"/>
    <xf numFmtId="0" fontId="14" fillId="0" borderId="2" xfId="0" applyFont="1" applyBorder="1" applyAlignment="1"/>
    <xf numFmtId="0" fontId="1" fillId="0" borderId="2" xfId="0" applyFont="1" applyBorder="1" applyAlignment="1"/>
    <xf numFmtId="0" fontId="11" fillId="0" borderId="2" xfId="0" applyFont="1" applyBorder="1" applyAlignment="1"/>
    <xf numFmtId="0" fontId="15" fillId="0" borderId="0" xfId="0" applyFont="1" applyAlignment="1"/>
    <xf numFmtId="0" fontId="2" fillId="0" borderId="2" xfId="0" applyFont="1" applyBorder="1" applyAlignment="1"/>
    <xf numFmtId="2" fontId="2" fillId="0" borderId="2" xfId="0" applyNumberFormat="1" applyFont="1" applyBorder="1" applyAlignment="1"/>
    <xf numFmtId="0" fontId="5" fillId="0" borderId="2" xfId="0" applyFont="1" applyBorder="1"/>
    <xf numFmtId="0" fontId="1" fillId="0" borderId="2" xfId="0" applyFont="1" applyBorder="1" applyAlignment="1">
      <alignment horizontal="left"/>
    </xf>
    <xf numFmtId="0" fontId="1" fillId="4" borderId="2" xfId="0" applyFont="1" applyFill="1" applyBorder="1" applyAlignment="1"/>
    <xf numFmtId="165" fontId="2" fillId="0" borderId="0" xfId="0" applyNumberFormat="1" applyFont="1" applyAlignment="1"/>
    <xf numFmtId="0" fontId="1" fillId="8" borderId="2" xfId="0" applyFont="1" applyFill="1" applyBorder="1" applyAlignment="1"/>
    <xf numFmtId="0" fontId="14" fillId="0" borderId="2" xfId="0" applyFont="1" applyBorder="1" applyAlignment="1"/>
    <xf numFmtId="0" fontId="2" fillId="0" borderId="2" xfId="0" applyFont="1" applyBorder="1" applyAlignment="1"/>
    <xf numFmtId="0" fontId="1" fillId="0" borderId="25" xfId="0" applyFont="1" applyBorder="1" applyAlignment="1"/>
    <xf numFmtId="0" fontId="1" fillId="0" borderId="25" xfId="0" applyFont="1" applyBorder="1" applyAlignment="1"/>
    <xf numFmtId="0" fontId="1" fillId="0" borderId="2" xfId="0" applyFont="1" applyBorder="1" applyAlignment="1"/>
    <xf numFmtId="0" fontId="11" fillId="0" borderId="0" xfId="0" applyFont="1" applyAlignment="1">
      <alignment horizontal="center"/>
    </xf>
    <xf numFmtId="0" fontId="8" fillId="0" borderId="2" xfId="0" applyFont="1" applyBorder="1" applyAlignment="1"/>
    <xf numFmtId="0" fontId="1" fillId="0" borderId="25" xfId="0" applyFont="1" applyBorder="1" applyAlignment="1">
      <alignment horizontal="left"/>
    </xf>
    <xf numFmtId="0" fontId="1" fillId="0" borderId="25" xfId="0" applyFont="1" applyBorder="1" applyAlignment="1">
      <alignment horizontal="left"/>
    </xf>
    <xf numFmtId="0" fontId="1" fillId="0" borderId="0" xfId="0" applyFont="1" applyAlignment="1">
      <alignment horizontal="left"/>
    </xf>
    <xf numFmtId="0" fontId="5" fillId="0" borderId="25" xfId="0" applyFont="1" applyBorder="1" applyAlignment="1"/>
    <xf numFmtId="0" fontId="1" fillId="3" borderId="0" xfId="0" applyFont="1" applyFill="1" applyAlignment="1"/>
    <xf numFmtId="0" fontId="2" fillId="3" borderId="0" xfId="0" applyFont="1" applyFill="1" applyAlignment="1"/>
    <xf numFmtId="165" fontId="1" fillId="0" borderId="2" xfId="0" applyNumberFormat="1" applyFont="1" applyBorder="1" applyAlignment="1"/>
    <xf numFmtId="0" fontId="5" fillId="0" borderId="25" xfId="0" applyFont="1" applyBorder="1"/>
    <xf numFmtId="2" fontId="14" fillId="0" borderId="2" xfId="0" applyNumberFormat="1" applyFont="1" applyBorder="1" applyAlignment="1"/>
    <xf numFmtId="2" fontId="14" fillId="6" borderId="2" xfId="0" applyNumberFormat="1" applyFont="1" applyFill="1" applyBorder="1" applyAlignment="1"/>
    <xf numFmtId="0" fontId="1" fillId="6" borderId="2" xfId="0" applyFont="1" applyFill="1" applyBorder="1" applyAlignment="1"/>
    <xf numFmtId="2" fontId="1" fillId="0" borderId="2" xfId="0" applyNumberFormat="1" applyFont="1" applyBorder="1" applyAlignment="1"/>
    <xf numFmtId="2" fontId="14" fillId="0" borderId="2" xfId="0" applyNumberFormat="1" applyFont="1" applyBorder="1" applyAlignment="1"/>
    <xf numFmtId="2" fontId="1" fillId="0" borderId="2" xfId="0" applyNumberFormat="1" applyFont="1" applyBorder="1" applyAlignment="1"/>
    <xf numFmtId="0" fontId="5" fillId="9" borderId="0" xfId="0" applyFont="1" applyFill="1"/>
    <xf numFmtId="2" fontId="1" fillId="3" borderId="2" xfId="0" applyNumberFormat="1" applyFont="1" applyFill="1" applyBorder="1" applyAlignment="1"/>
    <xf numFmtId="0" fontId="5" fillId="3" borderId="25" xfId="0" applyFont="1" applyFill="1" applyBorder="1" applyAlignment="1"/>
    <xf numFmtId="2" fontId="13" fillId="0" borderId="2" xfId="0" applyNumberFormat="1" applyFont="1" applyBorder="1" applyAlignment="1"/>
    <xf numFmtId="0" fontId="14" fillId="6" borderId="2" xfId="0" applyFont="1" applyFill="1" applyBorder="1" applyAlignment="1"/>
    <xf numFmtId="0" fontId="5" fillId="9" borderId="0" xfId="0" applyFont="1" applyFill="1" applyAlignment="1"/>
    <xf numFmtId="0" fontId="16" fillId="0" borderId="25" xfId="0" applyFont="1" applyBorder="1" applyAlignment="1"/>
    <xf numFmtId="165" fontId="1" fillId="3" borderId="2" xfId="0" applyNumberFormat="1" applyFont="1" applyFill="1" applyBorder="1" applyAlignment="1"/>
    <xf numFmtId="0" fontId="5" fillId="3" borderId="25" xfId="0" applyFont="1" applyFill="1" applyBorder="1"/>
    <xf numFmtId="2" fontId="2" fillId="0" borderId="0" xfId="0" applyNumberFormat="1" applyFont="1" applyAlignment="1"/>
    <xf numFmtId="0" fontId="5" fillId="10" borderId="0" xfId="0" applyFont="1" applyFill="1"/>
    <xf numFmtId="0" fontId="8" fillId="0" borderId="25" xfId="0" applyFont="1" applyBorder="1" applyAlignment="1">
      <alignment horizontal="left"/>
    </xf>
    <xf numFmtId="0" fontId="8" fillId="0" borderId="0" xfId="0" applyFont="1" applyAlignment="1">
      <alignment horizontal="left"/>
    </xf>
    <xf numFmtId="0" fontId="8" fillId="0" borderId="25" xfId="0" applyFont="1" applyBorder="1" applyAlignment="1"/>
    <xf numFmtId="0" fontId="17" fillId="0" borderId="0" xfId="0" applyFont="1" applyAlignment="1"/>
    <xf numFmtId="0" fontId="18" fillId="0" borderId="0" xfId="0" applyFont="1" applyAlignment="1">
      <alignment horizontal="right"/>
    </xf>
    <xf numFmtId="0" fontId="1" fillId="6" borderId="25" xfId="0" applyFont="1" applyFill="1" applyBorder="1" applyAlignment="1"/>
    <xf numFmtId="0" fontId="17" fillId="0" borderId="0" xfId="0" applyFont="1"/>
    <xf numFmtId="0" fontId="5" fillId="11" borderId="25" xfId="0" applyFont="1" applyFill="1" applyBorder="1" applyAlignment="1"/>
    <xf numFmtId="0" fontId="5" fillId="11" borderId="25" xfId="0" applyFont="1" applyFill="1" applyBorder="1"/>
    <xf numFmtId="0" fontId="5" fillId="6" borderId="0" xfId="0" applyFont="1" applyFill="1"/>
    <xf numFmtId="0" fontId="5" fillId="6" borderId="0" xfId="0" applyFont="1" applyFill="1" applyAlignment="1"/>
    <xf numFmtId="0" fontId="5" fillId="6" borderId="25" xfId="0" applyFont="1" applyFill="1" applyBorder="1" applyAlignment="1"/>
    <xf numFmtId="2" fontId="5" fillId="0" borderId="25" xfId="0" applyNumberFormat="1" applyFont="1" applyBorder="1" applyAlignment="1"/>
    <xf numFmtId="2" fontId="5" fillId="0" borderId="25" xfId="0" applyNumberFormat="1" applyFont="1" applyBorder="1"/>
    <xf numFmtId="0" fontId="19" fillId="6" borderId="0" xfId="0" applyFont="1" applyFill="1" applyAlignment="1">
      <alignment horizontal="left"/>
    </xf>
    <xf numFmtId="0" fontId="5" fillId="11" borderId="0" xfId="0" applyFont="1" applyFill="1" applyAlignment="1"/>
    <xf numFmtId="2" fontId="5" fillId="0" borderId="0" xfId="0" applyNumberFormat="1" applyFont="1" applyAlignment="1"/>
    <xf numFmtId="0" fontId="5" fillId="0" borderId="0" xfId="0" applyFont="1" applyAlignment="1">
      <alignment horizontal="right"/>
    </xf>
    <xf numFmtId="0" fontId="6" fillId="6" borderId="0" xfId="0" applyFont="1" applyFill="1" applyAlignment="1">
      <alignment horizontal="left"/>
    </xf>
    <xf numFmtId="0" fontId="5" fillId="0" borderId="0" xfId="0" applyFont="1" applyAlignment="1">
      <alignment horizontal="left"/>
    </xf>
    <xf numFmtId="0" fontId="20" fillId="0" borderId="25" xfId="0" applyFont="1" applyBorder="1" applyAlignment="1">
      <alignment horizontal="left"/>
    </xf>
    <xf numFmtId="0" fontId="21" fillId="0" borderId="0" xfId="0" applyFont="1" applyAlignment="1"/>
    <xf numFmtId="0" fontId="21" fillId="0" borderId="0" xfId="0" applyFont="1"/>
    <xf numFmtId="0" fontId="1" fillId="6" borderId="25" xfId="0" applyFont="1" applyFill="1" applyBorder="1" applyAlignment="1"/>
    <xf numFmtId="0" fontId="5" fillId="3" borderId="0" xfId="0" applyFont="1" applyFill="1" applyAlignment="1"/>
    <xf numFmtId="0" fontId="1" fillId="12" borderId="0" xfId="0" applyFont="1" applyFill="1" applyAlignment="1">
      <alignment horizontal="right"/>
    </xf>
    <xf numFmtId="0" fontId="1" fillId="12" borderId="0" xfId="0" applyFont="1" applyFill="1" applyAlignment="1"/>
    <xf numFmtId="0" fontId="5" fillId="12" borderId="0" xfId="0" applyFont="1" applyFill="1"/>
    <xf numFmtId="0" fontId="5" fillId="8" borderId="0" xfId="0" applyFont="1" applyFill="1" applyAlignment="1"/>
    <xf numFmtId="0" fontId="5" fillId="8" borderId="0" xfId="0" applyFont="1" applyFill="1"/>
    <xf numFmtId="0" fontId="5" fillId="12" borderId="0" xfId="0" applyFont="1" applyFill="1" applyAlignment="1"/>
    <xf numFmtId="0" fontId="1" fillId="6" borderId="0" xfId="0" applyFont="1" applyFill="1" applyAlignment="1"/>
    <xf numFmtId="0" fontId="22" fillId="0" borderId="0" xfId="0" applyFont="1" applyAlignment="1">
      <alignment horizontal="center"/>
    </xf>
    <xf numFmtId="0" fontId="17" fillId="0" borderId="0" xfId="0" applyFont="1" applyAlignment="1">
      <alignment horizontal="center"/>
    </xf>
    <xf numFmtId="0" fontId="22" fillId="0" borderId="0" xfId="0" applyFont="1" applyAlignment="1">
      <alignment horizontal="center"/>
    </xf>
    <xf numFmtId="0" fontId="23" fillId="0" borderId="0" xfId="0" applyFont="1" applyAlignment="1">
      <alignment horizontal="right"/>
    </xf>
    <xf numFmtId="0" fontId="23" fillId="0" borderId="0" xfId="0" applyFont="1" applyAlignment="1"/>
    <xf numFmtId="0" fontId="3" fillId="0" borderId="19" xfId="0" applyFont="1" applyBorder="1" applyAlignment="1">
      <alignment horizontal="center" vertical="top" wrapText="1"/>
    </xf>
    <xf numFmtId="0" fontId="0" fillId="0" borderId="0" xfId="0" applyFont="1" applyAlignment="1"/>
    <xf numFmtId="0" fontId="3" fillId="0" borderId="5" xfId="0" applyFont="1" applyBorder="1" applyAlignment="1">
      <alignment vertical="top" wrapText="1"/>
    </xf>
    <xf numFmtId="0" fontId="5" fillId="0" borderId="7" xfId="0" applyFont="1" applyBorder="1"/>
    <xf numFmtId="0" fontId="4" fillId="0" borderId="6" xfId="0" applyFont="1" applyBorder="1" applyAlignment="1">
      <alignment vertical="top" wrapText="1"/>
    </xf>
    <xf numFmtId="0" fontId="5" fillId="0" borderId="8" xfId="0" applyFont="1" applyBorder="1"/>
    <xf numFmtId="0" fontId="3" fillId="0" borderId="11" xfId="0" applyFont="1" applyBorder="1" applyAlignment="1">
      <alignment vertical="top" wrapText="1"/>
    </xf>
    <xf numFmtId="0" fontId="5" fillId="0" borderId="13" xfId="0" applyFont="1" applyBorder="1"/>
    <xf numFmtId="0" fontId="3" fillId="0" borderId="19" xfId="0" applyFont="1" applyBorder="1" applyAlignment="1">
      <alignment vertical="top" wrapText="1"/>
    </xf>
    <xf numFmtId="0" fontId="2" fillId="0" borderId="0" xfId="0" applyFont="1" applyAlignment="1">
      <alignment horizontal="left"/>
    </xf>
    <xf numFmtId="0" fontId="12" fillId="0" borderId="0" xfId="0" applyFont="1" applyAlignment="1">
      <alignment horizontal="center"/>
    </xf>
    <xf numFmtId="0" fontId="11" fillId="0" borderId="0" xfId="0" applyFont="1" applyAlignment="1">
      <alignment horizontal="center"/>
    </xf>
    <xf numFmtId="0" fontId="11" fillId="0" borderId="22" xfId="0" applyFont="1" applyBorder="1" applyAlignment="1">
      <alignment horizontal="center"/>
    </xf>
    <xf numFmtId="0" fontId="5" fillId="0" borderId="23" xfId="0" applyFont="1" applyBorder="1"/>
    <xf numFmtId="0" fontId="5" fillId="0" borderId="24" xfId="0" applyFont="1" applyBorder="1"/>
    <xf numFmtId="0" fontId="11" fillId="0" borderId="26" xfId="0" applyFont="1" applyBorder="1" applyAlignment="1">
      <alignment horizontal="center"/>
    </xf>
    <xf numFmtId="0" fontId="5" fillId="0" borderId="27" xfId="0" applyFont="1" applyBorder="1"/>
    <xf numFmtId="0" fontId="5" fillId="0" borderId="28" xfId="0" applyFont="1" applyBorder="1"/>
    <xf numFmtId="0" fontId="1" fillId="0" borderId="29" xfId="0" applyFont="1" applyBorder="1" applyAlignment="1"/>
    <xf numFmtId="0" fontId="5" fillId="0" borderId="30" xfId="0" applyFont="1" applyBorder="1"/>
    <xf numFmtId="0" fontId="5" fillId="0" borderId="31" xfId="0" applyFont="1" applyBorder="1"/>
    <xf numFmtId="0" fontId="5" fillId="0" borderId="32" xfId="0" applyFont="1" applyBorder="1"/>
    <xf numFmtId="0" fontId="5" fillId="0" borderId="33" xfId="0" applyFont="1" applyBorder="1"/>
    <xf numFmtId="0" fontId="5" fillId="0" borderId="34" xfId="0" applyFont="1" applyBorder="1"/>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scatterChart>
        <c:scatterStyle val="lineMarker"/>
        <c:varyColors val="0"/>
        <c:ser>
          <c:idx val="0"/>
          <c:order val="0"/>
          <c:tx>
            <c:strRef>
              <c:f>'litterfall mass summer 2015'!$E$1</c:f>
              <c:strCache>
                <c:ptCount val="1"/>
                <c:pt idx="0">
                  <c:v>Weight</c:v>
                </c:pt>
              </c:strCache>
            </c:strRef>
          </c:tx>
          <c:spPr>
            <a:ln w="47625">
              <a:noFill/>
            </a:ln>
          </c:spPr>
          <c:marker>
            <c:symbol val="circle"/>
            <c:size val="7"/>
            <c:spPr>
              <a:solidFill>
                <a:srgbClr val="3366CC"/>
              </a:solidFill>
              <a:ln cmpd="sng">
                <a:solidFill>
                  <a:srgbClr val="3366CC"/>
                </a:solidFill>
              </a:ln>
            </c:spPr>
          </c:marker>
          <c:xVal>
            <c:strRef>
              <c:f>'litterfall mass summer 2015'!$D$2:$D$221</c:f>
              <c:strCache>
                <c:ptCount val="220"/>
                <c:pt idx="0">
                  <c:v>A1</c:v>
                </c:pt>
                <c:pt idx="1">
                  <c:v>A3</c:v>
                </c:pt>
                <c:pt idx="2">
                  <c:v>B2</c:v>
                </c:pt>
                <c:pt idx="3">
                  <c:v>C1</c:v>
                </c:pt>
                <c:pt idx="4">
                  <c:v>C3</c:v>
                </c:pt>
                <c:pt idx="5">
                  <c:v>A1</c:v>
                </c:pt>
                <c:pt idx="6">
                  <c:v>A3</c:v>
                </c:pt>
                <c:pt idx="7">
                  <c:v>B2</c:v>
                </c:pt>
                <c:pt idx="8">
                  <c:v>C1</c:v>
                </c:pt>
                <c:pt idx="9">
                  <c:v>C3</c:v>
                </c:pt>
                <c:pt idx="10">
                  <c:v>A1</c:v>
                </c:pt>
                <c:pt idx="11">
                  <c:v>A3</c:v>
                </c:pt>
                <c:pt idx="12">
                  <c:v>B2</c:v>
                </c:pt>
                <c:pt idx="13">
                  <c:v>C1</c:v>
                </c:pt>
                <c:pt idx="14">
                  <c:v>C3</c:v>
                </c:pt>
                <c:pt idx="15">
                  <c:v>A1</c:v>
                </c:pt>
                <c:pt idx="16">
                  <c:v>A3</c:v>
                </c:pt>
                <c:pt idx="17">
                  <c:v>B2</c:v>
                </c:pt>
                <c:pt idx="18">
                  <c:v>C1</c:v>
                </c:pt>
                <c:pt idx="19">
                  <c:v>C3</c:v>
                </c:pt>
                <c:pt idx="20">
                  <c:v>A1</c:v>
                </c:pt>
                <c:pt idx="21">
                  <c:v>A3</c:v>
                </c:pt>
                <c:pt idx="22">
                  <c:v>B2</c:v>
                </c:pt>
                <c:pt idx="23">
                  <c:v>C1</c:v>
                </c:pt>
                <c:pt idx="24">
                  <c:v>C3</c:v>
                </c:pt>
                <c:pt idx="25">
                  <c:v>A1</c:v>
                </c:pt>
                <c:pt idx="26">
                  <c:v>A3</c:v>
                </c:pt>
                <c:pt idx="27">
                  <c:v>B2</c:v>
                </c:pt>
                <c:pt idx="28">
                  <c:v>C1</c:v>
                </c:pt>
                <c:pt idx="29">
                  <c:v>C3</c:v>
                </c:pt>
                <c:pt idx="30">
                  <c:v>A1</c:v>
                </c:pt>
                <c:pt idx="31">
                  <c:v>A3</c:v>
                </c:pt>
                <c:pt idx="32">
                  <c:v>B2</c:v>
                </c:pt>
                <c:pt idx="33">
                  <c:v>C1</c:v>
                </c:pt>
                <c:pt idx="34">
                  <c:v>C3</c:v>
                </c:pt>
                <c:pt idx="35">
                  <c:v>A1</c:v>
                </c:pt>
                <c:pt idx="36">
                  <c:v>A3</c:v>
                </c:pt>
                <c:pt idx="37">
                  <c:v>B2</c:v>
                </c:pt>
                <c:pt idx="38">
                  <c:v>C1</c:v>
                </c:pt>
                <c:pt idx="39">
                  <c:v>C3</c:v>
                </c:pt>
                <c:pt idx="40">
                  <c:v>A1</c:v>
                </c:pt>
                <c:pt idx="41">
                  <c:v>A3</c:v>
                </c:pt>
                <c:pt idx="42">
                  <c:v>B2</c:v>
                </c:pt>
                <c:pt idx="43">
                  <c:v>C1</c:v>
                </c:pt>
                <c:pt idx="44">
                  <c:v>C3</c:v>
                </c:pt>
                <c:pt idx="45">
                  <c:v>A1</c:v>
                </c:pt>
                <c:pt idx="46">
                  <c:v>A3</c:v>
                </c:pt>
                <c:pt idx="47">
                  <c:v>B2</c:v>
                </c:pt>
                <c:pt idx="48">
                  <c:v>C1</c:v>
                </c:pt>
                <c:pt idx="49">
                  <c:v>C3</c:v>
                </c:pt>
                <c:pt idx="50">
                  <c:v>A1</c:v>
                </c:pt>
                <c:pt idx="51">
                  <c:v>A3</c:v>
                </c:pt>
                <c:pt idx="52">
                  <c:v>B2</c:v>
                </c:pt>
                <c:pt idx="53">
                  <c:v>C1</c:v>
                </c:pt>
                <c:pt idx="54">
                  <c:v>C3</c:v>
                </c:pt>
                <c:pt idx="55">
                  <c:v>A1</c:v>
                </c:pt>
                <c:pt idx="56">
                  <c:v>A3</c:v>
                </c:pt>
                <c:pt idx="57">
                  <c:v>B2</c:v>
                </c:pt>
                <c:pt idx="58">
                  <c:v>C1</c:v>
                </c:pt>
                <c:pt idx="59">
                  <c:v>C3</c:v>
                </c:pt>
                <c:pt idx="60">
                  <c:v>A1</c:v>
                </c:pt>
                <c:pt idx="61">
                  <c:v>A3</c:v>
                </c:pt>
                <c:pt idx="62">
                  <c:v>B2</c:v>
                </c:pt>
                <c:pt idx="63">
                  <c:v>C1</c:v>
                </c:pt>
                <c:pt idx="64">
                  <c:v>C3</c:v>
                </c:pt>
                <c:pt idx="65">
                  <c:v>A1</c:v>
                </c:pt>
                <c:pt idx="66">
                  <c:v>A3</c:v>
                </c:pt>
                <c:pt idx="67">
                  <c:v>B2</c:v>
                </c:pt>
                <c:pt idx="68">
                  <c:v>C1</c:v>
                </c:pt>
                <c:pt idx="69">
                  <c:v>C3</c:v>
                </c:pt>
                <c:pt idx="70">
                  <c:v>A1</c:v>
                </c:pt>
                <c:pt idx="71">
                  <c:v>A3</c:v>
                </c:pt>
                <c:pt idx="72">
                  <c:v>B2</c:v>
                </c:pt>
                <c:pt idx="73">
                  <c:v>C1</c:v>
                </c:pt>
                <c:pt idx="74">
                  <c:v>C3</c:v>
                </c:pt>
                <c:pt idx="75">
                  <c:v>A1</c:v>
                </c:pt>
                <c:pt idx="76">
                  <c:v>A3</c:v>
                </c:pt>
                <c:pt idx="77">
                  <c:v>B2</c:v>
                </c:pt>
                <c:pt idx="78">
                  <c:v>C1</c:v>
                </c:pt>
                <c:pt idx="79">
                  <c:v>C3</c:v>
                </c:pt>
                <c:pt idx="80">
                  <c:v>A1</c:v>
                </c:pt>
                <c:pt idx="81">
                  <c:v>A3</c:v>
                </c:pt>
                <c:pt idx="82">
                  <c:v>B2</c:v>
                </c:pt>
                <c:pt idx="83">
                  <c:v>C1</c:v>
                </c:pt>
                <c:pt idx="84">
                  <c:v>C3</c:v>
                </c:pt>
                <c:pt idx="85">
                  <c:v>A1</c:v>
                </c:pt>
                <c:pt idx="86">
                  <c:v>A3</c:v>
                </c:pt>
                <c:pt idx="87">
                  <c:v>B2</c:v>
                </c:pt>
                <c:pt idx="88">
                  <c:v>C1</c:v>
                </c:pt>
                <c:pt idx="89">
                  <c:v>C3</c:v>
                </c:pt>
                <c:pt idx="90">
                  <c:v>A1</c:v>
                </c:pt>
                <c:pt idx="91">
                  <c:v>A3</c:v>
                </c:pt>
                <c:pt idx="92">
                  <c:v>B2</c:v>
                </c:pt>
                <c:pt idx="93">
                  <c:v>C1</c:v>
                </c:pt>
                <c:pt idx="94">
                  <c:v>C3</c:v>
                </c:pt>
                <c:pt idx="95">
                  <c:v>A1</c:v>
                </c:pt>
                <c:pt idx="96">
                  <c:v>A3</c:v>
                </c:pt>
                <c:pt idx="97">
                  <c:v>B2</c:v>
                </c:pt>
                <c:pt idx="98">
                  <c:v>C1</c:v>
                </c:pt>
                <c:pt idx="99">
                  <c:v>C3</c:v>
                </c:pt>
                <c:pt idx="100">
                  <c:v>A1</c:v>
                </c:pt>
                <c:pt idx="101">
                  <c:v>A3</c:v>
                </c:pt>
                <c:pt idx="102">
                  <c:v>B2</c:v>
                </c:pt>
                <c:pt idx="103">
                  <c:v>C1</c:v>
                </c:pt>
                <c:pt idx="104">
                  <c:v>C3</c:v>
                </c:pt>
                <c:pt idx="105">
                  <c:v>A1</c:v>
                </c:pt>
                <c:pt idx="106">
                  <c:v>A3</c:v>
                </c:pt>
                <c:pt idx="107">
                  <c:v>B2</c:v>
                </c:pt>
                <c:pt idx="108">
                  <c:v>C1</c:v>
                </c:pt>
                <c:pt idx="109">
                  <c:v>C3</c:v>
                </c:pt>
                <c:pt idx="110">
                  <c:v>A1</c:v>
                </c:pt>
                <c:pt idx="111">
                  <c:v>A3</c:v>
                </c:pt>
                <c:pt idx="112">
                  <c:v>B2</c:v>
                </c:pt>
                <c:pt idx="113">
                  <c:v>C1</c:v>
                </c:pt>
                <c:pt idx="114">
                  <c:v>C3</c:v>
                </c:pt>
                <c:pt idx="115">
                  <c:v>A1</c:v>
                </c:pt>
                <c:pt idx="116">
                  <c:v>A3</c:v>
                </c:pt>
                <c:pt idx="117">
                  <c:v>B2</c:v>
                </c:pt>
                <c:pt idx="118">
                  <c:v>C1</c:v>
                </c:pt>
                <c:pt idx="119">
                  <c:v>C3</c:v>
                </c:pt>
                <c:pt idx="120">
                  <c:v>A1</c:v>
                </c:pt>
                <c:pt idx="121">
                  <c:v>A3</c:v>
                </c:pt>
                <c:pt idx="122">
                  <c:v>B2</c:v>
                </c:pt>
                <c:pt idx="123">
                  <c:v>C1</c:v>
                </c:pt>
                <c:pt idx="124">
                  <c:v>C3</c:v>
                </c:pt>
                <c:pt idx="125">
                  <c:v>A1</c:v>
                </c:pt>
                <c:pt idx="126">
                  <c:v>A3</c:v>
                </c:pt>
                <c:pt idx="127">
                  <c:v>B2</c:v>
                </c:pt>
                <c:pt idx="128">
                  <c:v>C1</c:v>
                </c:pt>
                <c:pt idx="129">
                  <c:v>C3</c:v>
                </c:pt>
                <c:pt idx="130">
                  <c:v>A1</c:v>
                </c:pt>
                <c:pt idx="131">
                  <c:v>A3</c:v>
                </c:pt>
                <c:pt idx="132">
                  <c:v>B2</c:v>
                </c:pt>
                <c:pt idx="133">
                  <c:v>C1</c:v>
                </c:pt>
                <c:pt idx="134">
                  <c:v>C3</c:v>
                </c:pt>
                <c:pt idx="135">
                  <c:v>A1</c:v>
                </c:pt>
                <c:pt idx="136">
                  <c:v>A3</c:v>
                </c:pt>
                <c:pt idx="137">
                  <c:v>B2</c:v>
                </c:pt>
                <c:pt idx="138">
                  <c:v>C1</c:v>
                </c:pt>
                <c:pt idx="139">
                  <c:v>C3</c:v>
                </c:pt>
                <c:pt idx="140">
                  <c:v>A1</c:v>
                </c:pt>
                <c:pt idx="141">
                  <c:v>A2</c:v>
                </c:pt>
                <c:pt idx="142">
                  <c:v>B1</c:v>
                </c:pt>
                <c:pt idx="143">
                  <c:v>B2</c:v>
                </c:pt>
                <c:pt idx="144">
                  <c:v>C1</c:v>
                </c:pt>
                <c:pt idx="145">
                  <c:v>A1</c:v>
                </c:pt>
                <c:pt idx="146">
                  <c:v>A2</c:v>
                </c:pt>
                <c:pt idx="147">
                  <c:v>B1</c:v>
                </c:pt>
                <c:pt idx="148">
                  <c:v>B2</c:v>
                </c:pt>
                <c:pt idx="149">
                  <c:v>C1</c:v>
                </c:pt>
                <c:pt idx="150">
                  <c:v>A1</c:v>
                </c:pt>
                <c:pt idx="151">
                  <c:v>A2</c:v>
                </c:pt>
                <c:pt idx="152">
                  <c:v>B1</c:v>
                </c:pt>
                <c:pt idx="153">
                  <c:v>B2</c:v>
                </c:pt>
                <c:pt idx="154">
                  <c:v>C1</c:v>
                </c:pt>
                <c:pt idx="155">
                  <c:v>A1</c:v>
                </c:pt>
                <c:pt idx="156">
                  <c:v>A2</c:v>
                </c:pt>
                <c:pt idx="157">
                  <c:v>B1</c:v>
                </c:pt>
                <c:pt idx="158">
                  <c:v>B2</c:v>
                </c:pt>
                <c:pt idx="159">
                  <c:v>C1</c:v>
                </c:pt>
                <c:pt idx="160">
                  <c:v>A1</c:v>
                </c:pt>
                <c:pt idx="161">
                  <c:v>A3</c:v>
                </c:pt>
                <c:pt idx="162">
                  <c:v>B2</c:v>
                </c:pt>
                <c:pt idx="163">
                  <c:v>C1</c:v>
                </c:pt>
                <c:pt idx="164">
                  <c:v>C3</c:v>
                </c:pt>
                <c:pt idx="165">
                  <c:v>A1</c:v>
                </c:pt>
                <c:pt idx="166">
                  <c:v>A3</c:v>
                </c:pt>
                <c:pt idx="167">
                  <c:v>B2</c:v>
                </c:pt>
                <c:pt idx="168">
                  <c:v>C1</c:v>
                </c:pt>
                <c:pt idx="169">
                  <c:v>C3</c:v>
                </c:pt>
                <c:pt idx="170">
                  <c:v>A1</c:v>
                </c:pt>
                <c:pt idx="171">
                  <c:v>A3</c:v>
                </c:pt>
                <c:pt idx="172">
                  <c:v>B2</c:v>
                </c:pt>
                <c:pt idx="173">
                  <c:v>C1</c:v>
                </c:pt>
                <c:pt idx="174">
                  <c:v>C3</c:v>
                </c:pt>
                <c:pt idx="175">
                  <c:v>A1</c:v>
                </c:pt>
                <c:pt idx="176">
                  <c:v>A3</c:v>
                </c:pt>
                <c:pt idx="177">
                  <c:v>B2</c:v>
                </c:pt>
                <c:pt idx="178">
                  <c:v>C1</c:v>
                </c:pt>
                <c:pt idx="179">
                  <c:v>C3</c:v>
                </c:pt>
                <c:pt idx="180">
                  <c:v>A1</c:v>
                </c:pt>
                <c:pt idx="181">
                  <c:v>A2</c:v>
                </c:pt>
                <c:pt idx="182">
                  <c:v>B1</c:v>
                </c:pt>
                <c:pt idx="183">
                  <c:v>B2</c:v>
                </c:pt>
                <c:pt idx="184">
                  <c:v>Center</c:v>
                </c:pt>
                <c:pt idx="185">
                  <c:v>A1</c:v>
                </c:pt>
                <c:pt idx="186">
                  <c:v>A2</c:v>
                </c:pt>
                <c:pt idx="187">
                  <c:v>B1</c:v>
                </c:pt>
                <c:pt idx="188">
                  <c:v>B2</c:v>
                </c:pt>
                <c:pt idx="189">
                  <c:v>Center</c:v>
                </c:pt>
                <c:pt idx="190">
                  <c:v>A1</c:v>
                </c:pt>
                <c:pt idx="191">
                  <c:v>A2</c:v>
                </c:pt>
                <c:pt idx="192">
                  <c:v>B1</c:v>
                </c:pt>
                <c:pt idx="193">
                  <c:v>B2</c:v>
                </c:pt>
                <c:pt idx="194">
                  <c:v>Center</c:v>
                </c:pt>
                <c:pt idx="195">
                  <c:v>A1</c:v>
                </c:pt>
                <c:pt idx="196">
                  <c:v>A2</c:v>
                </c:pt>
                <c:pt idx="197">
                  <c:v>B1</c:v>
                </c:pt>
                <c:pt idx="198">
                  <c:v>B2</c:v>
                </c:pt>
                <c:pt idx="199">
                  <c:v>Center</c:v>
                </c:pt>
                <c:pt idx="200">
                  <c:v>A1</c:v>
                </c:pt>
                <c:pt idx="201">
                  <c:v>A3</c:v>
                </c:pt>
                <c:pt idx="202">
                  <c:v>B2</c:v>
                </c:pt>
                <c:pt idx="203">
                  <c:v>C1</c:v>
                </c:pt>
                <c:pt idx="204">
                  <c:v>C3</c:v>
                </c:pt>
                <c:pt idx="205">
                  <c:v>A1</c:v>
                </c:pt>
                <c:pt idx="206">
                  <c:v>A3</c:v>
                </c:pt>
                <c:pt idx="207">
                  <c:v>B2</c:v>
                </c:pt>
                <c:pt idx="208">
                  <c:v>C1</c:v>
                </c:pt>
                <c:pt idx="209">
                  <c:v>C3</c:v>
                </c:pt>
                <c:pt idx="210">
                  <c:v>A1</c:v>
                </c:pt>
                <c:pt idx="211">
                  <c:v>A3</c:v>
                </c:pt>
                <c:pt idx="212">
                  <c:v>B2</c:v>
                </c:pt>
                <c:pt idx="213">
                  <c:v>C1</c:v>
                </c:pt>
                <c:pt idx="214">
                  <c:v>C3</c:v>
                </c:pt>
                <c:pt idx="215">
                  <c:v>A1</c:v>
                </c:pt>
                <c:pt idx="216">
                  <c:v>A3</c:v>
                </c:pt>
                <c:pt idx="217">
                  <c:v>B2</c:v>
                </c:pt>
                <c:pt idx="218">
                  <c:v>C1</c:v>
                </c:pt>
                <c:pt idx="219">
                  <c:v>C3</c:v>
                </c:pt>
              </c:strCache>
            </c:strRef>
          </c:xVal>
          <c:yVal>
            <c:numRef>
              <c:f>'litterfall mass summer 2015'!$E$2:$E$221</c:f>
              <c:numCache>
                <c:formatCode>General</c:formatCode>
                <c:ptCount val="220"/>
                <c:pt idx="0">
                  <c:v>3.29</c:v>
                </c:pt>
                <c:pt idx="1">
                  <c:v>2.59</c:v>
                </c:pt>
                <c:pt idx="2">
                  <c:v>1.32</c:v>
                </c:pt>
                <c:pt idx="3">
                  <c:v>2.7</c:v>
                </c:pt>
                <c:pt idx="4">
                  <c:v>3.38</c:v>
                </c:pt>
                <c:pt idx="5">
                  <c:v>2.0499999999999998</c:v>
                </c:pt>
                <c:pt idx="6">
                  <c:v>1.86</c:v>
                </c:pt>
                <c:pt idx="7">
                  <c:v>0.68</c:v>
                </c:pt>
                <c:pt idx="8">
                  <c:v>3.37</c:v>
                </c:pt>
                <c:pt idx="9">
                  <c:v>1.71</c:v>
                </c:pt>
                <c:pt idx="10">
                  <c:v>1.49</c:v>
                </c:pt>
                <c:pt idx="11">
                  <c:v>2.67</c:v>
                </c:pt>
                <c:pt idx="12">
                  <c:v>2.48</c:v>
                </c:pt>
                <c:pt idx="13">
                  <c:v>2.2599999999999998</c:v>
                </c:pt>
                <c:pt idx="14">
                  <c:v>1.55</c:v>
                </c:pt>
                <c:pt idx="15">
                  <c:v>3.28</c:v>
                </c:pt>
                <c:pt idx="16">
                  <c:v>1.91</c:v>
                </c:pt>
                <c:pt idx="17">
                  <c:v>2.04</c:v>
                </c:pt>
                <c:pt idx="18">
                  <c:v>3.01</c:v>
                </c:pt>
                <c:pt idx="19">
                  <c:v>3.2</c:v>
                </c:pt>
                <c:pt idx="20">
                  <c:v>0.8</c:v>
                </c:pt>
                <c:pt idx="21">
                  <c:v>2.86</c:v>
                </c:pt>
                <c:pt idx="22">
                  <c:v>2.06</c:v>
                </c:pt>
                <c:pt idx="23">
                  <c:v>2.34</c:v>
                </c:pt>
                <c:pt idx="24">
                  <c:v>2.5</c:v>
                </c:pt>
                <c:pt idx="25">
                  <c:v>1.61</c:v>
                </c:pt>
                <c:pt idx="26">
                  <c:v>5.0999999999999996</c:v>
                </c:pt>
                <c:pt idx="27">
                  <c:v>2.2999999999999998</c:v>
                </c:pt>
                <c:pt idx="28">
                  <c:v>2.52</c:v>
                </c:pt>
                <c:pt idx="29">
                  <c:v>1.69</c:v>
                </c:pt>
                <c:pt idx="30">
                  <c:v>2.84</c:v>
                </c:pt>
                <c:pt idx="31">
                  <c:v>1.88</c:v>
                </c:pt>
                <c:pt idx="32">
                  <c:v>0.72</c:v>
                </c:pt>
                <c:pt idx="33">
                  <c:v>2.31</c:v>
                </c:pt>
                <c:pt idx="34">
                  <c:v>1.3</c:v>
                </c:pt>
                <c:pt idx="35">
                  <c:v>3.16</c:v>
                </c:pt>
                <c:pt idx="36">
                  <c:v>2.2000000000000002</c:v>
                </c:pt>
                <c:pt idx="37">
                  <c:v>1.92</c:v>
                </c:pt>
                <c:pt idx="38">
                  <c:v>3.33</c:v>
                </c:pt>
                <c:pt idx="39">
                  <c:v>1.51</c:v>
                </c:pt>
                <c:pt idx="40">
                  <c:v>2.29</c:v>
                </c:pt>
                <c:pt idx="41">
                  <c:v>3.08</c:v>
                </c:pt>
                <c:pt idx="42">
                  <c:v>2.78</c:v>
                </c:pt>
                <c:pt idx="43">
                  <c:v>4.9800000000000004</c:v>
                </c:pt>
                <c:pt idx="44">
                  <c:v>2.78</c:v>
                </c:pt>
                <c:pt idx="45">
                  <c:v>2.2000000000000002</c:v>
                </c:pt>
                <c:pt idx="46">
                  <c:v>2.93</c:v>
                </c:pt>
                <c:pt idx="47">
                  <c:v>3.8</c:v>
                </c:pt>
                <c:pt idx="48">
                  <c:v>2.91</c:v>
                </c:pt>
                <c:pt idx="49">
                  <c:v>5.24</c:v>
                </c:pt>
                <c:pt idx="50">
                  <c:v>2</c:v>
                </c:pt>
                <c:pt idx="51">
                  <c:v>0.56999999999999995</c:v>
                </c:pt>
                <c:pt idx="52">
                  <c:v>0.94</c:v>
                </c:pt>
                <c:pt idx="53">
                  <c:v>1.28</c:v>
                </c:pt>
                <c:pt idx="54">
                  <c:v>1.32</c:v>
                </c:pt>
                <c:pt idx="55">
                  <c:v>1.85</c:v>
                </c:pt>
                <c:pt idx="56">
                  <c:v>1.98</c:v>
                </c:pt>
                <c:pt idx="57">
                  <c:v>0.66</c:v>
                </c:pt>
                <c:pt idx="58">
                  <c:v>1.1000000000000001</c:v>
                </c:pt>
                <c:pt idx="59">
                  <c:v>3.67</c:v>
                </c:pt>
                <c:pt idx="60">
                  <c:v>2.99</c:v>
                </c:pt>
                <c:pt idx="61">
                  <c:v>1.91</c:v>
                </c:pt>
                <c:pt idx="62">
                  <c:v>1.95</c:v>
                </c:pt>
                <c:pt idx="63">
                  <c:v>2.12</c:v>
                </c:pt>
                <c:pt idx="64">
                  <c:v>2.2599999999999998</c:v>
                </c:pt>
                <c:pt idx="65">
                  <c:v>0.93</c:v>
                </c:pt>
                <c:pt idx="66">
                  <c:v>1.52</c:v>
                </c:pt>
                <c:pt idx="67">
                  <c:v>1.21</c:v>
                </c:pt>
                <c:pt idx="68">
                  <c:v>1.33</c:v>
                </c:pt>
                <c:pt idx="69">
                  <c:v>2.0699999999999998</c:v>
                </c:pt>
                <c:pt idx="70">
                  <c:v>2.2599999999999998</c:v>
                </c:pt>
                <c:pt idx="71">
                  <c:v>1.52</c:v>
                </c:pt>
                <c:pt idx="72">
                  <c:v>2.21</c:v>
                </c:pt>
                <c:pt idx="73">
                  <c:v>5.0599999999999996</c:v>
                </c:pt>
                <c:pt idx="74">
                  <c:v>1.24</c:v>
                </c:pt>
                <c:pt idx="75">
                  <c:v>0.86</c:v>
                </c:pt>
                <c:pt idx="76">
                  <c:v>1.95</c:v>
                </c:pt>
                <c:pt idx="77">
                  <c:v>2.2200000000000002</c:v>
                </c:pt>
                <c:pt idx="78">
                  <c:v>1.92</c:v>
                </c:pt>
                <c:pt idx="79">
                  <c:v>3.22</c:v>
                </c:pt>
                <c:pt idx="80">
                  <c:v>1.94</c:v>
                </c:pt>
                <c:pt idx="81">
                  <c:v>1.96</c:v>
                </c:pt>
                <c:pt idx="82">
                  <c:v>0.9</c:v>
                </c:pt>
                <c:pt idx="83">
                  <c:v>1.64</c:v>
                </c:pt>
                <c:pt idx="84">
                  <c:v>4.43</c:v>
                </c:pt>
                <c:pt idx="85">
                  <c:v>2</c:v>
                </c:pt>
                <c:pt idx="86">
                  <c:v>0.76</c:v>
                </c:pt>
                <c:pt idx="87">
                  <c:v>1.28</c:v>
                </c:pt>
                <c:pt idx="88">
                  <c:v>1.29</c:v>
                </c:pt>
                <c:pt idx="89">
                  <c:v>1.28</c:v>
                </c:pt>
                <c:pt idx="90">
                  <c:v>1.48</c:v>
                </c:pt>
                <c:pt idx="91">
                  <c:v>0.9</c:v>
                </c:pt>
                <c:pt idx="92">
                  <c:v>1.1100000000000001</c:v>
                </c:pt>
                <c:pt idx="93">
                  <c:v>2.4300000000000002</c:v>
                </c:pt>
                <c:pt idx="94">
                  <c:v>2.2599999999999998</c:v>
                </c:pt>
                <c:pt idx="95">
                  <c:v>5.28</c:v>
                </c:pt>
                <c:pt idx="96">
                  <c:v>2.91</c:v>
                </c:pt>
                <c:pt idx="97">
                  <c:v>1.72</c:v>
                </c:pt>
                <c:pt idx="98">
                  <c:v>2.5099999999999998</c:v>
                </c:pt>
                <c:pt idx="99">
                  <c:v>1.56</c:v>
                </c:pt>
                <c:pt idx="100">
                  <c:v>2.0699999999999998</c:v>
                </c:pt>
                <c:pt idx="101">
                  <c:v>2.5499999999999998</c:v>
                </c:pt>
                <c:pt idx="102">
                  <c:v>0.52</c:v>
                </c:pt>
                <c:pt idx="103">
                  <c:v>1.87</c:v>
                </c:pt>
                <c:pt idx="104">
                  <c:v>0.98</c:v>
                </c:pt>
                <c:pt idx="105">
                  <c:v>3.5</c:v>
                </c:pt>
                <c:pt idx="106">
                  <c:v>3.75</c:v>
                </c:pt>
                <c:pt idx="107">
                  <c:v>1.46</c:v>
                </c:pt>
                <c:pt idx="108">
                  <c:v>1.1399999999999999</c:v>
                </c:pt>
                <c:pt idx="109">
                  <c:v>1.64</c:v>
                </c:pt>
                <c:pt idx="110">
                  <c:v>1.7</c:v>
                </c:pt>
                <c:pt idx="111">
                  <c:v>1.72</c:v>
                </c:pt>
                <c:pt idx="112">
                  <c:v>1.62</c:v>
                </c:pt>
                <c:pt idx="113">
                  <c:v>1.06</c:v>
                </c:pt>
                <c:pt idx="114">
                  <c:v>1.03</c:v>
                </c:pt>
                <c:pt idx="115">
                  <c:v>1.1000000000000001</c:v>
                </c:pt>
                <c:pt idx="116">
                  <c:v>0.82</c:v>
                </c:pt>
                <c:pt idx="117">
                  <c:v>1</c:v>
                </c:pt>
                <c:pt idx="118">
                  <c:v>0.84</c:v>
                </c:pt>
                <c:pt idx="119">
                  <c:v>0.98</c:v>
                </c:pt>
                <c:pt idx="120">
                  <c:v>1.67</c:v>
                </c:pt>
                <c:pt idx="121">
                  <c:v>1.76</c:v>
                </c:pt>
                <c:pt idx="122">
                  <c:v>10.6</c:v>
                </c:pt>
                <c:pt idx="123">
                  <c:v>0.94</c:v>
                </c:pt>
                <c:pt idx="124">
                  <c:v>0.56000000000000005</c:v>
                </c:pt>
                <c:pt idx="125">
                  <c:v>3.05</c:v>
                </c:pt>
                <c:pt idx="126">
                  <c:v>1.74</c:v>
                </c:pt>
                <c:pt idx="127">
                  <c:v>1.1399999999999999</c:v>
                </c:pt>
                <c:pt idx="128">
                  <c:v>1.52</c:v>
                </c:pt>
                <c:pt idx="129">
                  <c:v>1.86</c:v>
                </c:pt>
                <c:pt idx="130">
                  <c:v>1.6</c:v>
                </c:pt>
                <c:pt idx="131">
                  <c:v>0.98</c:v>
                </c:pt>
                <c:pt idx="132">
                  <c:v>2.12</c:v>
                </c:pt>
                <c:pt idx="133">
                  <c:v>1.26</c:v>
                </c:pt>
                <c:pt idx="134">
                  <c:v>1.33</c:v>
                </c:pt>
                <c:pt idx="135">
                  <c:v>0.71</c:v>
                </c:pt>
                <c:pt idx="136">
                  <c:v>1.63</c:v>
                </c:pt>
                <c:pt idx="137">
                  <c:v>1.47</c:v>
                </c:pt>
                <c:pt idx="138">
                  <c:v>0.84</c:v>
                </c:pt>
                <c:pt idx="139">
                  <c:v>1.72</c:v>
                </c:pt>
                <c:pt idx="140">
                  <c:v>1.34</c:v>
                </c:pt>
                <c:pt idx="141">
                  <c:v>1.17</c:v>
                </c:pt>
                <c:pt idx="142">
                  <c:v>2.91</c:v>
                </c:pt>
                <c:pt idx="143">
                  <c:v>2.59</c:v>
                </c:pt>
                <c:pt idx="144">
                  <c:v>4.57</c:v>
                </c:pt>
                <c:pt idx="145">
                  <c:v>1.23</c:v>
                </c:pt>
                <c:pt idx="146">
                  <c:v>4.83</c:v>
                </c:pt>
                <c:pt idx="147">
                  <c:v>2.17</c:v>
                </c:pt>
                <c:pt idx="148">
                  <c:v>2.56</c:v>
                </c:pt>
                <c:pt idx="149">
                  <c:v>4.8600000000000003</c:v>
                </c:pt>
                <c:pt idx="150">
                  <c:v>1.88</c:v>
                </c:pt>
                <c:pt idx="151">
                  <c:v>1.1100000000000001</c:v>
                </c:pt>
                <c:pt idx="152">
                  <c:v>2.16</c:v>
                </c:pt>
                <c:pt idx="153">
                  <c:v>1.79</c:v>
                </c:pt>
                <c:pt idx="154">
                  <c:v>2.84</c:v>
                </c:pt>
                <c:pt idx="155">
                  <c:v>2.29</c:v>
                </c:pt>
                <c:pt idx="156">
                  <c:v>1.98</c:v>
                </c:pt>
                <c:pt idx="157">
                  <c:v>0.86</c:v>
                </c:pt>
                <c:pt idx="158">
                  <c:v>1.61</c:v>
                </c:pt>
                <c:pt idx="159">
                  <c:v>1.82</c:v>
                </c:pt>
                <c:pt idx="160">
                  <c:v>0.48</c:v>
                </c:pt>
                <c:pt idx="161">
                  <c:v>1.24</c:v>
                </c:pt>
                <c:pt idx="162">
                  <c:v>0.5</c:v>
                </c:pt>
                <c:pt idx="163">
                  <c:v>0.53</c:v>
                </c:pt>
                <c:pt idx="164">
                  <c:v>1.24</c:v>
                </c:pt>
                <c:pt idx="165">
                  <c:v>0</c:v>
                </c:pt>
                <c:pt idx="166">
                  <c:v>0.7</c:v>
                </c:pt>
                <c:pt idx="167">
                  <c:v>2.0299999999999998</c:v>
                </c:pt>
                <c:pt idx="168">
                  <c:v>1.03</c:v>
                </c:pt>
                <c:pt idx="169">
                  <c:v>1.1499999999999999</c:v>
                </c:pt>
                <c:pt idx="170">
                  <c:v>1.45</c:v>
                </c:pt>
                <c:pt idx="171">
                  <c:v>0.95</c:v>
                </c:pt>
                <c:pt idx="172">
                  <c:v>0.68</c:v>
                </c:pt>
                <c:pt idx="173">
                  <c:v>0.97</c:v>
                </c:pt>
                <c:pt idx="174">
                  <c:v>0.98</c:v>
                </c:pt>
                <c:pt idx="175">
                  <c:v>0.8</c:v>
                </c:pt>
                <c:pt idx="176">
                  <c:v>2.12</c:v>
                </c:pt>
                <c:pt idx="177">
                  <c:v>3.09</c:v>
                </c:pt>
                <c:pt idx="178">
                  <c:v>3.53</c:v>
                </c:pt>
                <c:pt idx="179">
                  <c:v>1.26</c:v>
                </c:pt>
                <c:pt idx="180">
                  <c:v>0.57999999999999996</c:v>
                </c:pt>
                <c:pt idx="181">
                  <c:v>1.71</c:v>
                </c:pt>
                <c:pt idx="182">
                  <c:v>0</c:v>
                </c:pt>
                <c:pt idx="183">
                  <c:v>0.82</c:v>
                </c:pt>
                <c:pt idx="184">
                  <c:v>0.53</c:v>
                </c:pt>
                <c:pt idx="185">
                  <c:v>0.95</c:v>
                </c:pt>
                <c:pt idx="186">
                  <c:v>0.52</c:v>
                </c:pt>
                <c:pt idx="187">
                  <c:v>1.67</c:v>
                </c:pt>
                <c:pt idx="188">
                  <c:v>0.52</c:v>
                </c:pt>
                <c:pt idx="189">
                  <c:v>1.0900000000000001</c:v>
                </c:pt>
                <c:pt idx="190">
                  <c:v>1.48</c:v>
                </c:pt>
                <c:pt idx="191">
                  <c:v>1.68</c:v>
                </c:pt>
                <c:pt idx="192">
                  <c:v>0.7</c:v>
                </c:pt>
                <c:pt idx="193">
                  <c:v>0.57999999999999996</c:v>
                </c:pt>
                <c:pt idx="194">
                  <c:v>0.89</c:v>
                </c:pt>
                <c:pt idx="195">
                  <c:v>1.31</c:v>
                </c:pt>
                <c:pt idx="196">
                  <c:v>0.87</c:v>
                </c:pt>
                <c:pt idx="197">
                  <c:v>0.53</c:v>
                </c:pt>
                <c:pt idx="198">
                  <c:v>2.31</c:v>
                </c:pt>
                <c:pt idx="199">
                  <c:v>1.72</c:v>
                </c:pt>
                <c:pt idx="200">
                  <c:v>0.19</c:v>
                </c:pt>
                <c:pt idx="201">
                  <c:v>1.5</c:v>
                </c:pt>
                <c:pt idx="202">
                  <c:v>1.07</c:v>
                </c:pt>
                <c:pt idx="203">
                  <c:v>0.63</c:v>
                </c:pt>
                <c:pt idx="204">
                  <c:v>0.54</c:v>
                </c:pt>
                <c:pt idx="205">
                  <c:v>0.82</c:v>
                </c:pt>
                <c:pt idx="206">
                  <c:v>0.66</c:v>
                </c:pt>
                <c:pt idx="207">
                  <c:v>1.47</c:v>
                </c:pt>
                <c:pt idx="208">
                  <c:v>2.66</c:v>
                </c:pt>
                <c:pt idx="209">
                  <c:v>0.79</c:v>
                </c:pt>
                <c:pt idx="210">
                  <c:v>0.86</c:v>
                </c:pt>
                <c:pt idx="211">
                  <c:v>1.2</c:v>
                </c:pt>
                <c:pt idx="212">
                  <c:v>2.94</c:v>
                </c:pt>
                <c:pt idx="213">
                  <c:v>1.03</c:v>
                </c:pt>
                <c:pt idx="214">
                  <c:v>0.83</c:v>
                </c:pt>
                <c:pt idx="215">
                  <c:v>0.67</c:v>
                </c:pt>
                <c:pt idx="216">
                  <c:v>0.84</c:v>
                </c:pt>
                <c:pt idx="217">
                  <c:v>0.52</c:v>
                </c:pt>
                <c:pt idx="218">
                  <c:v>1.1000000000000001</c:v>
                </c:pt>
                <c:pt idx="219">
                  <c:v>0.65</c:v>
                </c:pt>
              </c:numCache>
            </c:numRef>
          </c:yVal>
          <c:smooth val="1"/>
          <c:extLst>
            <c:ext xmlns:c16="http://schemas.microsoft.com/office/drawing/2014/chart" uri="{C3380CC4-5D6E-409C-BE32-E72D297353CC}">
              <c16:uniqueId val="{00000000-D7F6-4825-9820-9A672FE569CC}"/>
            </c:ext>
          </c:extLst>
        </c:ser>
        <c:dLbls>
          <c:showLegendKey val="0"/>
          <c:showVal val="0"/>
          <c:showCatName val="0"/>
          <c:showSerName val="0"/>
          <c:showPercent val="0"/>
          <c:showBubbleSize val="0"/>
        </c:dLbls>
        <c:axId val="1921431928"/>
        <c:axId val="942480176"/>
      </c:scatterChart>
      <c:valAx>
        <c:axId val="1921431928"/>
        <c:scaling>
          <c:orientation val="minMax"/>
        </c:scaling>
        <c:delete val="0"/>
        <c:axPos val="b"/>
        <c:majorGridlines>
          <c:spPr>
            <a:ln>
              <a:solidFill>
                <a:srgbClr val="B7B7B7"/>
              </a:solidFill>
            </a:ln>
          </c:spPr>
        </c:majorGridlines>
        <c:title>
          <c:tx>
            <c:rich>
              <a:bodyPr/>
              <a:lstStyle/>
              <a:p>
                <a:pPr lvl="0">
                  <a:defRPr b="0"/>
                </a:pPr>
                <a:r>
                  <a:t>Basket</a:t>
                </a:r>
              </a:p>
            </c:rich>
          </c:tx>
          <c:overlay val="0"/>
        </c:title>
        <c:numFmt formatCode="General" sourceLinked="1"/>
        <c:majorTickMark val="cross"/>
        <c:minorTickMark val="cross"/>
        <c:tickLblPos val="nextTo"/>
        <c:spPr>
          <a:ln w="47625">
            <a:noFill/>
          </a:ln>
        </c:spPr>
        <c:txPr>
          <a:bodyPr/>
          <a:lstStyle/>
          <a:p>
            <a:pPr lvl="0">
              <a:defRPr b="0"/>
            </a:pPr>
            <a:endParaRPr lang="en-US"/>
          </a:p>
        </c:txPr>
        <c:crossAx val="942480176"/>
        <c:crosses val="autoZero"/>
        <c:crossBetween val="midCat"/>
      </c:valAx>
      <c:valAx>
        <c:axId val="942480176"/>
        <c:scaling>
          <c:orientation val="minMax"/>
        </c:scaling>
        <c:delete val="0"/>
        <c:axPos val="l"/>
        <c:majorGridlines>
          <c:spPr>
            <a:ln>
              <a:solidFill>
                <a:srgbClr val="B7B7B7"/>
              </a:solidFill>
            </a:ln>
          </c:spPr>
        </c:majorGridlines>
        <c:title>
          <c:tx>
            <c:rich>
              <a:bodyPr/>
              <a:lstStyle/>
              <a:p>
                <a:pPr lvl="0">
                  <a:defRPr b="0"/>
                </a:pPr>
                <a:r>
                  <a:t>Weight</a:t>
                </a:r>
              </a:p>
            </c:rich>
          </c:tx>
          <c:overlay val="0"/>
        </c:title>
        <c:numFmt formatCode="General" sourceLinked="1"/>
        <c:majorTickMark val="cross"/>
        <c:minorTickMark val="cross"/>
        <c:tickLblPos val="nextTo"/>
        <c:spPr>
          <a:ln w="47625">
            <a:noFill/>
          </a:ln>
        </c:spPr>
        <c:txPr>
          <a:bodyPr/>
          <a:lstStyle/>
          <a:p>
            <a:pPr lvl="0">
              <a:defRPr b="0"/>
            </a:pPr>
            <a:endParaRPr lang="en-US"/>
          </a:p>
        </c:txPr>
        <c:crossAx val="1921431928"/>
        <c:crosses val="autoZero"/>
        <c:crossBetween val="midCat"/>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28575</xdr:colOff>
      <xdr:row>26</xdr:row>
      <xdr:rowOff>19050</xdr:rowOff>
    </xdr:from>
    <xdr:ext cx="5334000" cy="366712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1619250</xdr:colOff>
      <xdr:row>11</xdr:row>
      <xdr:rowOff>838200</xdr:rowOff>
    </xdr:from>
    <xdr:ext cx="5762625" cy="2952750"/>
    <xdr:pic>
      <xdr:nvPicPr>
        <xdr:cNvPr id="3" name="image3.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xdr:col>
      <xdr:colOff>57150</xdr:colOff>
      <xdr:row>2</xdr:row>
      <xdr:rowOff>0</xdr:rowOff>
    </xdr:from>
    <xdr:ext cx="5762625" cy="1857375"/>
    <xdr:pic>
      <xdr:nvPicPr>
        <xdr:cNvPr id="4" name="image4.png" title="Image"/>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1543050</xdr:colOff>
      <xdr:row>13</xdr:row>
      <xdr:rowOff>295275</xdr:rowOff>
    </xdr:from>
    <xdr:ext cx="5762625" cy="1371600"/>
    <xdr:pic>
      <xdr:nvPicPr>
        <xdr:cNvPr id="5" name="image5.png" title="Image"/>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57150</xdr:colOff>
      <xdr:row>11</xdr:row>
      <xdr:rowOff>28575</xdr:rowOff>
    </xdr:from>
    <xdr:ext cx="4229100" cy="2400300"/>
    <xdr:pic>
      <xdr:nvPicPr>
        <xdr:cNvPr id="2" name="image1.pn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371475</xdr:colOff>
      <xdr:row>205</xdr:row>
      <xdr:rowOff>66675</xdr:rowOff>
    </xdr:from>
    <xdr:ext cx="5715000" cy="3533775"/>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60"/>
  <sheetViews>
    <sheetView tabSelected="1" workbookViewId="0"/>
  </sheetViews>
  <sheetFormatPr defaultColWidth="17.28515625" defaultRowHeight="15" customHeight="1"/>
  <cols>
    <col min="1" max="1" width="24.42578125" customWidth="1"/>
    <col min="2" max="2" width="86.85546875" customWidth="1"/>
    <col min="3" max="11" width="11.42578125" customWidth="1"/>
    <col min="12" max="12" width="86.85546875" customWidth="1"/>
  </cols>
  <sheetData>
    <row r="1" spans="1:12" ht="16.5" customHeight="1">
      <c r="A1" s="13"/>
      <c r="B1" s="15" t="s">
        <v>13</v>
      </c>
      <c r="C1" s="2"/>
      <c r="D1" s="2"/>
      <c r="E1" s="2"/>
      <c r="F1" s="2"/>
      <c r="G1" s="3"/>
      <c r="H1" s="3"/>
      <c r="I1" s="3"/>
      <c r="J1" s="3"/>
      <c r="K1" s="3"/>
      <c r="L1" s="3"/>
    </row>
    <row r="2" spans="1:12" ht="15.75" customHeight="1">
      <c r="A2" s="155" t="s">
        <v>15</v>
      </c>
      <c r="B2" s="18"/>
      <c r="C2" s="2"/>
      <c r="D2" s="2"/>
      <c r="E2" s="2"/>
      <c r="F2" s="2"/>
      <c r="G2" s="3"/>
      <c r="H2" s="3"/>
      <c r="I2" s="3"/>
      <c r="J2" s="3"/>
      <c r="K2" s="3"/>
      <c r="L2" s="3"/>
    </row>
    <row r="3" spans="1:12" ht="15.75" customHeight="1">
      <c r="A3" s="156"/>
      <c r="B3" s="19"/>
      <c r="C3" s="2"/>
      <c r="D3" s="21"/>
      <c r="E3" s="2"/>
      <c r="F3" s="2"/>
      <c r="G3" s="3"/>
      <c r="H3" s="3"/>
      <c r="I3" s="3"/>
      <c r="J3" s="3"/>
      <c r="K3" s="3"/>
      <c r="L3" s="3"/>
    </row>
    <row r="4" spans="1:12">
      <c r="A4" s="22"/>
      <c r="B4" s="2"/>
      <c r="C4" s="2"/>
      <c r="D4" s="2"/>
      <c r="E4" s="2"/>
      <c r="F4" s="2"/>
      <c r="G4" s="3"/>
      <c r="H4" s="3"/>
      <c r="I4" s="3"/>
      <c r="J4" s="3"/>
      <c r="K4" s="3"/>
      <c r="L4" s="3"/>
    </row>
    <row r="5" spans="1:12" ht="116.25" customHeight="1">
      <c r="A5" s="24"/>
      <c r="B5" s="25"/>
      <c r="C5" s="2"/>
      <c r="D5" s="2"/>
      <c r="E5" s="2"/>
      <c r="F5" s="2"/>
      <c r="G5" s="3"/>
      <c r="H5" s="3"/>
      <c r="I5" s="3"/>
      <c r="J5" s="3"/>
      <c r="K5" s="3"/>
      <c r="L5" s="3"/>
    </row>
    <row r="6" spans="1:12" ht="47.25" customHeight="1">
      <c r="A6" s="26" t="s">
        <v>21</v>
      </c>
      <c r="C6" s="2"/>
      <c r="D6" s="2"/>
      <c r="E6" s="2"/>
      <c r="F6" s="2"/>
      <c r="G6" s="3"/>
      <c r="H6" s="3"/>
      <c r="I6" s="3"/>
      <c r="J6" s="3"/>
      <c r="K6" s="3"/>
      <c r="L6" s="3"/>
    </row>
    <row r="7" spans="1:12">
      <c r="A7" s="159" t="s">
        <v>22</v>
      </c>
      <c r="B7" s="29" t="s">
        <v>24</v>
      </c>
      <c r="C7" s="2"/>
      <c r="D7" s="2"/>
      <c r="E7" s="2"/>
      <c r="F7" s="2"/>
      <c r="G7" s="3"/>
      <c r="H7" s="3"/>
      <c r="I7" s="3"/>
      <c r="J7" s="3"/>
      <c r="K7" s="3"/>
      <c r="L7" s="3"/>
    </row>
    <row r="8" spans="1:12">
      <c r="A8" s="160"/>
      <c r="B8" s="30"/>
      <c r="C8" s="2"/>
      <c r="D8" s="2"/>
      <c r="E8" s="2"/>
      <c r="F8" s="2"/>
      <c r="G8" s="3"/>
      <c r="H8" s="3"/>
      <c r="I8" s="3"/>
      <c r="J8" s="3"/>
      <c r="K8" s="3"/>
      <c r="L8" s="3"/>
    </row>
    <row r="9" spans="1:12" ht="9.75" customHeight="1">
      <c r="A9" s="160"/>
      <c r="B9" s="31"/>
      <c r="C9" s="2"/>
      <c r="D9" s="2"/>
      <c r="E9" s="2"/>
      <c r="F9" s="2"/>
      <c r="G9" s="3"/>
      <c r="H9" s="3"/>
      <c r="I9" s="3"/>
      <c r="J9" s="3"/>
      <c r="K9" s="3"/>
      <c r="L9" s="3"/>
    </row>
    <row r="10" spans="1:12" hidden="1">
      <c r="A10" s="160"/>
      <c r="B10" s="31"/>
      <c r="C10" s="2"/>
      <c r="D10" s="2"/>
      <c r="E10" s="2"/>
      <c r="F10" s="2"/>
      <c r="G10" s="3"/>
      <c r="H10" s="3"/>
      <c r="I10" s="3"/>
      <c r="J10" s="3"/>
      <c r="K10" s="3"/>
      <c r="L10" s="3"/>
    </row>
    <row r="11" spans="1:12" ht="10.5" hidden="1" customHeight="1">
      <c r="A11" s="160"/>
      <c r="B11" s="32"/>
      <c r="C11" s="2"/>
      <c r="D11" s="2"/>
      <c r="E11" s="2"/>
      <c r="F11" s="2"/>
      <c r="G11" s="3"/>
      <c r="H11" s="3"/>
      <c r="I11" s="3"/>
      <c r="J11" s="3"/>
      <c r="K11" s="3"/>
      <c r="L11" s="3"/>
    </row>
    <row r="12" spans="1:12" ht="68.25" customHeight="1">
      <c r="A12" s="33" t="s">
        <v>25</v>
      </c>
      <c r="B12" s="34" t="s">
        <v>26</v>
      </c>
      <c r="C12" s="2"/>
      <c r="D12" s="2"/>
      <c r="E12" s="2"/>
      <c r="F12" s="2"/>
      <c r="G12" s="3"/>
      <c r="H12" s="3"/>
      <c r="I12" s="3"/>
      <c r="J12" s="3"/>
      <c r="K12" s="3"/>
      <c r="L12" s="3"/>
    </row>
    <row r="13" spans="1:12" ht="87.75" customHeight="1">
      <c r="A13" s="17" t="s">
        <v>27</v>
      </c>
      <c r="B13" s="35"/>
      <c r="C13" s="2"/>
      <c r="D13" s="2"/>
      <c r="E13" s="2"/>
      <c r="F13" s="2"/>
      <c r="G13" s="3"/>
      <c r="H13" s="3"/>
      <c r="I13" s="3"/>
      <c r="J13" s="3"/>
      <c r="K13" s="3"/>
      <c r="L13" s="3"/>
    </row>
    <row r="14" spans="1:12" ht="159" customHeight="1">
      <c r="A14" s="36"/>
      <c r="B14" s="37"/>
      <c r="C14" s="2"/>
      <c r="D14" s="2"/>
      <c r="E14" s="2"/>
      <c r="F14" s="2"/>
      <c r="G14" s="3"/>
      <c r="H14" s="3"/>
      <c r="I14" s="3"/>
      <c r="J14" s="3"/>
      <c r="K14" s="3"/>
      <c r="L14" s="3"/>
    </row>
    <row r="15" spans="1:12" ht="33" customHeight="1">
      <c r="A15" s="36"/>
      <c r="B15" s="37"/>
      <c r="C15" s="2"/>
      <c r="D15" s="2"/>
      <c r="E15" s="2"/>
      <c r="F15" s="2"/>
      <c r="G15" s="3"/>
      <c r="H15" s="3"/>
      <c r="I15" s="3"/>
      <c r="J15" s="3"/>
      <c r="K15" s="3"/>
      <c r="L15" s="3"/>
    </row>
    <row r="16" spans="1:12" ht="52.5" customHeight="1">
      <c r="A16" s="38"/>
      <c r="B16" s="39"/>
      <c r="C16" s="2"/>
      <c r="D16" s="2"/>
      <c r="E16" s="2"/>
      <c r="F16" s="2"/>
      <c r="G16" s="3"/>
      <c r="H16" s="3"/>
      <c r="I16" s="3"/>
      <c r="J16" s="3"/>
      <c r="K16" s="3"/>
      <c r="L16" s="3"/>
    </row>
    <row r="17" spans="1:12">
      <c r="A17" s="38"/>
      <c r="B17" s="40"/>
      <c r="C17" s="2"/>
      <c r="D17" s="2"/>
      <c r="E17" s="2"/>
      <c r="F17" s="2"/>
      <c r="G17" s="3"/>
      <c r="H17" s="3"/>
      <c r="I17" s="3"/>
      <c r="J17" s="3"/>
      <c r="K17" s="3"/>
      <c r="L17" s="3"/>
    </row>
    <row r="18" spans="1:12">
      <c r="A18" s="22"/>
      <c r="B18" s="37"/>
      <c r="C18" s="2"/>
      <c r="D18" s="2"/>
      <c r="E18" s="2"/>
      <c r="F18" s="2"/>
      <c r="G18" s="3"/>
      <c r="H18" s="3"/>
      <c r="I18" s="3"/>
      <c r="J18" s="3"/>
      <c r="K18" s="3"/>
      <c r="L18" s="3"/>
    </row>
    <row r="19" spans="1:12">
      <c r="A19" s="22"/>
      <c r="B19" s="41"/>
      <c r="C19" s="2"/>
      <c r="D19" s="2"/>
      <c r="E19" s="2"/>
      <c r="F19" s="2"/>
      <c r="G19" s="3"/>
      <c r="H19" s="3"/>
      <c r="I19" s="3"/>
      <c r="J19" s="3"/>
      <c r="K19" s="3"/>
      <c r="L19" s="3"/>
    </row>
    <row r="20" spans="1:12" ht="36.75" customHeight="1">
      <c r="A20" s="42"/>
      <c r="B20" s="41"/>
      <c r="C20" s="2"/>
      <c r="D20" s="2"/>
      <c r="E20" s="43"/>
      <c r="F20" s="2"/>
      <c r="G20" s="3"/>
      <c r="H20" s="3"/>
      <c r="I20" s="3"/>
      <c r="J20" s="3"/>
      <c r="K20" s="3"/>
      <c r="L20" s="3"/>
    </row>
    <row r="21" spans="1:12" ht="15.75" customHeight="1">
      <c r="A21" s="44" t="s">
        <v>28</v>
      </c>
      <c r="B21" s="45" t="s">
        <v>29</v>
      </c>
      <c r="C21" s="2"/>
      <c r="D21" s="2"/>
      <c r="E21" s="2"/>
      <c r="F21" s="2"/>
      <c r="G21" s="3"/>
      <c r="H21" s="3"/>
      <c r="I21" s="3"/>
      <c r="J21" s="3"/>
      <c r="K21" s="3"/>
      <c r="L21" s="3"/>
    </row>
    <row r="22" spans="1:12" ht="81" customHeight="1">
      <c r="A22" s="33" t="s">
        <v>30</v>
      </c>
      <c r="B22" s="46" t="s">
        <v>31</v>
      </c>
      <c r="C22" s="2"/>
      <c r="D22" s="2"/>
      <c r="E22" s="2"/>
      <c r="F22" s="2"/>
      <c r="G22" s="3"/>
      <c r="H22" s="3"/>
      <c r="I22" s="3"/>
      <c r="J22" s="3"/>
      <c r="K22" s="3"/>
      <c r="L22" s="3"/>
    </row>
    <row r="23" spans="1:12" ht="45.75" customHeight="1">
      <c r="A23" s="44" t="s">
        <v>32</v>
      </c>
      <c r="B23" s="46" t="s">
        <v>33</v>
      </c>
      <c r="C23" s="2"/>
      <c r="D23" s="2"/>
      <c r="E23" s="2"/>
      <c r="F23" s="2"/>
      <c r="G23" s="3"/>
      <c r="H23" s="3"/>
      <c r="I23" s="3"/>
      <c r="J23" s="3"/>
      <c r="K23" s="3"/>
      <c r="L23" s="3"/>
    </row>
    <row r="24" spans="1:12" ht="15.75" customHeight="1">
      <c r="A24" s="161" t="s">
        <v>34</v>
      </c>
      <c r="B24" s="47" t="s">
        <v>35</v>
      </c>
      <c r="C24" s="2"/>
      <c r="D24" s="2"/>
      <c r="E24" s="2"/>
      <c r="F24" s="2"/>
      <c r="G24" s="3"/>
      <c r="H24" s="3"/>
      <c r="I24" s="3"/>
      <c r="J24" s="3"/>
      <c r="K24" s="3"/>
      <c r="L24" s="3"/>
    </row>
    <row r="25" spans="1:12" ht="15.75" customHeight="1">
      <c r="A25" s="154"/>
      <c r="B25" s="19" t="s">
        <v>36</v>
      </c>
      <c r="C25" s="2"/>
      <c r="D25" s="2"/>
      <c r="E25" s="2"/>
      <c r="F25" s="2"/>
      <c r="G25" s="3"/>
      <c r="H25" s="3"/>
      <c r="I25" s="3"/>
      <c r="J25" s="3"/>
      <c r="K25" s="3"/>
      <c r="L25" s="3"/>
    </row>
    <row r="26" spans="1:12" ht="15.75" customHeight="1">
      <c r="A26" s="154"/>
      <c r="B26" s="19" t="s">
        <v>37</v>
      </c>
      <c r="C26" s="2"/>
      <c r="D26" s="2"/>
      <c r="E26" s="2"/>
      <c r="F26" s="2"/>
      <c r="G26" s="3"/>
      <c r="H26" s="3"/>
      <c r="I26" s="3"/>
      <c r="J26" s="3"/>
      <c r="K26" s="3"/>
      <c r="L26" s="3"/>
    </row>
    <row r="27" spans="1:12">
      <c r="A27" s="154"/>
      <c r="B27" s="48"/>
      <c r="C27" s="2"/>
      <c r="D27" s="2"/>
      <c r="E27" s="2"/>
      <c r="F27" s="2"/>
      <c r="G27" s="3"/>
      <c r="H27" s="3"/>
      <c r="I27" s="3"/>
      <c r="J27" s="3"/>
      <c r="K27" s="3"/>
      <c r="L27" s="3"/>
    </row>
    <row r="28" spans="1:12">
      <c r="A28" s="154"/>
      <c r="B28" s="48"/>
      <c r="C28" s="2"/>
      <c r="D28" s="2"/>
      <c r="E28" s="2"/>
      <c r="F28" s="2"/>
      <c r="G28" s="3"/>
      <c r="H28" s="3"/>
      <c r="I28" s="3"/>
      <c r="J28" s="3"/>
      <c r="K28" s="3"/>
      <c r="L28" s="3"/>
    </row>
    <row r="29" spans="1:12">
      <c r="A29" s="154"/>
      <c r="B29" s="48"/>
      <c r="C29" s="2"/>
      <c r="D29" s="2"/>
      <c r="E29" s="2"/>
      <c r="F29" s="2"/>
      <c r="G29" s="3"/>
      <c r="H29" s="3"/>
      <c r="I29" s="3"/>
      <c r="J29" s="3"/>
      <c r="K29" s="3"/>
      <c r="L29" s="3"/>
    </row>
    <row r="30" spans="1:12">
      <c r="A30" s="154"/>
      <c r="B30" s="48"/>
      <c r="C30" s="2"/>
      <c r="D30" s="2"/>
      <c r="E30" s="2"/>
      <c r="F30" s="2"/>
      <c r="G30" s="3"/>
      <c r="H30" s="3"/>
      <c r="I30" s="3"/>
      <c r="J30" s="3"/>
      <c r="K30" s="3"/>
      <c r="L30" s="3"/>
    </row>
    <row r="31" spans="1:12">
      <c r="A31" s="154"/>
      <c r="B31" s="48"/>
      <c r="C31" s="2"/>
      <c r="D31" s="2"/>
      <c r="E31" s="2"/>
      <c r="F31" s="2"/>
      <c r="G31" s="3"/>
      <c r="H31" s="3"/>
      <c r="I31" s="3"/>
      <c r="J31" s="3"/>
      <c r="K31" s="3"/>
      <c r="L31" s="3"/>
    </row>
    <row r="32" spans="1:12">
      <c r="A32" s="154"/>
      <c r="B32" s="48"/>
      <c r="C32" s="2"/>
      <c r="D32" s="2"/>
      <c r="E32" s="2"/>
      <c r="F32" s="2"/>
      <c r="G32" s="3"/>
      <c r="H32" s="3"/>
      <c r="I32" s="3"/>
      <c r="J32" s="3"/>
      <c r="K32" s="3"/>
      <c r="L32" s="3"/>
    </row>
    <row r="33" spans="1:12">
      <c r="A33" s="154"/>
      <c r="B33" s="48"/>
      <c r="C33" s="2"/>
      <c r="D33" s="2"/>
      <c r="E33" s="2"/>
      <c r="F33" s="2"/>
      <c r="G33" s="3"/>
      <c r="H33" s="3"/>
      <c r="I33" s="3"/>
      <c r="J33" s="3"/>
      <c r="K33" s="3"/>
      <c r="L33" s="3"/>
    </row>
    <row r="34" spans="1:12">
      <c r="A34" s="154"/>
      <c r="B34" s="48"/>
      <c r="C34" s="2"/>
      <c r="D34" s="2"/>
      <c r="E34" s="2"/>
      <c r="F34" s="2"/>
      <c r="G34" s="3"/>
      <c r="H34" s="3"/>
      <c r="I34" s="3"/>
      <c r="J34" s="3"/>
      <c r="K34" s="3"/>
      <c r="L34" s="3"/>
    </row>
    <row r="35" spans="1:12">
      <c r="A35" s="154"/>
      <c r="B35" s="48"/>
      <c r="C35" s="2"/>
      <c r="D35" s="2"/>
      <c r="E35" s="2"/>
      <c r="F35" s="2"/>
      <c r="G35" s="3"/>
      <c r="H35" s="3"/>
      <c r="I35" s="3"/>
      <c r="J35" s="3"/>
      <c r="K35" s="3"/>
      <c r="L35" s="3"/>
    </row>
    <row r="36" spans="1:12">
      <c r="A36" s="154"/>
      <c r="B36" s="48"/>
      <c r="C36" s="2"/>
      <c r="D36" s="2"/>
      <c r="E36" s="2"/>
      <c r="F36" s="2"/>
      <c r="G36" s="3"/>
      <c r="H36" s="3"/>
      <c r="I36" s="3"/>
      <c r="J36" s="3"/>
      <c r="K36" s="3"/>
      <c r="L36" s="3"/>
    </row>
    <row r="37" spans="1:12">
      <c r="A37" s="154"/>
      <c r="B37" s="48"/>
      <c r="C37" s="2"/>
      <c r="D37" s="2"/>
      <c r="E37" s="2"/>
      <c r="F37" s="2"/>
      <c r="G37" s="3"/>
      <c r="H37" s="3"/>
      <c r="I37" s="3"/>
      <c r="J37" s="3"/>
      <c r="K37" s="3"/>
      <c r="L37" s="3"/>
    </row>
    <row r="38" spans="1:12">
      <c r="A38" s="154"/>
      <c r="B38" s="48"/>
      <c r="C38" s="2"/>
      <c r="D38" s="2"/>
      <c r="E38" s="2"/>
      <c r="F38" s="2"/>
      <c r="G38" s="3"/>
      <c r="H38" s="3"/>
      <c r="I38" s="3"/>
      <c r="J38" s="3"/>
      <c r="K38" s="3"/>
      <c r="L38" s="3"/>
    </row>
    <row r="39" spans="1:12">
      <c r="A39" s="154"/>
      <c r="B39" s="48"/>
      <c r="C39" s="2"/>
      <c r="D39" s="2"/>
      <c r="E39" s="2"/>
      <c r="F39" s="2"/>
      <c r="G39" s="3"/>
      <c r="H39" s="3"/>
      <c r="I39" s="3"/>
      <c r="J39" s="3"/>
      <c r="K39" s="3"/>
      <c r="L39" s="3"/>
    </row>
    <row r="40" spans="1:12">
      <c r="A40" s="154"/>
      <c r="B40" s="48"/>
      <c r="C40" s="2"/>
      <c r="D40" s="2"/>
      <c r="E40" s="2"/>
      <c r="F40" s="2"/>
      <c r="G40" s="3"/>
      <c r="H40" s="3"/>
      <c r="I40" s="3"/>
      <c r="J40" s="3"/>
      <c r="K40" s="3"/>
      <c r="L40" s="3"/>
    </row>
    <row r="41" spans="1:12">
      <c r="A41" s="154"/>
      <c r="B41" s="48"/>
      <c r="C41" s="2"/>
      <c r="D41" s="2"/>
      <c r="E41" s="2"/>
      <c r="F41" s="2"/>
      <c r="G41" s="3"/>
      <c r="H41" s="3"/>
      <c r="I41" s="3"/>
      <c r="J41" s="3"/>
      <c r="K41" s="3"/>
      <c r="L41" s="3"/>
    </row>
    <row r="42" spans="1:12">
      <c r="A42" s="154"/>
      <c r="B42" s="48"/>
      <c r="C42" s="2"/>
      <c r="D42" s="2"/>
      <c r="E42" s="2"/>
      <c r="F42" s="2"/>
      <c r="G42" s="3"/>
      <c r="H42" s="3"/>
      <c r="I42" s="3"/>
      <c r="J42" s="3"/>
      <c r="K42" s="3"/>
      <c r="L42" s="3"/>
    </row>
    <row r="43" spans="1:12">
      <c r="A43" s="154"/>
      <c r="B43" s="48"/>
      <c r="C43" s="2"/>
      <c r="D43" s="2"/>
      <c r="E43" s="2"/>
      <c r="F43" s="2"/>
      <c r="G43" s="3"/>
      <c r="H43" s="3"/>
      <c r="I43" s="3"/>
      <c r="J43" s="3"/>
      <c r="K43" s="3"/>
      <c r="L43" s="3"/>
    </row>
    <row r="44" spans="1:12">
      <c r="A44" s="154"/>
      <c r="B44" s="48"/>
      <c r="C44" s="2"/>
      <c r="D44" s="2"/>
      <c r="E44" s="2"/>
      <c r="F44" s="2"/>
      <c r="G44" s="3"/>
      <c r="H44" s="3"/>
      <c r="I44" s="3"/>
      <c r="J44" s="3"/>
      <c r="K44" s="3"/>
      <c r="L44" s="3"/>
    </row>
    <row r="45" spans="1:12">
      <c r="A45" s="154"/>
      <c r="B45" s="48"/>
      <c r="C45" s="2"/>
      <c r="D45" s="2"/>
      <c r="E45" s="2"/>
      <c r="F45" s="2"/>
      <c r="G45" s="3"/>
      <c r="H45" s="3"/>
      <c r="I45" s="3"/>
      <c r="J45" s="3"/>
      <c r="K45" s="3"/>
      <c r="L45" s="3"/>
    </row>
    <row r="46" spans="1:12">
      <c r="A46" s="154"/>
      <c r="B46" s="48"/>
      <c r="C46" s="2"/>
      <c r="D46" s="2"/>
      <c r="E46" s="2"/>
      <c r="F46" s="2"/>
      <c r="G46" s="3"/>
      <c r="H46" s="3"/>
      <c r="I46" s="3"/>
      <c r="J46" s="3"/>
      <c r="K46" s="3"/>
      <c r="L46" s="3"/>
    </row>
    <row r="47" spans="1:12" ht="10.5" customHeight="1">
      <c r="A47" s="154"/>
      <c r="B47" s="48"/>
      <c r="C47" s="2"/>
      <c r="D47" s="2"/>
      <c r="E47" s="2"/>
      <c r="F47" s="2"/>
      <c r="G47" s="3"/>
      <c r="H47" s="3"/>
      <c r="I47" s="3"/>
      <c r="J47" s="3"/>
      <c r="K47" s="3"/>
      <c r="L47" s="3"/>
    </row>
    <row r="48" spans="1:12" ht="15.75" hidden="1" customHeight="1">
      <c r="A48" s="154"/>
      <c r="B48" s="48"/>
      <c r="C48" s="2"/>
      <c r="D48" s="2"/>
      <c r="E48" s="2"/>
      <c r="F48" s="2"/>
      <c r="G48" s="3"/>
      <c r="H48" s="3"/>
      <c r="I48" s="3"/>
      <c r="J48" s="3"/>
      <c r="K48" s="3"/>
      <c r="L48" s="3"/>
    </row>
    <row r="49" spans="1:12" ht="15.75" hidden="1" customHeight="1">
      <c r="A49" s="154"/>
      <c r="B49" s="48"/>
      <c r="C49" s="2"/>
      <c r="D49" s="2"/>
      <c r="E49" s="2"/>
      <c r="F49" s="2"/>
      <c r="G49" s="3"/>
      <c r="H49" s="3"/>
      <c r="I49" s="3"/>
      <c r="J49" s="3"/>
      <c r="K49" s="3"/>
      <c r="L49" s="3"/>
    </row>
    <row r="50" spans="1:12" ht="15.75" hidden="1" customHeight="1">
      <c r="A50" s="154"/>
      <c r="B50" s="48"/>
      <c r="C50" s="2"/>
      <c r="D50" s="2"/>
      <c r="E50" s="2"/>
      <c r="F50" s="2"/>
      <c r="G50" s="3"/>
      <c r="H50" s="3"/>
      <c r="I50" s="3"/>
      <c r="J50" s="3"/>
      <c r="K50" s="3"/>
      <c r="L50" s="3"/>
    </row>
    <row r="51" spans="1:12" ht="15.75" hidden="1" customHeight="1">
      <c r="A51" s="154"/>
      <c r="B51" s="48"/>
      <c r="C51" s="2"/>
      <c r="D51" s="2"/>
      <c r="E51" s="2"/>
      <c r="F51" s="2"/>
      <c r="G51" s="3"/>
      <c r="H51" s="3"/>
      <c r="I51" s="3"/>
      <c r="J51" s="3"/>
      <c r="K51" s="3"/>
      <c r="L51" s="3"/>
    </row>
    <row r="52" spans="1:12" ht="15.75" hidden="1" customHeight="1">
      <c r="A52" s="154"/>
      <c r="B52" s="49"/>
      <c r="C52" s="2"/>
      <c r="D52" s="2"/>
      <c r="E52" s="2"/>
      <c r="F52" s="2"/>
      <c r="G52" s="3"/>
      <c r="H52" s="3"/>
      <c r="I52" s="3"/>
      <c r="J52" s="3"/>
      <c r="K52" s="3"/>
      <c r="L52" s="3"/>
    </row>
    <row r="53" spans="1:12" ht="12" customHeight="1">
      <c r="A53" s="155" t="s">
        <v>38</v>
      </c>
      <c r="B53" s="157" t="s">
        <v>39</v>
      </c>
      <c r="C53" s="2"/>
      <c r="D53" s="2"/>
      <c r="E53" s="2"/>
      <c r="F53" s="2"/>
      <c r="G53" s="3"/>
      <c r="H53" s="3"/>
      <c r="I53" s="3"/>
      <c r="J53" s="3"/>
      <c r="K53" s="3"/>
      <c r="L53" s="3"/>
    </row>
    <row r="54" spans="1:12" ht="15.75" customHeight="1">
      <c r="A54" s="156"/>
      <c r="B54" s="158"/>
      <c r="C54" s="2"/>
      <c r="D54" s="2"/>
      <c r="E54" s="2"/>
      <c r="F54" s="2"/>
      <c r="G54" s="3"/>
      <c r="H54" s="3"/>
      <c r="I54" s="3"/>
      <c r="J54" s="3"/>
      <c r="K54" s="3"/>
      <c r="L54" s="3"/>
    </row>
    <row r="55" spans="1:12" ht="31.5" customHeight="1">
      <c r="A55" s="153" t="s">
        <v>40</v>
      </c>
      <c r="B55" s="50" t="s">
        <v>41</v>
      </c>
      <c r="C55" s="2"/>
      <c r="D55" s="2"/>
      <c r="E55" s="2"/>
      <c r="F55" s="2"/>
      <c r="G55" s="3"/>
      <c r="H55" s="3"/>
      <c r="I55" s="3"/>
      <c r="J55" s="3"/>
      <c r="K55" s="3"/>
      <c r="L55" s="3"/>
    </row>
    <row r="56" spans="1:12" ht="66" customHeight="1">
      <c r="A56" s="154"/>
      <c r="B56" s="51" t="s">
        <v>42</v>
      </c>
      <c r="C56" s="2"/>
      <c r="D56" s="2"/>
      <c r="E56" s="2"/>
      <c r="F56" s="2"/>
      <c r="G56" s="3"/>
      <c r="H56" s="3"/>
      <c r="I56" s="3"/>
      <c r="J56" s="3"/>
      <c r="K56" s="3"/>
      <c r="L56" s="3"/>
    </row>
    <row r="57" spans="1:12" ht="74.25" customHeight="1">
      <c r="A57" s="154"/>
      <c r="B57" s="41" t="s">
        <v>43</v>
      </c>
      <c r="C57" s="2"/>
      <c r="D57" s="2"/>
      <c r="E57" s="2"/>
      <c r="F57" s="2"/>
      <c r="G57" s="3"/>
      <c r="H57" s="3"/>
      <c r="I57" s="3"/>
      <c r="J57" s="3"/>
      <c r="K57" s="3"/>
      <c r="L57" s="3"/>
    </row>
    <row r="58" spans="1:12" ht="52.5" customHeight="1">
      <c r="A58" s="154"/>
      <c r="B58" s="41" t="s">
        <v>44</v>
      </c>
      <c r="C58" s="2"/>
      <c r="D58" s="2"/>
      <c r="E58" s="2"/>
      <c r="F58" s="2"/>
      <c r="G58" s="3"/>
      <c r="H58" s="3"/>
      <c r="I58" s="3"/>
      <c r="J58" s="3"/>
      <c r="K58" s="3"/>
      <c r="L58" s="3"/>
    </row>
    <row r="59" spans="1:12" ht="51.75" customHeight="1">
      <c r="A59" s="154"/>
      <c r="B59" s="41" t="s">
        <v>45</v>
      </c>
      <c r="C59" s="2"/>
      <c r="D59" s="2"/>
      <c r="E59" s="2"/>
      <c r="F59" s="2"/>
      <c r="G59" s="3"/>
      <c r="H59" s="3"/>
      <c r="I59" s="3"/>
      <c r="J59" s="3"/>
      <c r="K59" s="3"/>
      <c r="L59" s="3"/>
    </row>
    <row r="60" spans="1:12" ht="31.5" customHeight="1">
      <c r="A60" s="52" t="s">
        <v>46</v>
      </c>
      <c r="B60" s="53" t="s">
        <v>47</v>
      </c>
      <c r="C60" s="2"/>
      <c r="D60" s="2"/>
      <c r="E60" s="2"/>
      <c r="F60" s="2"/>
      <c r="G60" s="3"/>
      <c r="H60" s="3"/>
      <c r="I60" s="3"/>
      <c r="J60" s="3"/>
      <c r="K60" s="3"/>
      <c r="L60" s="3"/>
    </row>
  </sheetData>
  <mergeCells count="6">
    <mergeCell ref="A55:A59"/>
    <mergeCell ref="A53:A54"/>
    <mergeCell ref="B53:B54"/>
    <mergeCell ref="A2:A3"/>
    <mergeCell ref="A7:A11"/>
    <mergeCell ref="A24:A5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J221"/>
  <sheetViews>
    <sheetView workbookViewId="0"/>
  </sheetViews>
  <sheetFormatPr defaultColWidth="17.28515625" defaultRowHeight="15" customHeight="1"/>
  <sheetData>
    <row r="1" spans="1:10">
      <c r="A1" s="91" t="s">
        <v>51</v>
      </c>
      <c r="B1" s="91" t="s">
        <v>52</v>
      </c>
      <c r="C1" s="91" t="s">
        <v>53</v>
      </c>
      <c r="D1" s="91" t="s">
        <v>54</v>
      </c>
      <c r="E1" s="16" t="s">
        <v>75</v>
      </c>
      <c r="F1" s="16" t="s">
        <v>228</v>
      </c>
      <c r="G1" s="16" t="s">
        <v>229</v>
      </c>
      <c r="H1" s="16" t="s">
        <v>196</v>
      </c>
      <c r="I1" s="91"/>
      <c r="J1" s="16"/>
    </row>
    <row r="2" spans="1:10">
      <c r="A2" s="87" t="s">
        <v>78</v>
      </c>
      <c r="B2" s="87" t="s">
        <v>79</v>
      </c>
      <c r="C2" s="87">
        <v>1</v>
      </c>
      <c r="D2" s="87" t="s">
        <v>83</v>
      </c>
      <c r="E2" s="16">
        <v>3.29</v>
      </c>
      <c r="F2" s="16">
        <f>AVERAGE(E2:E6)</f>
        <v>2.6560000000000001</v>
      </c>
      <c r="I2" s="87"/>
      <c r="J2" s="16"/>
    </row>
    <row r="3" spans="1:10">
      <c r="A3" s="87"/>
      <c r="B3" s="87"/>
      <c r="C3" s="87">
        <v>1</v>
      </c>
      <c r="D3" s="87" t="s">
        <v>85</v>
      </c>
      <c r="E3" s="16">
        <v>2.59</v>
      </c>
      <c r="F3" s="16"/>
      <c r="I3" s="87"/>
      <c r="J3" s="16"/>
    </row>
    <row r="4" spans="1:10">
      <c r="A4" s="87"/>
      <c r="B4" s="87"/>
      <c r="C4" s="87">
        <v>1</v>
      </c>
      <c r="D4" s="87" t="s">
        <v>87</v>
      </c>
      <c r="E4" s="16">
        <v>1.32</v>
      </c>
      <c r="F4" s="16"/>
      <c r="I4" s="87"/>
      <c r="J4" s="16"/>
    </row>
    <row r="5" spans="1:10">
      <c r="A5" s="87"/>
      <c r="B5" s="87"/>
      <c r="C5" s="87">
        <v>1</v>
      </c>
      <c r="D5" s="87" t="s">
        <v>79</v>
      </c>
      <c r="E5" s="16">
        <v>2.7</v>
      </c>
      <c r="F5" s="16"/>
      <c r="I5" s="87"/>
      <c r="J5" s="16"/>
    </row>
    <row r="6" spans="1:10">
      <c r="A6" s="87"/>
      <c r="B6" s="87"/>
      <c r="C6" s="87">
        <v>1</v>
      </c>
      <c r="D6" s="87" t="s">
        <v>88</v>
      </c>
      <c r="E6" s="16">
        <v>3.38</v>
      </c>
      <c r="F6" s="16"/>
      <c r="I6" s="87"/>
      <c r="J6" s="16"/>
    </row>
    <row r="7" spans="1:10">
      <c r="A7" s="87"/>
      <c r="B7" s="87"/>
      <c r="C7" s="87">
        <v>2</v>
      </c>
      <c r="D7" s="87" t="s">
        <v>83</v>
      </c>
      <c r="E7" s="16">
        <v>2.0499999999999998</v>
      </c>
      <c r="F7" s="16">
        <f>AVERAGE(E7:E11)</f>
        <v>1.9339999999999999</v>
      </c>
      <c r="I7" s="87"/>
      <c r="J7" s="16"/>
    </row>
    <row r="8" spans="1:10">
      <c r="A8" s="87"/>
      <c r="B8" s="87"/>
      <c r="C8" s="87">
        <v>2</v>
      </c>
      <c r="D8" s="87" t="s">
        <v>85</v>
      </c>
      <c r="E8" s="16">
        <v>1.86</v>
      </c>
      <c r="F8" s="16"/>
      <c r="I8" s="87"/>
      <c r="J8" s="16"/>
    </row>
    <row r="9" spans="1:10">
      <c r="A9" s="87"/>
      <c r="B9" s="87"/>
      <c r="C9" s="87">
        <v>2</v>
      </c>
      <c r="D9" s="87" t="s">
        <v>87</v>
      </c>
      <c r="E9" s="16">
        <v>0.68</v>
      </c>
      <c r="F9" s="16"/>
      <c r="I9" s="87"/>
      <c r="J9" s="16"/>
    </row>
    <row r="10" spans="1:10">
      <c r="A10" s="87"/>
      <c r="B10" s="87"/>
      <c r="C10" s="87">
        <v>2</v>
      </c>
      <c r="D10" s="87" t="s">
        <v>79</v>
      </c>
      <c r="E10" s="16">
        <v>3.37</v>
      </c>
      <c r="F10" s="16"/>
      <c r="I10" s="87"/>
      <c r="J10" s="16"/>
    </row>
    <row r="11" spans="1:10">
      <c r="A11" s="87"/>
      <c r="B11" s="87"/>
      <c r="C11" s="87">
        <v>2</v>
      </c>
      <c r="D11" s="87" t="s">
        <v>88</v>
      </c>
      <c r="E11" s="16">
        <v>1.71</v>
      </c>
      <c r="F11" s="16"/>
      <c r="I11" s="87"/>
      <c r="J11" s="16"/>
    </row>
    <row r="12" spans="1:10">
      <c r="A12" s="87"/>
      <c r="B12" s="87"/>
      <c r="C12" s="87">
        <v>3</v>
      </c>
      <c r="D12" s="87" t="s">
        <v>83</v>
      </c>
      <c r="E12" s="16">
        <v>1.49</v>
      </c>
      <c r="F12" s="16">
        <f>AVERAGE(E12:E16)</f>
        <v>2.0900000000000003</v>
      </c>
      <c r="I12" s="87"/>
      <c r="J12" s="16"/>
    </row>
    <row r="13" spans="1:10">
      <c r="A13" s="87"/>
      <c r="B13" s="87"/>
      <c r="C13" s="87">
        <v>3</v>
      </c>
      <c r="D13" s="87" t="s">
        <v>85</v>
      </c>
      <c r="E13" s="16">
        <v>2.67</v>
      </c>
      <c r="F13" s="16"/>
      <c r="I13" s="87"/>
      <c r="J13" s="16"/>
    </row>
    <row r="14" spans="1:10">
      <c r="A14" s="87"/>
      <c r="B14" s="87"/>
      <c r="C14" s="87">
        <v>3</v>
      </c>
      <c r="D14" s="87" t="s">
        <v>87</v>
      </c>
      <c r="E14" s="16">
        <v>2.48</v>
      </c>
      <c r="F14" s="16"/>
      <c r="I14" s="87"/>
      <c r="J14" s="16"/>
    </row>
    <row r="15" spans="1:10">
      <c r="A15" s="87"/>
      <c r="B15" s="87"/>
      <c r="C15" s="87">
        <v>3</v>
      </c>
      <c r="D15" s="87" t="s">
        <v>79</v>
      </c>
      <c r="E15" s="16">
        <v>2.2599999999999998</v>
      </c>
      <c r="F15" s="16"/>
      <c r="I15" s="87"/>
      <c r="J15" s="16"/>
    </row>
    <row r="16" spans="1:10">
      <c r="A16" s="87"/>
      <c r="B16" s="87"/>
      <c r="C16" s="87">
        <v>3</v>
      </c>
      <c r="D16" s="87" t="s">
        <v>88</v>
      </c>
      <c r="E16" s="16">
        <v>1.55</v>
      </c>
      <c r="F16" s="16"/>
      <c r="I16" s="87"/>
      <c r="J16" s="16"/>
    </row>
    <row r="17" spans="1:10">
      <c r="A17" s="87"/>
      <c r="B17" s="87"/>
      <c r="C17" s="87">
        <v>4</v>
      </c>
      <c r="D17" s="87" t="s">
        <v>83</v>
      </c>
      <c r="E17" s="16">
        <v>3.28</v>
      </c>
      <c r="F17" s="16">
        <f>AVERAGE(E17:E21)</f>
        <v>2.6879999999999997</v>
      </c>
      <c r="I17" s="87"/>
      <c r="J17" s="16"/>
    </row>
    <row r="18" spans="1:10">
      <c r="A18" s="87"/>
      <c r="B18" s="87"/>
      <c r="C18" s="87">
        <v>4</v>
      </c>
      <c r="D18" s="87" t="s">
        <v>85</v>
      </c>
      <c r="E18" s="16">
        <v>1.91</v>
      </c>
      <c r="F18" s="16"/>
      <c r="I18" s="87"/>
      <c r="J18" s="16"/>
    </row>
    <row r="19" spans="1:10">
      <c r="A19" s="87"/>
      <c r="B19" s="87"/>
      <c r="C19" s="87">
        <v>4</v>
      </c>
      <c r="D19" s="87" t="s">
        <v>87</v>
      </c>
      <c r="E19" s="16">
        <v>2.04</v>
      </c>
      <c r="F19" s="16"/>
      <c r="I19" s="87"/>
      <c r="J19" s="16"/>
    </row>
    <row r="20" spans="1:10">
      <c r="A20" s="87"/>
      <c r="B20" s="87"/>
      <c r="C20" s="87">
        <v>4</v>
      </c>
      <c r="D20" s="87" t="s">
        <v>79</v>
      </c>
      <c r="E20" s="16">
        <v>3.01</v>
      </c>
      <c r="I20" s="87"/>
      <c r="J20" s="16"/>
    </row>
    <row r="21" spans="1:10">
      <c r="A21" s="87"/>
      <c r="B21" s="87"/>
      <c r="C21" s="87">
        <v>4</v>
      </c>
      <c r="D21" s="87" t="s">
        <v>88</v>
      </c>
      <c r="E21" s="16">
        <v>3.2</v>
      </c>
      <c r="I21" s="87"/>
      <c r="J21" s="16"/>
    </row>
    <row r="22" spans="1:10">
      <c r="A22" s="87" t="s">
        <v>78</v>
      </c>
      <c r="B22" s="87" t="s">
        <v>94</v>
      </c>
      <c r="C22" s="87">
        <v>1</v>
      </c>
      <c r="D22" s="87" t="s">
        <v>83</v>
      </c>
      <c r="E22" s="16">
        <v>0.8</v>
      </c>
      <c r="F22">
        <f>AVERAGE(E22:E26)</f>
        <v>2.1120000000000001</v>
      </c>
      <c r="I22" s="87"/>
      <c r="J22" s="16"/>
    </row>
    <row r="23" spans="1:10">
      <c r="A23" s="87"/>
      <c r="B23" s="87"/>
      <c r="C23" s="87">
        <v>1</v>
      </c>
      <c r="D23" s="87" t="s">
        <v>85</v>
      </c>
      <c r="E23" s="16">
        <v>2.86</v>
      </c>
      <c r="I23" s="87"/>
      <c r="J23" s="16"/>
    </row>
    <row r="24" spans="1:10">
      <c r="A24" s="87"/>
      <c r="B24" s="87"/>
      <c r="C24" s="87">
        <v>1</v>
      </c>
      <c r="D24" s="87" t="s">
        <v>87</v>
      </c>
      <c r="E24" s="16">
        <v>2.06</v>
      </c>
      <c r="I24" s="87"/>
      <c r="J24" s="16"/>
    </row>
    <row r="25" spans="1:10">
      <c r="A25" s="87"/>
      <c r="B25" s="87"/>
      <c r="C25" s="87">
        <v>1</v>
      </c>
      <c r="D25" s="87" t="s">
        <v>79</v>
      </c>
      <c r="E25" s="16">
        <v>2.34</v>
      </c>
      <c r="I25" s="87"/>
      <c r="J25" s="16"/>
    </row>
    <row r="26" spans="1:10">
      <c r="A26" s="87"/>
      <c r="B26" s="87"/>
      <c r="C26" s="87">
        <v>1</v>
      </c>
      <c r="D26" s="87" t="s">
        <v>88</v>
      </c>
      <c r="E26" s="16">
        <v>2.5</v>
      </c>
      <c r="I26" s="87"/>
      <c r="J26" s="16"/>
    </row>
    <row r="27" spans="1:10">
      <c r="A27" s="87"/>
      <c r="B27" s="87"/>
      <c r="C27" s="87">
        <v>2</v>
      </c>
      <c r="D27" s="87" t="s">
        <v>83</v>
      </c>
      <c r="E27" s="16">
        <v>1.61</v>
      </c>
      <c r="F27" s="16">
        <f>AVERAGE(E27:E31)</f>
        <v>2.6439999999999997</v>
      </c>
      <c r="G27" s="16">
        <v>13</v>
      </c>
      <c r="I27" s="87"/>
      <c r="J27" s="16"/>
    </row>
    <row r="28" spans="1:10">
      <c r="A28" s="87"/>
      <c r="B28" s="87"/>
      <c r="C28" s="87">
        <v>2</v>
      </c>
      <c r="D28" s="87" t="s">
        <v>85</v>
      </c>
      <c r="E28" s="16">
        <v>5.0999999999999996</v>
      </c>
      <c r="I28" s="87"/>
      <c r="J28" s="16"/>
    </row>
    <row r="29" spans="1:10">
      <c r="A29" s="87"/>
      <c r="B29" s="87"/>
      <c r="C29" s="87">
        <v>2</v>
      </c>
      <c r="D29" s="87" t="s">
        <v>87</v>
      </c>
      <c r="E29" s="16">
        <v>2.2999999999999998</v>
      </c>
      <c r="I29" s="87"/>
      <c r="J29" s="16"/>
    </row>
    <row r="30" spans="1:10">
      <c r="A30" s="87"/>
      <c r="B30" s="87"/>
      <c r="C30" s="87">
        <v>2</v>
      </c>
      <c r="D30" s="87" t="s">
        <v>79</v>
      </c>
      <c r="E30" s="16">
        <v>2.52</v>
      </c>
      <c r="F30" s="16"/>
      <c r="G30" s="16">
        <v>37</v>
      </c>
      <c r="I30" s="87"/>
      <c r="J30" s="16"/>
    </row>
    <row r="31" spans="1:10">
      <c r="A31" s="87"/>
      <c r="B31" s="87"/>
      <c r="C31" s="87">
        <v>2</v>
      </c>
      <c r="D31" s="87" t="s">
        <v>88</v>
      </c>
      <c r="E31" s="16">
        <v>1.69</v>
      </c>
      <c r="I31" s="87"/>
      <c r="J31" s="16"/>
    </row>
    <row r="32" spans="1:10">
      <c r="A32" s="87"/>
      <c r="B32" s="87"/>
      <c r="C32" s="87">
        <v>3</v>
      </c>
      <c r="D32" s="87" t="s">
        <v>83</v>
      </c>
      <c r="E32" s="16">
        <v>2.84</v>
      </c>
      <c r="F32" s="16">
        <f>AVERAGE(E32:E36)</f>
        <v>1.81</v>
      </c>
      <c r="G32" s="16">
        <v>28</v>
      </c>
      <c r="I32" s="87"/>
      <c r="J32" s="16"/>
    </row>
    <row r="33" spans="1:10">
      <c r="A33" s="87"/>
      <c r="B33" s="87"/>
      <c r="C33" s="87">
        <v>3</v>
      </c>
      <c r="D33" s="87" t="s">
        <v>85</v>
      </c>
      <c r="E33" s="16">
        <v>1.88</v>
      </c>
      <c r="I33" s="87"/>
      <c r="J33" s="16"/>
    </row>
    <row r="34" spans="1:10">
      <c r="A34" s="87"/>
      <c r="B34" s="87"/>
      <c r="C34" s="87">
        <v>3</v>
      </c>
      <c r="D34" s="87" t="s">
        <v>87</v>
      </c>
      <c r="E34" s="16">
        <v>0.72</v>
      </c>
      <c r="I34" s="87"/>
      <c r="J34" s="16"/>
    </row>
    <row r="35" spans="1:10">
      <c r="A35" s="87"/>
      <c r="B35" s="87"/>
      <c r="C35" s="87">
        <v>3</v>
      </c>
      <c r="D35" s="87" t="s">
        <v>79</v>
      </c>
      <c r="E35" s="16">
        <v>2.31</v>
      </c>
      <c r="I35" s="87"/>
      <c r="J35" s="16"/>
    </row>
    <row r="36" spans="1:10">
      <c r="A36" s="87"/>
      <c r="B36" s="87"/>
      <c r="C36" s="87">
        <v>3</v>
      </c>
      <c r="D36" s="87" t="s">
        <v>88</v>
      </c>
      <c r="E36" s="16">
        <v>1.3</v>
      </c>
      <c r="I36" s="87"/>
      <c r="J36" s="16"/>
    </row>
    <row r="37" spans="1:10">
      <c r="A37" s="87"/>
      <c r="B37" s="87"/>
      <c r="C37" s="87">
        <v>4</v>
      </c>
      <c r="D37" s="87" t="s">
        <v>83</v>
      </c>
      <c r="E37" s="16">
        <v>3.16</v>
      </c>
      <c r="F37" s="16">
        <f>AVERAGE(E37:E41)</f>
        <v>2.4239999999999999</v>
      </c>
      <c r="G37" s="16">
        <v>7</v>
      </c>
      <c r="I37" s="87"/>
      <c r="J37" s="16"/>
    </row>
    <row r="38" spans="1:10">
      <c r="A38" s="87"/>
      <c r="B38" s="87"/>
      <c r="C38" s="87">
        <v>4</v>
      </c>
      <c r="D38" s="87" t="s">
        <v>85</v>
      </c>
      <c r="E38" s="16">
        <v>2.2000000000000002</v>
      </c>
      <c r="I38" s="87"/>
      <c r="J38" s="16"/>
    </row>
    <row r="39" spans="1:10">
      <c r="A39" s="87"/>
      <c r="B39" s="87"/>
      <c r="C39" s="87">
        <v>4</v>
      </c>
      <c r="D39" s="87" t="s">
        <v>87</v>
      </c>
      <c r="E39" s="16">
        <v>1.92</v>
      </c>
      <c r="I39" s="87"/>
      <c r="J39" s="16"/>
    </row>
    <row r="40" spans="1:10">
      <c r="A40" s="87"/>
      <c r="B40" s="87"/>
      <c r="C40" s="87">
        <v>4</v>
      </c>
      <c r="D40" s="87" t="s">
        <v>79</v>
      </c>
      <c r="E40" s="16">
        <v>3.33</v>
      </c>
      <c r="I40" s="87"/>
      <c r="J40" s="16"/>
    </row>
    <row r="41" spans="1:10">
      <c r="A41" s="87"/>
      <c r="B41" s="87"/>
      <c r="C41" s="87">
        <v>4</v>
      </c>
      <c r="D41" s="87" t="s">
        <v>88</v>
      </c>
      <c r="E41" s="16">
        <v>1.51</v>
      </c>
      <c r="I41" s="87"/>
      <c r="J41" s="16"/>
    </row>
    <row r="42" spans="1:10">
      <c r="A42" s="87" t="s">
        <v>78</v>
      </c>
      <c r="B42" s="87" t="s">
        <v>95</v>
      </c>
      <c r="C42" s="87">
        <v>1</v>
      </c>
      <c r="D42" s="87" t="s">
        <v>83</v>
      </c>
      <c r="E42" s="16">
        <v>2.29</v>
      </c>
      <c r="F42" s="16">
        <f>AVERAGE(E42:E46)</f>
        <v>3.1819999999999999</v>
      </c>
      <c r="I42" s="87"/>
      <c r="J42" s="16"/>
    </row>
    <row r="43" spans="1:10">
      <c r="A43" s="87"/>
      <c r="B43" s="87"/>
      <c r="C43" s="87">
        <v>1</v>
      </c>
      <c r="D43" s="87" t="s">
        <v>85</v>
      </c>
      <c r="E43" s="16">
        <v>3.08</v>
      </c>
      <c r="I43" s="87"/>
      <c r="J43" s="16"/>
    </row>
    <row r="44" spans="1:10">
      <c r="A44" s="87"/>
      <c r="B44" s="87"/>
      <c r="C44" s="87">
        <v>1</v>
      </c>
      <c r="D44" s="87" t="s">
        <v>87</v>
      </c>
      <c r="E44" s="16">
        <v>2.78</v>
      </c>
      <c r="I44" s="87"/>
      <c r="J44" s="16"/>
    </row>
    <row r="45" spans="1:10">
      <c r="A45" s="87"/>
      <c r="B45" s="87"/>
      <c r="C45" s="87">
        <v>1</v>
      </c>
      <c r="D45" s="87" t="s">
        <v>79</v>
      </c>
      <c r="E45" s="16">
        <v>4.9800000000000004</v>
      </c>
      <c r="I45" s="87"/>
      <c r="J45" s="16"/>
    </row>
    <row r="46" spans="1:10">
      <c r="A46" s="87"/>
      <c r="B46" s="87"/>
      <c r="C46" s="87">
        <v>1</v>
      </c>
      <c r="D46" s="87" t="s">
        <v>88</v>
      </c>
      <c r="E46" s="16">
        <v>2.78</v>
      </c>
      <c r="F46" s="16"/>
      <c r="G46" s="16">
        <v>5</v>
      </c>
      <c r="I46" s="87"/>
      <c r="J46" s="16"/>
    </row>
    <row r="47" spans="1:10">
      <c r="A47" s="87"/>
      <c r="B47" s="87"/>
      <c r="C47" s="87">
        <v>2</v>
      </c>
      <c r="D47" s="87" t="s">
        <v>83</v>
      </c>
      <c r="E47" s="16">
        <v>2.2000000000000002</v>
      </c>
      <c r="F47" s="16">
        <f>AVERAGE(E47:E51)</f>
        <v>3.4159999999999995</v>
      </c>
      <c r="I47" s="87"/>
      <c r="J47" s="16"/>
    </row>
    <row r="48" spans="1:10">
      <c r="A48" s="87"/>
      <c r="B48" s="87"/>
      <c r="C48" s="87">
        <v>2</v>
      </c>
      <c r="D48" s="87" t="s">
        <v>85</v>
      </c>
      <c r="E48" s="16">
        <v>2.93</v>
      </c>
      <c r="I48" s="87"/>
      <c r="J48" s="16"/>
    </row>
    <row r="49" spans="1:10">
      <c r="A49" s="87"/>
      <c r="B49" s="87"/>
      <c r="C49" s="87">
        <v>2</v>
      </c>
      <c r="D49" s="87" t="s">
        <v>87</v>
      </c>
      <c r="E49" s="16">
        <v>3.8</v>
      </c>
      <c r="I49" s="87"/>
      <c r="J49" s="16"/>
    </row>
    <row r="50" spans="1:10">
      <c r="A50" s="87"/>
      <c r="B50" s="87"/>
      <c r="C50" s="87">
        <v>2</v>
      </c>
      <c r="D50" s="87" t="s">
        <v>79</v>
      </c>
      <c r="E50" s="16">
        <v>2.91</v>
      </c>
      <c r="I50" s="87"/>
      <c r="J50" s="16"/>
    </row>
    <row r="51" spans="1:10">
      <c r="A51" s="87"/>
      <c r="B51" s="87"/>
      <c r="C51" s="87">
        <v>2</v>
      </c>
      <c r="D51" s="87" t="s">
        <v>88</v>
      </c>
      <c r="E51" s="16">
        <v>5.24</v>
      </c>
      <c r="I51" s="87"/>
      <c r="J51" s="16"/>
    </row>
    <row r="52" spans="1:10">
      <c r="A52" s="87"/>
      <c r="B52" s="87"/>
      <c r="C52" s="87">
        <v>3</v>
      </c>
      <c r="D52" s="87" t="s">
        <v>83</v>
      </c>
      <c r="E52" s="16">
        <v>2</v>
      </c>
      <c r="F52" s="16">
        <f>AVERAGE(E52:E56)</f>
        <v>1.222</v>
      </c>
      <c r="I52" s="87"/>
      <c r="J52" s="16"/>
    </row>
    <row r="53" spans="1:10">
      <c r="A53" s="87"/>
      <c r="B53" s="87"/>
      <c r="C53" s="87">
        <v>3</v>
      </c>
      <c r="D53" s="87" t="s">
        <v>85</v>
      </c>
      <c r="E53" s="16">
        <v>0.56999999999999995</v>
      </c>
      <c r="I53" s="87"/>
      <c r="J53" s="16"/>
    </row>
    <row r="54" spans="1:10">
      <c r="A54" s="87"/>
      <c r="B54" s="87"/>
      <c r="C54" s="87">
        <v>3</v>
      </c>
      <c r="D54" s="87" t="s">
        <v>87</v>
      </c>
      <c r="E54" s="16">
        <v>0.94</v>
      </c>
      <c r="I54" s="87"/>
      <c r="J54" s="16"/>
    </row>
    <row r="55" spans="1:10">
      <c r="A55" s="87"/>
      <c r="B55" s="87"/>
      <c r="C55" s="87">
        <v>3</v>
      </c>
      <c r="D55" s="87" t="s">
        <v>79</v>
      </c>
      <c r="E55" s="16">
        <v>1.28</v>
      </c>
      <c r="I55" s="87"/>
      <c r="J55" s="16"/>
    </row>
    <row r="56" spans="1:10">
      <c r="A56" s="87"/>
      <c r="B56" s="87"/>
      <c r="C56" s="87">
        <v>3</v>
      </c>
      <c r="D56" s="87" t="s">
        <v>88</v>
      </c>
      <c r="E56" s="16">
        <v>1.32</v>
      </c>
      <c r="F56" s="16"/>
      <c r="G56" s="16">
        <v>7</v>
      </c>
      <c r="I56" s="87"/>
      <c r="J56" s="16"/>
    </row>
    <row r="57" spans="1:10">
      <c r="A57" s="87"/>
      <c r="B57" s="87"/>
      <c r="C57" s="87">
        <v>4</v>
      </c>
      <c r="D57" s="87" t="s">
        <v>83</v>
      </c>
      <c r="E57" s="16">
        <v>1.85</v>
      </c>
      <c r="F57" s="16">
        <f>AVERAGE(E57:E61)</f>
        <v>1.8519999999999999</v>
      </c>
      <c r="I57" s="87"/>
      <c r="J57" s="16"/>
    </row>
    <row r="58" spans="1:10">
      <c r="A58" s="87"/>
      <c r="B58" s="87"/>
      <c r="C58" s="87">
        <v>4</v>
      </c>
      <c r="D58" s="87" t="s">
        <v>85</v>
      </c>
      <c r="E58" s="16">
        <v>1.98</v>
      </c>
      <c r="I58" s="87"/>
      <c r="J58" s="16"/>
    </row>
    <row r="59" spans="1:10">
      <c r="A59" s="87"/>
      <c r="B59" s="87"/>
      <c r="C59" s="87">
        <v>4</v>
      </c>
      <c r="D59" s="87" t="s">
        <v>87</v>
      </c>
      <c r="E59" s="16">
        <v>0.66</v>
      </c>
      <c r="I59" s="87"/>
      <c r="J59" s="16"/>
    </row>
    <row r="60" spans="1:10">
      <c r="A60" s="87"/>
      <c r="B60" s="87"/>
      <c r="C60" s="87">
        <v>4</v>
      </c>
      <c r="D60" s="87" t="s">
        <v>79</v>
      </c>
      <c r="E60" s="16">
        <v>1.1000000000000001</v>
      </c>
      <c r="I60" s="87"/>
      <c r="J60" s="16"/>
    </row>
    <row r="61" spans="1:10">
      <c r="A61" s="87"/>
      <c r="B61" s="87"/>
      <c r="C61" s="87">
        <v>4</v>
      </c>
      <c r="D61" s="87" t="s">
        <v>88</v>
      </c>
      <c r="E61" s="16">
        <v>3.67</v>
      </c>
      <c r="I61" s="87"/>
      <c r="J61" s="16"/>
    </row>
    <row r="62" spans="1:10">
      <c r="A62" s="87" t="s">
        <v>78</v>
      </c>
      <c r="B62" s="87" t="s">
        <v>101</v>
      </c>
      <c r="C62" s="87">
        <v>1</v>
      </c>
      <c r="D62" s="87" t="s">
        <v>83</v>
      </c>
      <c r="E62" s="16">
        <v>2.99</v>
      </c>
      <c r="F62" s="16">
        <f>AVERAGE(E62:E66)</f>
        <v>2.246</v>
      </c>
      <c r="I62" s="87"/>
      <c r="J62" s="16"/>
    </row>
    <row r="63" spans="1:10">
      <c r="A63" s="87"/>
      <c r="B63" s="87"/>
      <c r="C63" s="87">
        <v>1</v>
      </c>
      <c r="D63" s="87" t="s">
        <v>85</v>
      </c>
      <c r="E63" s="16">
        <v>1.91</v>
      </c>
      <c r="F63" s="16"/>
      <c r="G63" s="16">
        <v>16</v>
      </c>
      <c r="I63" s="87"/>
      <c r="J63" s="16"/>
    </row>
    <row r="64" spans="1:10">
      <c r="A64" s="87"/>
      <c r="B64" s="87"/>
      <c r="C64" s="87">
        <v>1</v>
      </c>
      <c r="D64" s="87" t="s">
        <v>87</v>
      </c>
      <c r="E64" s="16">
        <v>1.95</v>
      </c>
      <c r="I64" s="87"/>
      <c r="J64" s="16"/>
    </row>
    <row r="65" spans="1:10">
      <c r="A65" s="87"/>
      <c r="B65" s="87"/>
      <c r="C65" s="87">
        <v>1</v>
      </c>
      <c r="D65" s="87" t="s">
        <v>79</v>
      </c>
      <c r="E65" s="16">
        <v>2.12</v>
      </c>
      <c r="I65" s="87"/>
      <c r="J65" s="16"/>
    </row>
    <row r="66" spans="1:10">
      <c r="A66" s="87"/>
      <c r="B66" s="87"/>
      <c r="C66" s="87">
        <v>1</v>
      </c>
      <c r="D66" s="87" t="s">
        <v>88</v>
      </c>
      <c r="E66" s="16">
        <v>2.2599999999999998</v>
      </c>
      <c r="F66" s="16"/>
      <c r="G66" s="16">
        <v>152</v>
      </c>
      <c r="I66" s="87"/>
      <c r="J66" s="16"/>
    </row>
    <row r="67" spans="1:10">
      <c r="A67" s="87"/>
      <c r="B67" s="87"/>
      <c r="C67" s="87">
        <v>2</v>
      </c>
      <c r="D67" s="87" t="s">
        <v>83</v>
      </c>
      <c r="E67" s="16">
        <v>0.93</v>
      </c>
      <c r="F67" s="16">
        <f>AVERAGE(E67:E71)</f>
        <v>1.4120000000000001</v>
      </c>
      <c r="I67" s="87"/>
      <c r="J67" s="16"/>
    </row>
    <row r="68" spans="1:10">
      <c r="A68" s="87"/>
      <c r="B68" s="87"/>
      <c r="C68" s="87">
        <v>2</v>
      </c>
      <c r="D68" s="87" t="s">
        <v>85</v>
      </c>
      <c r="E68" s="16">
        <v>1.52</v>
      </c>
      <c r="F68" s="16"/>
      <c r="G68" s="16">
        <v>5</v>
      </c>
      <c r="I68" s="87"/>
      <c r="J68" s="16"/>
    </row>
    <row r="69" spans="1:10">
      <c r="A69" s="87"/>
      <c r="B69" s="87"/>
      <c r="C69" s="87">
        <v>2</v>
      </c>
      <c r="D69" s="87" t="s">
        <v>87</v>
      </c>
      <c r="E69" s="16">
        <v>1.21</v>
      </c>
      <c r="F69" s="16"/>
      <c r="G69" s="16">
        <v>1</v>
      </c>
      <c r="I69" s="87"/>
      <c r="J69" s="16"/>
    </row>
    <row r="70" spans="1:10">
      <c r="A70" s="87"/>
      <c r="B70" s="87"/>
      <c r="C70" s="87">
        <v>2</v>
      </c>
      <c r="D70" s="87" t="s">
        <v>79</v>
      </c>
      <c r="E70" s="16">
        <v>1.33</v>
      </c>
      <c r="I70" s="87"/>
      <c r="J70" s="16"/>
    </row>
    <row r="71" spans="1:10">
      <c r="A71" s="87"/>
      <c r="B71" s="87"/>
      <c r="C71" s="87">
        <v>2</v>
      </c>
      <c r="D71" s="87" t="s">
        <v>88</v>
      </c>
      <c r="E71" s="16">
        <v>2.0699999999999998</v>
      </c>
      <c r="I71" s="87"/>
      <c r="J71" s="16"/>
    </row>
    <row r="72" spans="1:10">
      <c r="A72" s="87"/>
      <c r="B72" s="87"/>
      <c r="C72" s="87">
        <v>3</v>
      </c>
      <c r="D72" s="87" t="s">
        <v>83</v>
      </c>
      <c r="E72" s="16">
        <v>2.2599999999999998</v>
      </c>
      <c r="F72" s="16">
        <f>AVERAGE(E72:E76)</f>
        <v>2.4580000000000002</v>
      </c>
      <c r="I72" s="87"/>
      <c r="J72" s="16"/>
    </row>
    <row r="73" spans="1:10">
      <c r="A73" s="87"/>
      <c r="B73" s="87"/>
      <c r="C73" s="87">
        <v>3</v>
      </c>
      <c r="D73" s="87" t="s">
        <v>85</v>
      </c>
      <c r="E73" s="16">
        <v>1.52</v>
      </c>
      <c r="I73" s="87"/>
      <c r="J73" s="16"/>
    </row>
    <row r="74" spans="1:10">
      <c r="A74" s="87"/>
      <c r="B74" s="87"/>
      <c r="C74" s="87">
        <v>3</v>
      </c>
      <c r="D74" s="87" t="s">
        <v>87</v>
      </c>
      <c r="E74" s="16">
        <v>2.21</v>
      </c>
      <c r="I74" s="87"/>
      <c r="J74" s="16"/>
    </row>
    <row r="75" spans="1:10">
      <c r="A75" s="87"/>
      <c r="B75" s="87"/>
      <c r="C75" s="87">
        <v>3</v>
      </c>
      <c r="D75" s="87" t="s">
        <v>79</v>
      </c>
      <c r="E75" s="16">
        <v>5.0599999999999996</v>
      </c>
      <c r="I75" s="87"/>
      <c r="J75" s="16"/>
    </row>
    <row r="76" spans="1:10">
      <c r="A76" s="87"/>
      <c r="B76" s="87"/>
      <c r="C76" s="87">
        <v>3</v>
      </c>
      <c r="D76" s="87" t="s">
        <v>88</v>
      </c>
      <c r="E76" s="16">
        <v>1.24</v>
      </c>
      <c r="I76" s="87"/>
      <c r="J76" s="16"/>
    </row>
    <row r="77" spans="1:10">
      <c r="A77" s="87"/>
      <c r="B77" s="87"/>
      <c r="C77" s="87">
        <v>4</v>
      </c>
      <c r="D77" s="87" t="s">
        <v>83</v>
      </c>
      <c r="E77" s="16">
        <v>0.86</v>
      </c>
      <c r="F77" s="16">
        <f>AVERAGE(E77:E81)</f>
        <v>2.0339999999999998</v>
      </c>
      <c r="I77" s="87"/>
      <c r="J77" s="16"/>
    </row>
    <row r="78" spans="1:10">
      <c r="A78" s="87"/>
      <c r="B78" s="87"/>
      <c r="C78" s="87">
        <v>4</v>
      </c>
      <c r="D78" s="87" t="s">
        <v>85</v>
      </c>
      <c r="E78" s="16">
        <v>1.95</v>
      </c>
      <c r="I78" s="87"/>
      <c r="J78" s="16"/>
    </row>
    <row r="79" spans="1:10">
      <c r="A79" s="87"/>
      <c r="B79" s="87"/>
      <c r="C79" s="87">
        <v>4</v>
      </c>
      <c r="D79" s="87" t="s">
        <v>87</v>
      </c>
      <c r="E79" s="16">
        <v>2.2200000000000002</v>
      </c>
      <c r="F79" s="16"/>
      <c r="G79" s="16">
        <v>9</v>
      </c>
      <c r="I79" s="87"/>
      <c r="J79" s="16"/>
    </row>
    <row r="80" spans="1:10">
      <c r="A80" s="87"/>
      <c r="B80" s="87"/>
      <c r="C80" s="87">
        <v>4</v>
      </c>
      <c r="D80" s="87" t="s">
        <v>79</v>
      </c>
      <c r="E80" s="16">
        <v>1.92</v>
      </c>
      <c r="I80" s="87"/>
      <c r="J80" s="16"/>
    </row>
    <row r="81" spans="1:10">
      <c r="A81" s="87"/>
      <c r="B81" s="87"/>
      <c r="C81" s="87">
        <v>4</v>
      </c>
      <c r="D81" s="87" t="s">
        <v>88</v>
      </c>
      <c r="E81" s="16">
        <v>3.22</v>
      </c>
      <c r="I81" s="87"/>
      <c r="J81" s="16"/>
    </row>
    <row r="82" spans="1:10">
      <c r="A82" s="87" t="s">
        <v>78</v>
      </c>
      <c r="B82" s="87" t="s">
        <v>102</v>
      </c>
      <c r="C82" s="87">
        <v>1</v>
      </c>
      <c r="D82" s="87" t="s">
        <v>83</v>
      </c>
      <c r="E82" s="16">
        <v>1.94</v>
      </c>
      <c r="F82" s="16">
        <f>AVERAGE(E82:E86)</f>
        <v>2.1739999999999999</v>
      </c>
      <c r="I82" s="87"/>
      <c r="J82" s="16"/>
    </row>
    <row r="83" spans="1:10">
      <c r="A83" s="87"/>
      <c r="B83" s="87"/>
      <c r="C83" s="87">
        <v>1</v>
      </c>
      <c r="D83" s="87" t="s">
        <v>85</v>
      </c>
      <c r="E83" s="16">
        <v>1.96</v>
      </c>
      <c r="I83" s="87"/>
      <c r="J83" s="16"/>
    </row>
    <row r="84" spans="1:10">
      <c r="A84" s="87"/>
      <c r="B84" s="87"/>
      <c r="C84" s="87">
        <v>1</v>
      </c>
      <c r="D84" s="87" t="s">
        <v>87</v>
      </c>
      <c r="E84" s="16">
        <v>0.9</v>
      </c>
      <c r="I84" s="87"/>
      <c r="J84" s="16"/>
    </row>
    <row r="85" spans="1:10">
      <c r="A85" s="87"/>
      <c r="B85" s="87"/>
      <c r="C85" s="87">
        <v>1</v>
      </c>
      <c r="D85" s="87" t="s">
        <v>79</v>
      </c>
      <c r="E85" s="16">
        <v>1.64</v>
      </c>
      <c r="I85" s="87"/>
      <c r="J85" s="16"/>
    </row>
    <row r="86" spans="1:10">
      <c r="A86" s="87"/>
      <c r="B86" s="87"/>
      <c r="C86" s="87">
        <v>1</v>
      </c>
      <c r="D86" s="87" t="s">
        <v>88</v>
      </c>
      <c r="E86" s="16">
        <v>4.43</v>
      </c>
      <c r="I86" s="87"/>
      <c r="J86" s="16"/>
    </row>
    <row r="87" spans="1:10">
      <c r="A87" s="87"/>
      <c r="B87" s="87"/>
      <c r="C87" s="87">
        <v>2</v>
      </c>
      <c r="D87" s="87" t="s">
        <v>83</v>
      </c>
      <c r="E87" s="16">
        <v>2</v>
      </c>
      <c r="F87" s="16">
        <f>AVERAGE(E87:E91)</f>
        <v>1.3220000000000001</v>
      </c>
      <c r="I87" s="87"/>
      <c r="J87" s="16"/>
    </row>
    <row r="88" spans="1:10">
      <c r="A88" s="87"/>
      <c r="B88" s="87"/>
      <c r="C88" s="87">
        <v>2</v>
      </c>
      <c r="D88" s="87" t="s">
        <v>85</v>
      </c>
      <c r="E88" s="16">
        <v>0.76</v>
      </c>
      <c r="I88" s="87"/>
      <c r="J88" s="16"/>
    </row>
    <row r="89" spans="1:10">
      <c r="A89" s="87"/>
      <c r="B89" s="87"/>
      <c r="C89" s="87">
        <v>2</v>
      </c>
      <c r="D89" s="87" t="s">
        <v>87</v>
      </c>
      <c r="E89" s="16">
        <v>1.28</v>
      </c>
      <c r="I89" s="87"/>
      <c r="J89" s="16"/>
    </row>
    <row r="90" spans="1:10">
      <c r="A90" s="87"/>
      <c r="B90" s="87"/>
      <c r="C90" s="87">
        <v>2</v>
      </c>
      <c r="D90" s="87" t="s">
        <v>79</v>
      </c>
      <c r="E90" s="16">
        <v>1.29</v>
      </c>
      <c r="I90" s="87"/>
      <c r="J90" s="16"/>
    </row>
    <row r="91" spans="1:10">
      <c r="A91" s="87"/>
      <c r="B91" s="87"/>
      <c r="C91" s="87">
        <v>2</v>
      </c>
      <c r="D91" s="87" t="s">
        <v>88</v>
      </c>
      <c r="E91" s="16">
        <v>1.28</v>
      </c>
      <c r="I91" s="87"/>
      <c r="J91" s="16"/>
    </row>
    <row r="92" spans="1:10">
      <c r="A92" s="87"/>
      <c r="B92" s="87"/>
      <c r="C92" s="87">
        <v>3</v>
      </c>
      <c r="D92" s="87" t="s">
        <v>83</v>
      </c>
      <c r="E92" s="16">
        <v>1.48</v>
      </c>
      <c r="F92" s="16">
        <f>AVERAGE(E92:E96)</f>
        <v>1.6359999999999999</v>
      </c>
      <c r="I92" s="87"/>
      <c r="J92" s="16"/>
    </row>
    <row r="93" spans="1:10">
      <c r="A93" s="87"/>
      <c r="B93" s="87"/>
      <c r="C93" s="87">
        <v>3</v>
      </c>
      <c r="D93" s="87" t="s">
        <v>85</v>
      </c>
      <c r="E93" s="16">
        <v>0.9</v>
      </c>
      <c r="I93" s="87"/>
      <c r="J93" s="16"/>
    </row>
    <row r="94" spans="1:10">
      <c r="A94" s="87"/>
      <c r="B94" s="87"/>
      <c r="C94" s="87">
        <v>3</v>
      </c>
      <c r="D94" s="87" t="s">
        <v>87</v>
      </c>
      <c r="E94" s="16">
        <v>1.1100000000000001</v>
      </c>
      <c r="I94" s="87"/>
      <c r="J94" s="16"/>
    </row>
    <row r="95" spans="1:10">
      <c r="A95" s="87"/>
      <c r="B95" s="87"/>
      <c r="C95" s="87">
        <v>3</v>
      </c>
      <c r="D95" s="87" t="s">
        <v>79</v>
      </c>
      <c r="E95" s="16">
        <v>2.4300000000000002</v>
      </c>
      <c r="I95" s="87"/>
      <c r="J95" s="16"/>
    </row>
    <row r="96" spans="1:10">
      <c r="A96" s="87"/>
      <c r="B96" s="87"/>
      <c r="C96" s="87">
        <v>3</v>
      </c>
      <c r="D96" s="87" t="s">
        <v>88</v>
      </c>
      <c r="E96" s="16">
        <v>2.2599999999999998</v>
      </c>
      <c r="I96" s="87"/>
      <c r="J96" s="16"/>
    </row>
    <row r="97" spans="1:10">
      <c r="A97" s="87"/>
      <c r="B97" s="87"/>
      <c r="C97" s="87">
        <v>4</v>
      </c>
      <c r="D97" s="87" t="s">
        <v>83</v>
      </c>
      <c r="E97" s="16">
        <v>5.28</v>
      </c>
      <c r="F97" s="16">
        <f>AVERAGE(E97:E101)</f>
        <v>2.7960000000000003</v>
      </c>
      <c r="H97" s="16" t="s">
        <v>237</v>
      </c>
      <c r="I97" s="87"/>
      <c r="J97" s="16"/>
    </row>
    <row r="98" spans="1:10">
      <c r="A98" s="87"/>
      <c r="B98" s="87"/>
      <c r="C98" s="87">
        <v>4</v>
      </c>
      <c r="D98" s="87" t="s">
        <v>85</v>
      </c>
      <c r="E98" s="16">
        <v>2.91</v>
      </c>
      <c r="I98" s="87"/>
      <c r="J98" s="16"/>
    </row>
    <row r="99" spans="1:10">
      <c r="A99" s="87"/>
      <c r="B99" s="87"/>
      <c r="C99" s="87">
        <v>4</v>
      </c>
      <c r="D99" s="87" t="s">
        <v>87</v>
      </c>
      <c r="E99" s="16">
        <v>1.72</v>
      </c>
      <c r="I99" s="87"/>
      <c r="J99" s="16"/>
    </row>
    <row r="100" spans="1:10">
      <c r="A100" s="87"/>
      <c r="B100" s="87"/>
      <c r="C100" s="87">
        <v>4</v>
      </c>
      <c r="D100" s="87" t="s">
        <v>79</v>
      </c>
      <c r="E100" s="16">
        <v>2.5099999999999998</v>
      </c>
      <c r="I100" s="87"/>
      <c r="J100" s="16"/>
    </row>
    <row r="101" spans="1:10">
      <c r="A101" s="87"/>
      <c r="B101" s="87"/>
      <c r="C101" s="87">
        <v>4</v>
      </c>
      <c r="D101" s="87" t="s">
        <v>88</v>
      </c>
      <c r="E101" s="16">
        <v>1.56</v>
      </c>
      <c r="I101" s="87"/>
      <c r="J101" s="16"/>
    </row>
    <row r="102" spans="1:10">
      <c r="A102" s="87" t="s">
        <v>78</v>
      </c>
      <c r="B102" s="87" t="s">
        <v>104</v>
      </c>
      <c r="C102" s="87">
        <v>1</v>
      </c>
      <c r="D102" s="87" t="s">
        <v>83</v>
      </c>
      <c r="E102" s="16">
        <v>2.0699999999999998</v>
      </c>
      <c r="F102" s="16">
        <f>AVERAGE(E102:E106)</f>
        <v>1.5979999999999996</v>
      </c>
      <c r="I102" s="87"/>
      <c r="J102" s="16"/>
    </row>
    <row r="103" spans="1:10">
      <c r="A103" s="87"/>
      <c r="B103" s="87"/>
      <c r="C103" s="87">
        <v>1</v>
      </c>
      <c r="D103" s="87" t="s">
        <v>85</v>
      </c>
      <c r="E103" s="16">
        <v>2.5499999999999998</v>
      </c>
      <c r="I103" s="87"/>
      <c r="J103" s="16"/>
    </row>
    <row r="104" spans="1:10">
      <c r="A104" s="87"/>
      <c r="B104" s="87"/>
      <c r="C104" s="87">
        <v>1</v>
      </c>
      <c r="D104" s="87" t="s">
        <v>87</v>
      </c>
      <c r="E104" s="16">
        <v>0.52</v>
      </c>
      <c r="I104" s="87"/>
      <c r="J104" s="16"/>
    </row>
    <row r="105" spans="1:10">
      <c r="A105" s="87"/>
      <c r="B105" s="87"/>
      <c r="C105" s="87">
        <v>1</v>
      </c>
      <c r="D105" s="87" t="s">
        <v>79</v>
      </c>
      <c r="E105" s="16">
        <v>1.87</v>
      </c>
      <c r="I105" s="87"/>
      <c r="J105" s="16"/>
    </row>
    <row r="106" spans="1:10">
      <c r="A106" s="87"/>
      <c r="B106" s="87"/>
      <c r="C106" s="87">
        <v>1</v>
      </c>
      <c r="D106" s="87" t="s">
        <v>88</v>
      </c>
      <c r="E106" s="16">
        <v>0.98</v>
      </c>
      <c r="I106" s="87"/>
      <c r="J106" s="16"/>
    </row>
    <row r="107" spans="1:10">
      <c r="A107" s="87"/>
      <c r="B107" s="87"/>
      <c r="C107" s="87">
        <v>2</v>
      </c>
      <c r="D107" s="87" t="s">
        <v>83</v>
      </c>
      <c r="E107" s="16">
        <v>3.5</v>
      </c>
      <c r="F107" s="16">
        <f>AVERAGE(E107:E111)</f>
        <v>2.2980000000000005</v>
      </c>
      <c r="I107" s="87"/>
      <c r="J107" s="16"/>
    </row>
    <row r="108" spans="1:10">
      <c r="A108" s="87"/>
      <c r="B108" s="87"/>
      <c r="C108" s="87">
        <v>2</v>
      </c>
      <c r="D108" s="87" t="s">
        <v>85</v>
      </c>
      <c r="E108" s="16">
        <v>3.75</v>
      </c>
      <c r="I108" s="87"/>
      <c r="J108" s="16"/>
    </row>
    <row r="109" spans="1:10">
      <c r="A109" s="87"/>
      <c r="B109" s="87"/>
      <c r="C109" s="87">
        <v>2</v>
      </c>
      <c r="D109" s="87" t="s">
        <v>87</v>
      </c>
      <c r="E109" s="16">
        <v>1.46</v>
      </c>
      <c r="F109" s="16"/>
      <c r="G109" s="16">
        <v>3</v>
      </c>
      <c r="I109" s="87"/>
      <c r="J109" s="16"/>
    </row>
    <row r="110" spans="1:10">
      <c r="A110" s="87"/>
      <c r="B110" s="87"/>
      <c r="C110" s="87">
        <v>2</v>
      </c>
      <c r="D110" s="87" t="s">
        <v>79</v>
      </c>
      <c r="E110" s="16">
        <v>1.1399999999999999</v>
      </c>
      <c r="I110" s="87"/>
      <c r="J110" s="16"/>
    </row>
    <row r="111" spans="1:10">
      <c r="A111" s="87"/>
      <c r="B111" s="87"/>
      <c r="C111" s="87">
        <v>2</v>
      </c>
      <c r="D111" s="87" t="s">
        <v>88</v>
      </c>
      <c r="E111" s="16">
        <v>1.64</v>
      </c>
      <c r="I111" s="87"/>
      <c r="J111" s="16"/>
    </row>
    <row r="112" spans="1:10">
      <c r="A112" s="87"/>
      <c r="B112" s="87"/>
      <c r="C112" s="87">
        <v>3</v>
      </c>
      <c r="D112" s="87" t="s">
        <v>83</v>
      </c>
      <c r="E112" s="16">
        <v>1.7</v>
      </c>
      <c r="F112" s="16">
        <f>AVERAGE(E112:E116)</f>
        <v>1.4259999999999999</v>
      </c>
      <c r="I112" s="87"/>
      <c r="J112" s="16"/>
    </row>
    <row r="113" spans="1:10">
      <c r="A113" s="87"/>
      <c r="B113" s="87"/>
      <c r="C113" s="87">
        <v>3</v>
      </c>
      <c r="D113" s="87" t="s">
        <v>85</v>
      </c>
      <c r="E113" s="16">
        <v>1.72</v>
      </c>
      <c r="I113" s="87"/>
      <c r="J113" s="16"/>
    </row>
    <row r="114" spans="1:10">
      <c r="A114" s="87"/>
      <c r="B114" s="87"/>
      <c r="C114" s="87">
        <v>3</v>
      </c>
      <c r="D114" s="87" t="s">
        <v>87</v>
      </c>
      <c r="E114" s="16">
        <v>1.62</v>
      </c>
      <c r="I114" s="87"/>
      <c r="J114" s="16"/>
    </row>
    <row r="115" spans="1:10">
      <c r="A115" s="87"/>
      <c r="B115" s="87"/>
      <c r="C115" s="87">
        <v>3</v>
      </c>
      <c r="D115" s="87" t="s">
        <v>79</v>
      </c>
      <c r="E115" s="16">
        <v>1.06</v>
      </c>
      <c r="I115" s="87"/>
      <c r="J115" s="16"/>
    </row>
    <row r="116" spans="1:10">
      <c r="A116" s="87"/>
      <c r="B116" s="87"/>
      <c r="C116" s="87">
        <v>3</v>
      </c>
      <c r="D116" s="87" t="s">
        <v>88</v>
      </c>
      <c r="E116" s="16">
        <v>1.03</v>
      </c>
      <c r="I116" s="87"/>
      <c r="J116" s="16"/>
    </row>
    <row r="117" spans="1:10">
      <c r="A117" s="87"/>
      <c r="B117" s="87"/>
      <c r="C117" s="87">
        <v>4</v>
      </c>
      <c r="D117" s="87" t="s">
        <v>83</v>
      </c>
      <c r="E117" s="16">
        <v>1.1000000000000001</v>
      </c>
      <c r="F117" s="16">
        <f>AVERAGE(E117:E121)</f>
        <v>0.94800000000000006</v>
      </c>
      <c r="I117" s="87"/>
      <c r="J117" s="16"/>
    </row>
    <row r="118" spans="1:10">
      <c r="A118" s="87"/>
      <c r="B118" s="87"/>
      <c r="C118" s="87">
        <v>4</v>
      </c>
      <c r="D118" s="87" t="s">
        <v>85</v>
      </c>
      <c r="E118" s="16">
        <v>0.82</v>
      </c>
      <c r="I118" s="87"/>
      <c r="J118" s="16"/>
    </row>
    <row r="119" spans="1:10">
      <c r="A119" s="87"/>
      <c r="B119" s="87"/>
      <c r="C119" s="87">
        <v>4</v>
      </c>
      <c r="D119" s="87" t="s">
        <v>87</v>
      </c>
      <c r="E119" s="16">
        <v>1</v>
      </c>
      <c r="I119" s="87"/>
      <c r="J119" s="16"/>
    </row>
    <row r="120" spans="1:10">
      <c r="A120" s="87"/>
      <c r="B120" s="87"/>
      <c r="C120" s="87">
        <v>4</v>
      </c>
      <c r="D120" s="87" t="s">
        <v>79</v>
      </c>
      <c r="E120" s="16">
        <v>0.84</v>
      </c>
      <c r="I120" s="87"/>
      <c r="J120" s="16"/>
    </row>
    <row r="121" spans="1:10">
      <c r="A121" s="87"/>
      <c r="B121" s="87"/>
      <c r="C121" s="87">
        <v>4</v>
      </c>
      <c r="D121" s="87" t="s">
        <v>88</v>
      </c>
      <c r="E121" s="16">
        <v>0.98</v>
      </c>
      <c r="I121" s="87"/>
      <c r="J121" s="16"/>
    </row>
    <row r="122" spans="1:10">
      <c r="A122" s="87" t="s">
        <v>78</v>
      </c>
      <c r="B122" s="87" t="s">
        <v>105</v>
      </c>
      <c r="C122" s="87">
        <v>1</v>
      </c>
      <c r="D122" s="87" t="s">
        <v>83</v>
      </c>
      <c r="E122" s="16">
        <v>1.67</v>
      </c>
      <c r="F122" s="16">
        <f>AVERAGE(E122:E126)</f>
        <v>3.1059999999999999</v>
      </c>
      <c r="I122" s="87"/>
      <c r="J122" s="16"/>
    </row>
    <row r="123" spans="1:10">
      <c r="A123" s="87"/>
      <c r="B123" s="87"/>
      <c r="C123" s="87">
        <v>1</v>
      </c>
      <c r="D123" s="87" t="s">
        <v>85</v>
      </c>
      <c r="E123" s="16">
        <v>1.76</v>
      </c>
      <c r="I123" s="87"/>
      <c r="J123" s="16"/>
    </row>
    <row r="124" spans="1:10">
      <c r="A124" s="87"/>
      <c r="B124" s="87"/>
      <c r="C124" s="87">
        <v>1</v>
      </c>
      <c r="D124" s="87" t="s">
        <v>87</v>
      </c>
      <c r="E124" s="16">
        <v>10.6</v>
      </c>
      <c r="H124" s="16" t="s">
        <v>238</v>
      </c>
      <c r="I124" s="87"/>
      <c r="J124" s="16"/>
    </row>
    <row r="125" spans="1:10">
      <c r="A125" s="87"/>
      <c r="B125" s="87"/>
      <c r="C125" s="87">
        <v>1</v>
      </c>
      <c r="D125" s="87" t="s">
        <v>79</v>
      </c>
      <c r="E125" s="16">
        <v>0.94</v>
      </c>
      <c r="I125" s="87"/>
      <c r="J125" s="16"/>
    </row>
    <row r="126" spans="1:10">
      <c r="A126" s="87"/>
      <c r="B126" s="87"/>
      <c r="C126" s="87">
        <v>1</v>
      </c>
      <c r="D126" s="87" t="s">
        <v>88</v>
      </c>
      <c r="E126" s="16">
        <v>0.56000000000000005</v>
      </c>
      <c r="I126" s="87"/>
      <c r="J126" s="16"/>
    </row>
    <row r="127" spans="1:10">
      <c r="A127" s="87"/>
      <c r="B127" s="87"/>
      <c r="C127" s="87">
        <v>2</v>
      </c>
      <c r="D127" s="87" t="s">
        <v>83</v>
      </c>
      <c r="E127" s="16">
        <v>3.05</v>
      </c>
      <c r="F127" s="16">
        <f>AVERAGE(E127:E131)</f>
        <v>1.8619999999999997</v>
      </c>
      <c r="I127" s="87"/>
      <c r="J127" s="16"/>
    </row>
    <row r="128" spans="1:10">
      <c r="A128" s="87"/>
      <c r="B128" s="87"/>
      <c r="C128" s="87">
        <v>2</v>
      </c>
      <c r="D128" s="87" t="s">
        <v>85</v>
      </c>
      <c r="E128" s="16">
        <v>1.74</v>
      </c>
      <c r="H128" s="16" t="s">
        <v>240</v>
      </c>
      <c r="I128" s="87"/>
      <c r="J128" s="16"/>
    </row>
    <row r="129" spans="1:10">
      <c r="A129" s="87"/>
      <c r="B129" s="87"/>
      <c r="C129" s="87">
        <v>2</v>
      </c>
      <c r="D129" s="87" t="s">
        <v>87</v>
      </c>
      <c r="E129" s="16">
        <v>1.1399999999999999</v>
      </c>
      <c r="I129" s="87"/>
      <c r="J129" s="16"/>
    </row>
    <row r="130" spans="1:10">
      <c r="A130" s="87"/>
      <c r="B130" s="87"/>
      <c r="C130" s="87">
        <v>2</v>
      </c>
      <c r="D130" s="87" t="s">
        <v>79</v>
      </c>
      <c r="E130" s="16">
        <v>1.52</v>
      </c>
      <c r="I130" s="87"/>
      <c r="J130" s="16"/>
    </row>
    <row r="131" spans="1:10">
      <c r="A131" s="87"/>
      <c r="B131" s="87"/>
      <c r="C131" s="87">
        <v>2</v>
      </c>
      <c r="D131" s="87" t="s">
        <v>88</v>
      </c>
      <c r="E131" s="16">
        <v>1.86</v>
      </c>
      <c r="I131" s="87"/>
      <c r="J131" s="16"/>
    </row>
    <row r="132" spans="1:10">
      <c r="A132" s="87"/>
      <c r="B132" s="87"/>
      <c r="C132" s="87">
        <v>3</v>
      </c>
      <c r="D132" s="87" t="s">
        <v>83</v>
      </c>
      <c r="E132" s="16">
        <v>1.6</v>
      </c>
      <c r="F132" s="16">
        <f>AVERAGE(E132:E136)</f>
        <v>1.458</v>
      </c>
      <c r="I132" s="87"/>
      <c r="J132" s="16"/>
    </row>
    <row r="133" spans="1:10">
      <c r="A133" s="87"/>
      <c r="B133" s="87"/>
      <c r="C133" s="87">
        <v>3</v>
      </c>
      <c r="D133" s="87" t="s">
        <v>85</v>
      </c>
      <c r="E133" s="16">
        <v>0.98</v>
      </c>
      <c r="I133" s="87"/>
      <c r="J133" s="16"/>
    </row>
    <row r="134" spans="1:10">
      <c r="A134" s="87"/>
      <c r="B134" s="87"/>
      <c r="C134" s="87">
        <v>3</v>
      </c>
      <c r="D134" s="87" t="s">
        <v>87</v>
      </c>
      <c r="E134" s="16">
        <v>2.12</v>
      </c>
      <c r="I134" s="87"/>
      <c r="J134" s="16"/>
    </row>
    <row r="135" spans="1:10">
      <c r="A135" s="87"/>
      <c r="B135" s="87"/>
      <c r="C135" s="87">
        <v>3</v>
      </c>
      <c r="D135" s="87" t="s">
        <v>79</v>
      </c>
      <c r="E135" s="16">
        <v>1.26</v>
      </c>
      <c r="I135" s="87"/>
      <c r="J135" s="16"/>
    </row>
    <row r="136" spans="1:10">
      <c r="A136" s="87"/>
      <c r="B136" s="87"/>
      <c r="C136" s="87">
        <v>3</v>
      </c>
      <c r="D136" s="87" t="s">
        <v>88</v>
      </c>
      <c r="E136" s="16">
        <v>1.33</v>
      </c>
      <c r="I136" s="87"/>
      <c r="J136" s="16"/>
    </row>
    <row r="137" spans="1:10">
      <c r="A137" s="87"/>
      <c r="B137" s="87"/>
      <c r="C137" s="87">
        <v>4</v>
      </c>
      <c r="D137" s="87" t="s">
        <v>83</v>
      </c>
      <c r="E137" s="16">
        <v>0.71</v>
      </c>
      <c r="F137" s="16">
        <f>AVERAGE(E137:E141)</f>
        <v>1.2739999999999998</v>
      </c>
      <c r="I137" s="87"/>
      <c r="J137" s="16"/>
    </row>
    <row r="138" spans="1:10">
      <c r="A138" s="87"/>
      <c r="B138" s="87"/>
      <c r="C138" s="87">
        <v>4</v>
      </c>
      <c r="D138" s="87" t="s">
        <v>85</v>
      </c>
      <c r="E138" s="16">
        <v>1.63</v>
      </c>
      <c r="I138" s="87"/>
      <c r="J138" s="16"/>
    </row>
    <row r="139" spans="1:10">
      <c r="A139" s="87"/>
      <c r="B139" s="87"/>
      <c r="C139" s="87">
        <v>4</v>
      </c>
      <c r="D139" s="87" t="s">
        <v>87</v>
      </c>
      <c r="E139" s="16">
        <v>1.47</v>
      </c>
      <c r="I139" s="87"/>
      <c r="J139" s="16"/>
    </row>
    <row r="140" spans="1:10">
      <c r="A140" s="87"/>
      <c r="B140" s="87"/>
      <c r="C140" s="87">
        <v>4</v>
      </c>
      <c r="D140" s="87" t="s">
        <v>79</v>
      </c>
      <c r="E140" s="16">
        <v>0.84</v>
      </c>
      <c r="I140" s="87"/>
      <c r="J140" s="16"/>
    </row>
    <row r="141" spans="1:10">
      <c r="A141" s="87"/>
      <c r="B141" s="87"/>
      <c r="C141" s="87">
        <v>4</v>
      </c>
      <c r="D141" s="87" t="s">
        <v>88</v>
      </c>
      <c r="E141" s="16">
        <v>1.72</v>
      </c>
      <c r="I141" s="87"/>
      <c r="J141" s="16"/>
    </row>
    <row r="142" spans="1:10">
      <c r="A142" s="87" t="s">
        <v>106</v>
      </c>
      <c r="B142" s="87" t="s">
        <v>107</v>
      </c>
      <c r="C142" s="87">
        <v>1</v>
      </c>
      <c r="D142" s="87" t="s">
        <v>83</v>
      </c>
      <c r="E142" s="16">
        <v>1.34</v>
      </c>
      <c r="F142" s="16">
        <f>AVERAGE(E142:E146)</f>
        <v>2.516</v>
      </c>
      <c r="I142" s="87"/>
      <c r="J142" s="16"/>
    </row>
    <row r="143" spans="1:10">
      <c r="A143" s="87"/>
      <c r="B143" s="87"/>
      <c r="C143" s="87">
        <v>1</v>
      </c>
      <c r="D143" s="87" t="s">
        <v>108</v>
      </c>
      <c r="E143" s="16">
        <v>1.17</v>
      </c>
      <c r="I143" s="87"/>
      <c r="J143" s="16"/>
    </row>
    <row r="144" spans="1:10">
      <c r="A144" s="87"/>
      <c r="B144" s="87"/>
      <c r="C144" s="87">
        <v>1</v>
      </c>
      <c r="D144" s="87" t="s">
        <v>109</v>
      </c>
      <c r="E144" s="16">
        <v>2.91</v>
      </c>
      <c r="I144" s="87"/>
      <c r="J144" s="16"/>
    </row>
    <row r="145" spans="1:10">
      <c r="A145" s="87"/>
      <c r="B145" s="87"/>
      <c r="C145" s="87">
        <v>1</v>
      </c>
      <c r="D145" s="87" t="s">
        <v>87</v>
      </c>
      <c r="E145" s="16">
        <v>2.59</v>
      </c>
      <c r="I145" s="87"/>
      <c r="J145" s="16"/>
    </row>
    <row r="146" spans="1:10">
      <c r="A146" s="87"/>
      <c r="B146" s="87"/>
      <c r="C146" s="87">
        <v>1</v>
      </c>
      <c r="D146" s="87" t="s">
        <v>79</v>
      </c>
      <c r="E146" s="16">
        <v>4.57</v>
      </c>
      <c r="I146" s="87"/>
      <c r="J146" s="16"/>
    </row>
    <row r="147" spans="1:10">
      <c r="A147" s="87"/>
      <c r="B147" s="87"/>
      <c r="C147" s="87">
        <v>2</v>
      </c>
      <c r="D147" s="87" t="s">
        <v>83</v>
      </c>
      <c r="E147" s="16">
        <v>1.23</v>
      </c>
      <c r="F147" s="16">
        <f>AVERAGE(E147:E151)</f>
        <v>3.1300000000000003</v>
      </c>
      <c r="H147" s="16" t="s">
        <v>277</v>
      </c>
      <c r="I147" s="87"/>
      <c r="J147" s="16"/>
    </row>
    <row r="148" spans="1:10">
      <c r="A148" s="87"/>
      <c r="B148" s="87"/>
      <c r="C148" s="87">
        <v>2</v>
      </c>
      <c r="D148" s="87" t="s">
        <v>108</v>
      </c>
      <c r="E148" s="16">
        <v>4.83</v>
      </c>
      <c r="I148" s="87"/>
      <c r="J148" s="16"/>
    </row>
    <row r="149" spans="1:10">
      <c r="A149" s="87"/>
      <c r="B149" s="87"/>
      <c r="C149" s="87">
        <v>2</v>
      </c>
      <c r="D149" s="87" t="s">
        <v>109</v>
      </c>
      <c r="E149" s="16">
        <v>2.17</v>
      </c>
      <c r="I149" s="87"/>
      <c r="J149" s="16"/>
    </row>
    <row r="150" spans="1:10">
      <c r="A150" s="87"/>
      <c r="B150" s="87"/>
      <c r="C150" s="87">
        <v>2</v>
      </c>
      <c r="D150" s="87" t="s">
        <v>87</v>
      </c>
      <c r="E150" s="16">
        <v>2.56</v>
      </c>
      <c r="I150" s="87"/>
      <c r="J150" s="16"/>
    </row>
    <row r="151" spans="1:10">
      <c r="A151" s="87"/>
      <c r="B151" s="87"/>
      <c r="C151" s="87">
        <v>2</v>
      </c>
      <c r="D151" s="87" t="s">
        <v>79</v>
      </c>
      <c r="E151" s="16">
        <v>4.8600000000000003</v>
      </c>
      <c r="H151" s="16" t="s">
        <v>278</v>
      </c>
      <c r="I151" s="87"/>
      <c r="J151" s="16"/>
    </row>
    <row r="152" spans="1:10">
      <c r="A152" s="87"/>
      <c r="B152" s="87"/>
      <c r="C152" s="87">
        <v>3</v>
      </c>
      <c r="D152" s="87" t="s">
        <v>83</v>
      </c>
      <c r="E152" s="16">
        <v>1.88</v>
      </c>
      <c r="F152" s="16">
        <f>AVERAGE(E152:E156)</f>
        <v>1.9560000000000002</v>
      </c>
      <c r="H152" s="16" t="s">
        <v>277</v>
      </c>
      <c r="I152" s="87"/>
      <c r="J152" s="16"/>
    </row>
    <row r="153" spans="1:10">
      <c r="A153" s="87"/>
      <c r="B153" s="87"/>
      <c r="C153" s="87">
        <v>3</v>
      </c>
      <c r="D153" s="87" t="s">
        <v>108</v>
      </c>
      <c r="E153" s="16">
        <v>1.1100000000000001</v>
      </c>
      <c r="I153" s="87"/>
      <c r="J153" s="16"/>
    </row>
    <row r="154" spans="1:10">
      <c r="A154" s="87"/>
      <c r="B154" s="87"/>
      <c r="C154" s="87">
        <v>3</v>
      </c>
      <c r="D154" s="87" t="s">
        <v>109</v>
      </c>
      <c r="E154" s="16">
        <v>2.16</v>
      </c>
      <c r="I154" s="87"/>
      <c r="J154" s="16"/>
    </row>
    <row r="155" spans="1:10">
      <c r="A155" s="87"/>
      <c r="B155" s="87"/>
      <c r="C155" s="87">
        <v>3</v>
      </c>
      <c r="D155" s="87" t="s">
        <v>87</v>
      </c>
      <c r="E155" s="16">
        <v>1.79</v>
      </c>
      <c r="F155" s="16"/>
      <c r="G155" s="16">
        <v>133</v>
      </c>
      <c r="I155" s="87"/>
      <c r="J155" s="16"/>
    </row>
    <row r="156" spans="1:10">
      <c r="A156" s="87"/>
      <c r="B156" s="87"/>
      <c r="C156" s="87">
        <v>3</v>
      </c>
      <c r="D156" s="87" t="s">
        <v>79</v>
      </c>
      <c r="E156" s="16">
        <v>2.84</v>
      </c>
      <c r="I156" s="87"/>
      <c r="J156" s="16"/>
    </row>
    <row r="157" spans="1:10">
      <c r="A157" s="87"/>
      <c r="B157" s="87"/>
      <c r="C157" s="87">
        <v>4</v>
      </c>
      <c r="D157" s="87" t="s">
        <v>83</v>
      </c>
      <c r="E157" s="16">
        <v>2.29</v>
      </c>
      <c r="F157" s="16">
        <f>AVERAGE(E157:E161)</f>
        <v>1.7120000000000002</v>
      </c>
      <c r="H157" s="16" t="s">
        <v>279</v>
      </c>
      <c r="I157" s="87"/>
      <c r="J157" s="16"/>
    </row>
    <row r="158" spans="1:10">
      <c r="A158" s="87"/>
      <c r="B158" s="87"/>
      <c r="C158" s="87">
        <v>4</v>
      </c>
      <c r="D158" s="87" t="s">
        <v>108</v>
      </c>
      <c r="E158" s="16">
        <v>1.98</v>
      </c>
      <c r="I158" s="87"/>
      <c r="J158" s="16"/>
    </row>
    <row r="159" spans="1:10">
      <c r="A159" s="87"/>
      <c r="B159" s="87"/>
      <c r="C159" s="87">
        <v>4</v>
      </c>
      <c r="D159" s="87" t="s">
        <v>109</v>
      </c>
      <c r="E159" s="16">
        <v>0.86</v>
      </c>
      <c r="I159" s="87"/>
      <c r="J159" s="16"/>
    </row>
    <row r="160" spans="1:10">
      <c r="A160" s="87"/>
      <c r="B160" s="87"/>
      <c r="C160" s="87">
        <v>4</v>
      </c>
      <c r="D160" s="87" t="s">
        <v>87</v>
      </c>
      <c r="E160" s="16">
        <v>1.61</v>
      </c>
      <c r="H160" s="16" t="s">
        <v>280</v>
      </c>
      <c r="I160" s="87"/>
      <c r="J160" s="16"/>
    </row>
    <row r="161" spans="1:10">
      <c r="A161" s="87"/>
      <c r="B161" s="87"/>
      <c r="C161" s="87">
        <v>4</v>
      </c>
      <c r="D161" s="87" t="s">
        <v>79</v>
      </c>
      <c r="E161" s="16">
        <v>1.82</v>
      </c>
      <c r="I161" s="87"/>
      <c r="J161" s="16"/>
    </row>
    <row r="162" spans="1:10">
      <c r="A162" s="87" t="s">
        <v>106</v>
      </c>
      <c r="B162" s="87" t="s">
        <v>110</v>
      </c>
      <c r="C162" s="87">
        <v>1</v>
      </c>
      <c r="D162" s="87" t="s">
        <v>83</v>
      </c>
      <c r="E162" s="16">
        <v>0.48</v>
      </c>
      <c r="F162" s="16">
        <f>AVERAGE(E162:E166)</f>
        <v>0.79800000000000004</v>
      </c>
      <c r="I162" s="87"/>
      <c r="J162" s="16"/>
    </row>
    <row r="163" spans="1:10">
      <c r="A163" s="87"/>
      <c r="B163" s="87"/>
      <c r="C163" s="87">
        <v>1</v>
      </c>
      <c r="D163" s="87" t="s">
        <v>85</v>
      </c>
      <c r="E163" s="16">
        <v>1.24</v>
      </c>
      <c r="I163" s="87"/>
      <c r="J163" s="16"/>
    </row>
    <row r="164" spans="1:10">
      <c r="A164" s="87"/>
      <c r="B164" s="87"/>
      <c r="C164" s="87">
        <v>1</v>
      </c>
      <c r="D164" s="86" t="s">
        <v>87</v>
      </c>
      <c r="E164" s="16">
        <v>0.5</v>
      </c>
      <c r="I164" s="86"/>
      <c r="J164" s="16"/>
    </row>
    <row r="165" spans="1:10">
      <c r="A165" s="87"/>
      <c r="B165" s="87"/>
      <c r="C165" s="87">
        <v>1</v>
      </c>
      <c r="D165" s="86" t="s">
        <v>79</v>
      </c>
      <c r="E165" s="16">
        <v>0.53</v>
      </c>
      <c r="I165" s="86"/>
      <c r="J165" s="16"/>
    </row>
    <row r="166" spans="1:10">
      <c r="A166" s="87"/>
      <c r="B166" s="87"/>
      <c r="C166" s="87">
        <v>1</v>
      </c>
      <c r="D166" s="86" t="s">
        <v>88</v>
      </c>
      <c r="E166" s="16">
        <v>1.24</v>
      </c>
      <c r="I166" s="86"/>
      <c r="J166" s="16"/>
    </row>
    <row r="167" spans="1:10">
      <c r="A167" s="87"/>
      <c r="B167" s="87"/>
      <c r="C167" s="87">
        <v>2</v>
      </c>
      <c r="D167" s="87" t="s">
        <v>83</v>
      </c>
      <c r="E167" s="16" t="s">
        <v>281</v>
      </c>
      <c r="F167" s="16">
        <f>AVERAGE(E167:E171)</f>
        <v>1.2275</v>
      </c>
      <c r="I167" s="87"/>
      <c r="J167" s="16"/>
    </row>
    <row r="168" spans="1:10">
      <c r="A168" s="87"/>
      <c r="B168" s="87"/>
      <c r="C168" s="87">
        <v>2</v>
      </c>
      <c r="D168" s="87" t="s">
        <v>85</v>
      </c>
      <c r="E168" s="16">
        <v>0.7</v>
      </c>
      <c r="I168" s="87"/>
      <c r="J168" s="16"/>
    </row>
    <row r="169" spans="1:10">
      <c r="A169" s="87"/>
      <c r="B169" s="87"/>
      <c r="C169" s="87">
        <v>2</v>
      </c>
      <c r="D169" s="87" t="s">
        <v>87</v>
      </c>
      <c r="E169" s="16">
        <v>2.0299999999999998</v>
      </c>
      <c r="F169" s="16"/>
      <c r="G169" s="16">
        <v>3</v>
      </c>
      <c r="I169" s="87"/>
      <c r="J169" s="16"/>
    </row>
    <row r="170" spans="1:10">
      <c r="A170" s="87"/>
      <c r="B170" s="87"/>
      <c r="C170" s="87">
        <v>2</v>
      </c>
      <c r="D170" s="87" t="s">
        <v>79</v>
      </c>
      <c r="E170" s="16">
        <v>1.03</v>
      </c>
      <c r="I170" s="87"/>
      <c r="J170" s="16"/>
    </row>
    <row r="171" spans="1:10">
      <c r="A171" s="87"/>
      <c r="B171" s="87"/>
      <c r="C171" s="87">
        <v>2</v>
      </c>
      <c r="D171" s="87" t="s">
        <v>88</v>
      </c>
      <c r="E171" s="16">
        <v>1.1499999999999999</v>
      </c>
      <c r="F171" s="16"/>
      <c r="G171" s="16">
        <v>1</v>
      </c>
      <c r="I171" s="87"/>
      <c r="J171" s="16"/>
    </row>
    <row r="172" spans="1:10">
      <c r="A172" s="87"/>
      <c r="B172" s="87"/>
      <c r="C172" s="87">
        <v>3</v>
      </c>
      <c r="D172" s="87" t="s">
        <v>83</v>
      </c>
      <c r="E172" s="16">
        <v>1.45</v>
      </c>
      <c r="F172" s="16">
        <f>AVERAGE(E172:E176)</f>
        <v>1.0059999999999998</v>
      </c>
      <c r="H172" s="16" t="s">
        <v>282</v>
      </c>
      <c r="I172" s="87"/>
      <c r="J172" s="16"/>
    </row>
    <row r="173" spans="1:10">
      <c r="A173" s="87"/>
      <c r="B173" s="87"/>
      <c r="C173" s="87">
        <v>3</v>
      </c>
      <c r="D173" s="87" t="s">
        <v>85</v>
      </c>
      <c r="E173" s="16">
        <v>0.95</v>
      </c>
      <c r="I173" s="87"/>
      <c r="J173" s="16"/>
    </row>
    <row r="174" spans="1:10">
      <c r="A174" s="87"/>
      <c r="B174" s="87"/>
      <c r="C174" s="87">
        <v>3</v>
      </c>
      <c r="D174" s="86" t="s">
        <v>87</v>
      </c>
      <c r="E174" s="16">
        <v>0.68</v>
      </c>
      <c r="I174" s="86"/>
      <c r="J174" s="16"/>
    </row>
    <row r="175" spans="1:10">
      <c r="A175" s="87"/>
      <c r="B175" s="87"/>
      <c r="C175" s="87">
        <v>3</v>
      </c>
      <c r="D175" s="87" t="s">
        <v>79</v>
      </c>
      <c r="E175" s="16">
        <v>0.97</v>
      </c>
      <c r="H175" s="16" t="s">
        <v>283</v>
      </c>
      <c r="I175" s="87"/>
      <c r="J175" s="16"/>
    </row>
    <row r="176" spans="1:10">
      <c r="A176" s="87"/>
      <c r="B176" s="87"/>
      <c r="C176" s="87">
        <v>3</v>
      </c>
      <c r="D176" s="87" t="s">
        <v>88</v>
      </c>
      <c r="E176" s="16">
        <v>0.98</v>
      </c>
      <c r="I176" s="87"/>
      <c r="J176" s="16"/>
    </row>
    <row r="177" spans="1:10">
      <c r="A177" s="87"/>
      <c r="B177" s="87"/>
      <c r="C177" s="87">
        <v>4</v>
      </c>
      <c r="D177" s="87" t="s">
        <v>83</v>
      </c>
      <c r="E177" s="16">
        <v>0.8</v>
      </c>
      <c r="F177" s="16">
        <f>AVERAGE(E177:E181)</f>
        <v>2.1599999999999997</v>
      </c>
      <c r="I177" s="87"/>
      <c r="J177" s="16"/>
    </row>
    <row r="178" spans="1:10">
      <c r="A178" s="87"/>
      <c r="B178" s="87"/>
      <c r="C178" s="87">
        <v>4</v>
      </c>
      <c r="D178" s="87" t="s">
        <v>85</v>
      </c>
      <c r="E178" s="16">
        <v>2.12</v>
      </c>
      <c r="I178" s="87"/>
      <c r="J178" s="16"/>
    </row>
    <row r="179" spans="1:10">
      <c r="A179" s="87"/>
      <c r="B179" s="87"/>
      <c r="C179" s="87">
        <v>4</v>
      </c>
      <c r="D179" s="87" t="s">
        <v>87</v>
      </c>
      <c r="E179" s="16">
        <v>3.09</v>
      </c>
      <c r="I179" s="87"/>
      <c r="J179" s="16"/>
    </row>
    <row r="180" spans="1:10">
      <c r="A180" s="87"/>
      <c r="B180" s="87"/>
      <c r="C180" s="87">
        <v>4</v>
      </c>
      <c r="D180" s="87" t="s">
        <v>79</v>
      </c>
      <c r="E180" s="16">
        <v>3.53</v>
      </c>
      <c r="H180" s="16" t="s">
        <v>284</v>
      </c>
      <c r="I180" s="87"/>
      <c r="J180" s="16"/>
    </row>
    <row r="181" spans="1:10">
      <c r="A181" s="87"/>
      <c r="B181" s="87"/>
      <c r="C181" s="87">
        <v>4</v>
      </c>
      <c r="D181" s="86" t="s">
        <v>88</v>
      </c>
      <c r="E181" s="16">
        <v>1.26</v>
      </c>
      <c r="I181" s="86"/>
      <c r="J181" s="16"/>
    </row>
    <row r="182" spans="1:10">
      <c r="A182" s="87" t="s">
        <v>112</v>
      </c>
      <c r="B182" s="87" t="s">
        <v>113</v>
      </c>
      <c r="C182" s="87">
        <v>1</v>
      </c>
      <c r="D182" s="87" t="s">
        <v>83</v>
      </c>
      <c r="E182" s="16">
        <v>0.57999999999999996</v>
      </c>
      <c r="F182" s="16">
        <f>AVERAGE(E182:E186)</f>
        <v>0.90999999999999992</v>
      </c>
      <c r="I182" s="87"/>
      <c r="J182" s="16"/>
    </row>
    <row r="183" spans="1:10">
      <c r="A183" s="87"/>
      <c r="B183" s="87"/>
      <c r="C183" s="87">
        <v>1</v>
      </c>
      <c r="D183" s="87" t="s">
        <v>108</v>
      </c>
      <c r="E183" s="16">
        <v>1.71</v>
      </c>
      <c r="I183" s="87"/>
      <c r="J183" s="16"/>
    </row>
    <row r="184" spans="1:10">
      <c r="A184" s="87"/>
      <c r="B184" s="87"/>
      <c r="C184" s="87">
        <v>1</v>
      </c>
      <c r="D184" s="87" t="s">
        <v>109</v>
      </c>
      <c r="E184" s="16" t="s">
        <v>285</v>
      </c>
      <c r="I184" s="87"/>
      <c r="J184" s="16"/>
    </row>
    <row r="185" spans="1:10">
      <c r="A185" s="87"/>
      <c r="B185" s="87"/>
      <c r="C185" s="87">
        <v>1</v>
      </c>
      <c r="D185" s="87" t="s">
        <v>87</v>
      </c>
      <c r="E185" s="16">
        <v>0.82</v>
      </c>
      <c r="H185" s="16" t="s">
        <v>286</v>
      </c>
      <c r="I185" s="87"/>
      <c r="J185" s="16"/>
    </row>
    <row r="186" spans="1:10">
      <c r="A186" s="87"/>
      <c r="B186" s="87"/>
      <c r="C186" s="87">
        <v>1</v>
      </c>
      <c r="D186" s="86" t="s">
        <v>287</v>
      </c>
      <c r="E186" s="16">
        <v>0.53</v>
      </c>
      <c r="H186" s="16" t="s">
        <v>288</v>
      </c>
      <c r="I186" s="86"/>
      <c r="J186" s="16"/>
    </row>
    <row r="187" spans="1:10">
      <c r="A187" s="87"/>
      <c r="B187" s="87"/>
      <c r="C187" s="87">
        <v>2</v>
      </c>
      <c r="D187" s="87" t="s">
        <v>83</v>
      </c>
      <c r="E187" s="16">
        <v>0.95</v>
      </c>
      <c r="F187" s="16">
        <f>AVERAGE(E187:E191)</f>
        <v>0.95</v>
      </c>
      <c r="I187" s="87"/>
      <c r="J187" s="16"/>
    </row>
    <row r="188" spans="1:10">
      <c r="A188" s="87"/>
      <c r="B188" s="87"/>
      <c r="C188" s="87">
        <v>2</v>
      </c>
      <c r="D188" s="87" t="s">
        <v>108</v>
      </c>
      <c r="E188" s="16">
        <v>0.52</v>
      </c>
      <c r="I188" s="87"/>
      <c r="J188" s="16"/>
    </row>
    <row r="189" spans="1:10">
      <c r="A189" s="87"/>
      <c r="B189" s="87"/>
      <c r="C189" s="87">
        <v>2</v>
      </c>
      <c r="D189" s="87" t="s">
        <v>109</v>
      </c>
      <c r="E189" s="16">
        <v>1.67</v>
      </c>
      <c r="I189" s="87"/>
      <c r="J189" s="16"/>
    </row>
    <row r="190" spans="1:10">
      <c r="A190" s="87"/>
      <c r="B190" s="87"/>
      <c r="C190" s="87">
        <v>2</v>
      </c>
      <c r="D190" s="87" t="s">
        <v>87</v>
      </c>
      <c r="E190" s="16">
        <v>0.52</v>
      </c>
      <c r="I190" s="87"/>
      <c r="J190" s="16"/>
    </row>
    <row r="191" spans="1:10">
      <c r="A191" s="87"/>
      <c r="B191" s="87"/>
      <c r="C191" s="87">
        <v>2</v>
      </c>
      <c r="D191" s="86" t="s">
        <v>287</v>
      </c>
      <c r="E191" s="16">
        <v>1.0900000000000001</v>
      </c>
      <c r="I191" s="86"/>
      <c r="J191" s="16"/>
    </row>
    <row r="192" spans="1:10">
      <c r="A192" s="87"/>
      <c r="B192" s="87"/>
      <c r="C192" s="87">
        <v>3</v>
      </c>
      <c r="D192" s="87" t="s">
        <v>83</v>
      </c>
      <c r="E192" s="16">
        <v>1.48</v>
      </c>
      <c r="F192" s="16">
        <f>AVERAGE(E192:E196)</f>
        <v>1.0660000000000001</v>
      </c>
      <c r="I192" s="87"/>
      <c r="J192" s="16"/>
    </row>
    <row r="193" spans="1:10">
      <c r="A193" s="87"/>
      <c r="B193" s="87"/>
      <c r="C193" s="87">
        <v>3</v>
      </c>
      <c r="D193" s="87" t="s">
        <v>108</v>
      </c>
      <c r="E193" s="16">
        <v>1.68</v>
      </c>
      <c r="I193" s="87"/>
      <c r="J193" s="16"/>
    </row>
    <row r="194" spans="1:10">
      <c r="A194" s="87"/>
      <c r="B194" s="87"/>
      <c r="C194" s="87">
        <v>3</v>
      </c>
      <c r="D194" s="87" t="s">
        <v>109</v>
      </c>
      <c r="E194" s="16">
        <v>0.7</v>
      </c>
      <c r="I194" s="87"/>
      <c r="J194" s="16"/>
    </row>
    <row r="195" spans="1:10">
      <c r="A195" s="87"/>
      <c r="B195" s="87"/>
      <c r="C195" s="87">
        <v>3</v>
      </c>
      <c r="D195" s="87" t="s">
        <v>87</v>
      </c>
      <c r="E195" s="16">
        <v>0.57999999999999996</v>
      </c>
      <c r="I195" s="87"/>
      <c r="J195" s="16"/>
    </row>
    <row r="196" spans="1:10">
      <c r="A196" s="87"/>
      <c r="B196" s="87"/>
      <c r="C196" s="87">
        <v>3</v>
      </c>
      <c r="D196" s="86" t="s">
        <v>287</v>
      </c>
      <c r="E196" s="16">
        <v>0.89</v>
      </c>
      <c r="H196" s="16" t="s">
        <v>286</v>
      </c>
      <c r="I196" s="86"/>
      <c r="J196" s="16"/>
    </row>
    <row r="197" spans="1:10">
      <c r="A197" s="87"/>
      <c r="B197" s="87"/>
      <c r="C197" s="87">
        <v>4</v>
      </c>
      <c r="D197" s="87" t="s">
        <v>83</v>
      </c>
      <c r="E197" s="16">
        <v>1.31</v>
      </c>
      <c r="F197" s="16">
        <f>AVERAGE(E197:E201)</f>
        <v>1.3479999999999999</v>
      </c>
      <c r="I197" s="87"/>
      <c r="J197" s="16"/>
    </row>
    <row r="198" spans="1:10">
      <c r="A198" s="87"/>
      <c r="B198" s="87"/>
      <c r="C198" s="87">
        <v>4</v>
      </c>
      <c r="D198" s="87" t="s">
        <v>108</v>
      </c>
      <c r="E198" s="16">
        <v>0.87</v>
      </c>
      <c r="I198" s="87"/>
      <c r="J198" s="16"/>
    </row>
    <row r="199" spans="1:10">
      <c r="A199" s="87"/>
      <c r="B199" s="87"/>
      <c r="C199" s="87">
        <v>4</v>
      </c>
      <c r="D199" s="87" t="s">
        <v>109</v>
      </c>
      <c r="E199" s="16">
        <v>0.53</v>
      </c>
      <c r="H199" s="16" t="s">
        <v>286</v>
      </c>
      <c r="I199" s="87"/>
      <c r="J199" s="16"/>
    </row>
    <row r="200" spans="1:10">
      <c r="A200" s="121"/>
      <c r="B200" s="121"/>
      <c r="C200" s="121">
        <v>4</v>
      </c>
      <c r="D200" s="121" t="s">
        <v>87</v>
      </c>
      <c r="E200" s="16">
        <v>2.31</v>
      </c>
      <c r="I200" s="121"/>
      <c r="J200" s="16"/>
    </row>
    <row r="201" spans="1:10">
      <c r="A201" s="87"/>
      <c r="B201" s="87"/>
      <c r="C201" s="87">
        <v>4</v>
      </c>
      <c r="D201" s="86" t="s">
        <v>287</v>
      </c>
      <c r="E201" s="16">
        <v>1.72</v>
      </c>
      <c r="H201" s="16" t="s">
        <v>288</v>
      </c>
      <c r="I201" s="86"/>
      <c r="J201" s="16"/>
    </row>
    <row r="202" spans="1:10">
      <c r="A202" s="87" t="s">
        <v>112</v>
      </c>
      <c r="B202" s="87" t="s">
        <v>115</v>
      </c>
      <c r="C202" s="87">
        <v>1</v>
      </c>
      <c r="D202" s="87" t="s">
        <v>83</v>
      </c>
      <c r="E202" s="16">
        <v>0.19</v>
      </c>
      <c r="F202" s="16">
        <f>AVERAGE(E202:E206)</f>
        <v>0.78599999999999992</v>
      </c>
      <c r="I202" s="87"/>
      <c r="J202" s="16"/>
    </row>
    <row r="203" spans="1:10">
      <c r="A203" s="87"/>
      <c r="B203" s="87"/>
      <c r="C203" s="87">
        <v>1</v>
      </c>
      <c r="D203" s="87" t="s">
        <v>85</v>
      </c>
      <c r="E203" s="16">
        <v>1.5</v>
      </c>
      <c r="I203" s="87"/>
      <c r="J203" s="16"/>
    </row>
    <row r="204" spans="1:10">
      <c r="A204" s="87"/>
      <c r="B204" s="87"/>
      <c r="C204" s="87">
        <v>1</v>
      </c>
      <c r="D204" s="87" t="s">
        <v>87</v>
      </c>
      <c r="E204" s="16">
        <v>1.07</v>
      </c>
      <c r="I204" s="87"/>
      <c r="J204" s="16"/>
    </row>
    <row r="205" spans="1:10">
      <c r="A205" s="87"/>
      <c r="B205" s="87"/>
      <c r="C205" s="87">
        <v>1</v>
      </c>
      <c r="D205" s="87" t="s">
        <v>79</v>
      </c>
      <c r="E205" s="16">
        <v>0.63</v>
      </c>
      <c r="I205" s="87"/>
      <c r="J205" s="16"/>
    </row>
    <row r="206" spans="1:10">
      <c r="A206" s="87"/>
      <c r="B206" s="87"/>
      <c r="C206" s="87">
        <v>1</v>
      </c>
      <c r="D206" s="87" t="s">
        <v>88</v>
      </c>
      <c r="E206" s="16">
        <v>0.54</v>
      </c>
      <c r="I206" s="87"/>
      <c r="J206" s="16"/>
    </row>
    <row r="207" spans="1:10">
      <c r="A207" s="87"/>
      <c r="B207" s="87"/>
      <c r="C207" s="87">
        <v>2</v>
      </c>
      <c r="D207" s="87" t="s">
        <v>83</v>
      </c>
      <c r="E207" s="16">
        <v>0.82</v>
      </c>
      <c r="F207" s="16">
        <f>AVERAGE(E207:E211)</f>
        <v>1.28</v>
      </c>
      <c r="I207" s="87"/>
      <c r="J207" s="16"/>
    </row>
    <row r="208" spans="1:10">
      <c r="A208" s="87"/>
      <c r="B208" s="87"/>
      <c r="C208" s="87">
        <v>2</v>
      </c>
      <c r="D208" s="87" t="s">
        <v>85</v>
      </c>
      <c r="E208" s="16">
        <v>0.66</v>
      </c>
      <c r="I208" s="87"/>
      <c r="J208" s="16"/>
    </row>
    <row r="209" spans="1:10">
      <c r="A209" s="87"/>
      <c r="B209" s="87"/>
      <c r="C209" s="87">
        <v>2</v>
      </c>
      <c r="D209" s="87" t="s">
        <v>87</v>
      </c>
      <c r="E209" s="16">
        <v>1.47</v>
      </c>
      <c r="I209" s="87"/>
      <c r="J209" s="16"/>
    </row>
    <row r="210" spans="1:10">
      <c r="A210" s="87"/>
      <c r="B210" s="87"/>
      <c r="C210" s="87">
        <v>2</v>
      </c>
      <c r="D210" s="87" t="s">
        <v>79</v>
      </c>
      <c r="E210" s="16">
        <v>2.66</v>
      </c>
      <c r="I210" s="87"/>
      <c r="J210" s="16"/>
    </row>
    <row r="211" spans="1:10">
      <c r="A211" s="87"/>
      <c r="B211" s="87"/>
      <c r="C211" s="87">
        <v>2</v>
      </c>
      <c r="D211" s="87" t="s">
        <v>88</v>
      </c>
      <c r="E211" s="16">
        <v>0.79</v>
      </c>
      <c r="I211" s="87"/>
      <c r="J211" s="16"/>
    </row>
    <row r="212" spans="1:10">
      <c r="A212" s="87"/>
      <c r="B212" s="87"/>
      <c r="C212" s="87">
        <v>3</v>
      </c>
      <c r="D212" s="87" t="s">
        <v>83</v>
      </c>
      <c r="E212" s="16">
        <v>0.86</v>
      </c>
      <c r="F212" s="16">
        <f>AVERAGE(E212:E216)</f>
        <v>1.3720000000000001</v>
      </c>
      <c r="I212" s="87"/>
      <c r="J212" s="16"/>
    </row>
    <row r="213" spans="1:10">
      <c r="A213" s="87"/>
      <c r="B213" s="87"/>
      <c r="C213" s="87">
        <v>3</v>
      </c>
      <c r="D213" s="87" t="s">
        <v>85</v>
      </c>
      <c r="E213" s="16">
        <v>1.2</v>
      </c>
      <c r="I213" s="87"/>
      <c r="J213" s="16"/>
    </row>
    <row r="214" spans="1:10">
      <c r="A214" s="87"/>
      <c r="B214" s="87"/>
      <c r="C214" s="87">
        <v>3</v>
      </c>
      <c r="D214" s="87" t="s">
        <v>87</v>
      </c>
      <c r="E214" s="16">
        <v>2.94</v>
      </c>
      <c r="I214" s="87"/>
      <c r="J214" s="16"/>
    </row>
    <row r="215" spans="1:10">
      <c r="A215" s="87"/>
      <c r="B215" s="87"/>
      <c r="C215" s="87">
        <v>3</v>
      </c>
      <c r="D215" s="87" t="s">
        <v>79</v>
      </c>
      <c r="E215" s="16">
        <v>1.03</v>
      </c>
      <c r="I215" s="87"/>
      <c r="J215" s="16"/>
    </row>
    <row r="216" spans="1:10">
      <c r="A216" s="87"/>
      <c r="B216" s="87"/>
      <c r="C216" s="87">
        <v>3</v>
      </c>
      <c r="D216" s="87" t="s">
        <v>88</v>
      </c>
      <c r="E216" s="16">
        <v>0.83</v>
      </c>
      <c r="I216" s="87"/>
      <c r="J216" s="16"/>
    </row>
    <row r="217" spans="1:10">
      <c r="A217" s="87"/>
      <c r="B217" s="87"/>
      <c r="C217" s="87">
        <v>4</v>
      </c>
      <c r="D217" s="87" t="s">
        <v>83</v>
      </c>
      <c r="E217" s="16">
        <v>0.67</v>
      </c>
      <c r="F217" s="16">
        <f>AVERAGE(E217:E221)</f>
        <v>0.75600000000000001</v>
      </c>
      <c r="I217" s="87"/>
      <c r="J217" s="16"/>
    </row>
    <row r="218" spans="1:10">
      <c r="A218" s="87"/>
      <c r="B218" s="87"/>
      <c r="C218" s="87">
        <v>4</v>
      </c>
      <c r="D218" s="87" t="s">
        <v>85</v>
      </c>
      <c r="E218" s="16">
        <v>0.84</v>
      </c>
      <c r="I218" s="87"/>
      <c r="J218" s="16"/>
    </row>
    <row r="219" spans="1:10">
      <c r="A219" s="87"/>
      <c r="B219" s="87"/>
      <c r="C219" s="87">
        <v>4</v>
      </c>
      <c r="D219" s="87" t="s">
        <v>87</v>
      </c>
      <c r="E219" s="16">
        <v>0.52</v>
      </c>
      <c r="I219" s="87"/>
      <c r="J219" s="16"/>
    </row>
    <row r="220" spans="1:10">
      <c r="A220" s="87"/>
      <c r="B220" s="87"/>
      <c r="C220" s="87">
        <v>4</v>
      </c>
      <c r="D220" s="87" t="s">
        <v>79</v>
      </c>
      <c r="E220" s="16">
        <v>1.1000000000000001</v>
      </c>
      <c r="I220" s="87"/>
      <c r="J220" s="16"/>
    </row>
    <row r="221" spans="1:10">
      <c r="A221" s="87"/>
      <c r="B221" s="87"/>
      <c r="C221" s="87">
        <v>4</v>
      </c>
      <c r="D221" s="87" t="s">
        <v>88</v>
      </c>
      <c r="E221" s="16">
        <v>0.65</v>
      </c>
      <c r="I221" s="87"/>
      <c r="J221" s="16"/>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J1013"/>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ColWidth="17.28515625" defaultRowHeight="15" customHeight="1"/>
  <cols>
    <col min="1" max="1" width="11.42578125" customWidth="1"/>
    <col min="2" max="2" width="9.5703125" customWidth="1"/>
    <col min="3" max="3" width="8" customWidth="1"/>
    <col min="4" max="4" width="9.42578125" customWidth="1"/>
    <col min="5" max="5" width="9.7109375" customWidth="1"/>
    <col min="6" max="7" width="6.7109375" customWidth="1"/>
    <col min="8" max="8" width="4.7109375" customWidth="1"/>
    <col min="9" max="9" width="3" customWidth="1"/>
    <col min="10" max="10" width="5.85546875" customWidth="1"/>
    <col min="11" max="12" width="3.5703125" customWidth="1"/>
    <col min="13" max="13" width="4.42578125" customWidth="1"/>
    <col min="14" max="14" width="3.85546875" customWidth="1"/>
    <col min="15" max="15" width="3.7109375" customWidth="1"/>
    <col min="16" max="16" width="6.85546875" customWidth="1"/>
    <col min="17" max="18" width="3.42578125" customWidth="1"/>
    <col min="19" max="19" width="14.28515625" customWidth="1"/>
    <col min="20" max="20" width="3.7109375" customWidth="1"/>
    <col min="21" max="21" width="3.42578125" customWidth="1"/>
    <col min="22" max="22" width="4" customWidth="1"/>
    <col min="23" max="24" width="3.85546875" customWidth="1"/>
    <col min="25" max="25" width="3.5703125" customWidth="1"/>
    <col min="26" max="26" width="3.7109375" customWidth="1"/>
    <col min="27" max="27" width="3.85546875" customWidth="1"/>
    <col min="28" max="28" width="5.5703125" customWidth="1"/>
    <col min="29" max="29" width="3.85546875" customWidth="1"/>
    <col min="30" max="30" width="5.7109375" customWidth="1"/>
    <col min="31" max="31" width="7.42578125" customWidth="1"/>
    <col min="32" max="32" width="4.140625" customWidth="1"/>
    <col min="33" max="33" width="6.85546875" customWidth="1"/>
    <col min="34" max="34" width="4.5703125" customWidth="1"/>
    <col min="35" max="35" width="3.28515625" customWidth="1"/>
    <col min="36" max="36" width="5.5703125" customWidth="1"/>
    <col min="39" max="39" width="5.140625" customWidth="1"/>
    <col min="41" max="41" width="14.85546875" customWidth="1"/>
    <col min="42" max="42" width="5.85546875" customWidth="1"/>
    <col min="43" max="43" width="18.7109375" customWidth="1"/>
    <col min="44" max="44" width="19.42578125" customWidth="1"/>
    <col min="45" max="45" width="6.140625" customWidth="1"/>
    <col min="46" max="46" width="21.28515625" customWidth="1"/>
    <col min="48" max="48" width="5.5703125" customWidth="1"/>
    <col min="49" max="49" width="18.28515625" customWidth="1"/>
  </cols>
  <sheetData>
    <row r="1" spans="1:62">
      <c r="A1" s="6"/>
      <c r="B1" s="6"/>
      <c r="C1" s="6"/>
      <c r="D1" s="6"/>
      <c r="E1" s="6"/>
      <c r="F1" s="6"/>
      <c r="G1" s="6"/>
      <c r="H1" s="164" t="s">
        <v>239</v>
      </c>
      <c r="I1" s="154"/>
      <c r="J1" s="154"/>
      <c r="K1" s="154"/>
      <c r="L1" s="154"/>
      <c r="M1" s="154"/>
      <c r="N1" s="154"/>
      <c r="O1" s="154"/>
      <c r="P1" s="154"/>
      <c r="Q1" s="154"/>
      <c r="R1" s="154"/>
      <c r="S1" s="154"/>
      <c r="T1" s="154"/>
      <c r="U1" s="154"/>
      <c r="V1" s="154"/>
      <c r="W1" s="154"/>
      <c r="X1" s="154"/>
      <c r="Y1" s="154"/>
      <c r="Z1" s="54"/>
      <c r="AA1" s="54"/>
      <c r="AB1" s="54"/>
      <c r="AC1" s="54"/>
      <c r="AD1" s="54"/>
      <c r="AE1" s="54"/>
      <c r="AF1" s="54"/>
      <c r="AG1" s="54"/>
      <c r="AH1" s="54"/>
      <c r="AI1" s="54"/>
      <c r="AJ1" s="54"/>
      <c r="AK1" s="54"/>
      <c r="AL1" s="54"/>
      <c r="AM1" s="54"/>
      <c r="AN1" s="54"/>
      <c r="AO1" s="21"/>
      <c r="AP1" s="21"/>
      <c r="AQ1" s="21"/>
      <c r="AR1" s="21"/>
      <c r="AS1" s="21"/>
      <c r="AT1" s="21"/>
      <c r="AU1" s="21"/>
      <c r="AV1" s="21"/>
      <c r="AW1" s="21"/>
      <c r="AZ1" s="2"/>
      <c r="BA1" s="21"/>
      <c r="BC1" s="164" t="s">
        <v>241</v>
      </c>
      <c r="BD1" s="154"/>
      <c r="BE1" s="154"/>
      <c r="BF1" s="154"/>
      <c r="BG1" s="164" t="s">
        <v>242</v>
      </c>
      <c r="BH1" s="154"/>
      <c r="BI1" s="154"/>
      <c r="BJ1" s="154"/>
    </row>
    <row r="2" spans="1:62">
      <c r="A2" s="91" t="s">
        <v>51</v>
      </c>
      <c r="B2" s="91" t="s">
        <v>52</v>
      </c>
      <c r="C2" s="91" t="s">
        <v>53</v>
      </c>
      <c r="D2" s="91" t="s">
        <v>54</v>
      </c>
      <c r="E2" s="92" t="s">
        <v>243</v>
      </c>
      <c r="F2" s="92" t="s">
        <v>244</v>
      </c>
      <c r="G2" s="92"/>
      <c r="H2" s="92" t="s">
        <v>245</v>
      </c>
      <c r="I2" s="92" t="s">
        <v>246</v>
      </c>
      <c r="J2" s="92" t="s">
        <v>247</v>
      </c>
      <c r="K2" s="92" t="s">
        <v>248</v>
      </c>
      <c r="L2" s="92" t="s">
        <v>246</v>
      </c>
      <c r="M2" s="92" t="s">
        <v>249</v>
      </c>
      <c r="N2" s="116" t="s">
        <v>250</v>
      </c>
      <c r="O2" s="117" t="s">
        <v>246</v>
      </c>
      <c r="P2" s="117" t="s">
        <v>251</v>
      </c>
      <c r="Q2" s="93" t="s">
        <v>252</v>
      </c>
      <c r="R2" s="93" t="s">
        <v>246</v>
      </c>
      <c r="S2" s="93" t="s">
        <v>253</v>
      </c>
      <c r="T2" s="16" t="s">
        <v>254</v>
      </c>
      <c r="U2" s="16" t="s">
        <v>246</v>
      </c>
      <c r="V2" s="16" t="s">
        <v>255</v>
      </c>
      <c r="W2" s="92" t="s">
        <v>256</v>
      </c>
      <c r="X2" s="92" t="s">
        <v>246</v>
      </c>
      <c r="Y2" s="92" t="s">
        <v>257</v>
      </c>
      <c r="Z2" s="92" t="s">
        <v>258</v>
      </c>
      <c r="AA2" s="92" t="s">
        <v>246</v>
      </c>
      <c r="AB2" s="92" t="s">
        <v>259</v>
      </c>
      <c r="AC2" s="92" t="s">
        <v>260</v>
      </c>
      <c r="AD2" s="92" t="s">
        <v>246</v>
      </c>
      <c r="AE2" s="92" t="s">
        <v>261</v>
      </c>
      <c r="AF2" s="86" t="s">
        <v>262</v>
      </c>
      <c r="AG2" s="86" t="s">
        <v>246</v>
      </c>
      <c r="AH2" s="86" t="s">
        <v>263</v>
      </c>
      <c r="AI2" s="86" t="s">
        <v>264</v>
      </c>
      <c r="AJ2" s="86" t="s">
        <v>246</v>
      </c>
      <c r="AK2" s="118" t="s">
        <v>265</v>
      </c>
      <c r="AL2" s="86" t="s">
        <v>266</v>
      </c>
      <c r="AM2" s="86" t="s">
        <v>246</v>
      </c>
      <c r="AN2" s="86" t="s">
        <v>267</v>
      </c>
      <c r="AO2" s="86" t="s">
        <v>268</v>
      </c>
      <c r="AP2" s="86" t="s">
        <v>246</v>
      </c>
      <c r="AQ2" s="86" t="s">
        <v>269</v>
      </c>
      <c r="AR2" s="86" t="s">
        <v>270</v>
      </c>
      <c r="AS2" s="86" t="s">
        <v>244</v>
      </c>
      <c r="AT2" s="86" t="s">
        <v>271</v>
      </c>
      <c r="AU2" s="86" t="s">
        <v>272</v>
      </c>
      <c r="AV2" s="118" t="s">
        <v>246</v>
      </c>
      <c r="AW2" s="86" t="s">
        <v>273</v>
      </c>
      <c r="AX2" s="16" t="s">
        <v>274</v>
      </c>
      <c r="AY2" s="16" t="s">
        <v>275</v>
      </c>
      <c r="AZ2" s="87" t="s">
        <v>74</v>
      </c>
      <c r="BA2" s="86" t="s">
        <v>196</v>
      </c>
      <c r="BD2" s="2" t="s">
        <v>75</v>
      </c>
      <c r="BE2" s="2" t="s">
        <v>74</v>
      </c>
      <c r="BH2" s="2" t="s">
        <v>75</v>
      </c>
      <c r="BI2" s="2" t="s">
        <v>74</v>
      </c>
    </row>
    <row r="3" spans="1:62">
      <c r="A3" s="87" t="s">
        <v>78</v>
      </c>
      <c r="B3" s="87" t="s">
        <v>79</v>
      </c>
      <c r="C3" s="87">
        <v>1</v>
      </c>
      <c r="D3" s="87" t="s">
        <v>83</v>
      </c>
      <c r="E3" s="21">
        <v>95.81</v>
      </c>
      <c r="F3" s="21" t="s">
        <v>276</v>
      </c>
      <c r="G3">
        <f>E3-VLOOKUP(F3,'Bag weights'!A:B,2,FALSE)</f>
        <v>74.86</v>
      </c>
      <c r="H3" s="16"/>
      <c r="I3" s="16"/>
      <c r="J3">
        <f>H3-VLOOKUP(I3,'Bag weights'!A:B,2,FALSE)</f>
        <v>0</v>
      </c>
      <c r="M3">
        <f>K3-VLOOKUP(L3,'Bag weights'!A$1:B$20,2,FALSE)</f>
        <v>0</v>
      </c>
      <c r="O3" s="119"/>
      <c r="P3">
        <f>N3-VLOOKUP(O3,'Bag weights'!A$1:B$20,2,FALSE)</f>
        <v>0</v>
      </c>
      <c r="R3" s="16"/>
      <c r="S3">
        <f>Q3-VLOOKUP(R3,'Bag weights'!A$1:B$20,2,FALSE)</f>
        <v>0</v>
      </c>
      <c r="T3" s="16"/>
      <c r="U3" s="16"/>
      <c r="V3">
        <f>T3-VLOOKUP(U3,'Bag weights'!A$1:B$20,2,FALSE)</f>
        <v>0</v>
      </c>
      <c r="Y3">
        <f>W3-VLOOKUP(X3,'Bag weights'!A$1:B$20,2,FALSE)</f>
        <v>0</v>
      </c>
      <c r="AB3">
        <f>Z3-VLOOKUP(AA3,'Bag weights'!A$1:B$20,2,FALSE)</f>
        <v>0</v>
      </c>
      <c r="AE3">
        <f>AC3-VLOOKUP(AD3,'Bag weights'!A$1:B$20,2,FALSE)</f>
        <v>0</v>
      </c>
      <c r="AH3">
        <f>AF3-VLOOKUP(AG3,'Bag weights'!A$1:B$20,2,FALSE)</f>
        <v>0</v>
      </c>
      <c r="AK3">
        <f>AI3-VLOOKUP(AJ3,'Bag weights'!A$1:B$20,2,FALSE)</f>
        <v>0</v>
      </c>
      <c r="AN3">
        <f>AL3-VLOOKUP(AM3,'Bag weights'!A$1:B$20,2,FALSE)</f>
        <v>0</v>
      </c>
      <c r="AQ3">
        <f>AO3-VLOOKUP(AP3,'Bag weights'!A$1:B$20,2,FALSE)</f>
        <v>0</v>
      </c>
      <c r="AR3" s="16">
        <v>0</v>
      </c>
      <c r="AT3">
        <f>AR3-VLOOKUP(AS3,'Bag weights'!A$1:B$20,2,FALSE)</f>
        <v>0</v>
      </c>
      <c r="AU3" s="16"/>
      <c r="AV3" s="16"/>
      <c r="AW3">
        <f>AU3-VLOOKUP(AV3,'Bag weights'!A$1:B$20,2,FALSE)</f>
        <v>0</v>
      </c>
      <c r="AX3">
        <f t="shared" ref="AX3:AX62" si="0">G3</f>
        <v>74.86</v>
      </c>
      <c r="BD3" s="120">
        <v>4.5999999999999996</v>
      </c>
      <c r="BH3" s="16">
        <v>4.91</v>
      </c>
    </row>
    <row r="4" spans="1:62">
      <c r="A4" s="86" t="s">
        <v>289</v>
      </c>
      <c r="B4" s="87"/>
      <c r="C4" s="87">
        <v>1</v>
      </c>
      <c r="D4" s="87" t="s">
        <v>85</v>
      </c>
      <c r="E4" s="21">
        <v>86.57</v>
      </c>
      <c r="F4" s="21" t="s">
        <v>290</v>
      </c>
      <c r="G4">
        <f>E4-VLOOKUP(F4,'Bag weights'!A:B,2,FALSE)</f>
        <v>59.069999999999993</v>
      </c>
      <c r="I4" s="16"/>
      <c r="J4">
        <f>H4-VLOOKUP(I4,'Bag weights'!A:B,2,FALSE)</f>
        <v>0</v>
      </c>
      <c r="M4">
        <f>K4-VLOOKUP(L4,'Bag weights'!A$1:B$20,2,FALSE)</f>
        <v>0</v>
      </c>
      <c r="O4" s="122"/>
      <c r="P4">
        <f>N4-VLOOKUP(O4,'Bag weights'!A$1:B$20,2,FALSE)</f>
        <v>0</v>
      </c>
      <c r="S4">
        <f>Q4-VLOOKUP(R4,'Bag weights'!A$1:B$20,2,FALSE)</f>
        <v>0</v>
      </c>
      <c r="V4">
        <f>T4-VLOOKUP(U4,'Bag weights'!A$1:B$20,2,FALSE)</f>
        <v>0</v>
      </c>
      <c r="Y4">
        <f>W4-VLOOKUP(X4,'Bag weights'!A$1:B$20,2,FALSE)</f>
        <v>0</v>
      </c>
      <c r="AB4">
        <f>Z4-VLOOKUP(AA4,'Bag weights'!A$1:B$20,2,FALSE)</f>
        <v>0</v>
      </c>
      <c r="AE4">
        <f>AC4-VLOOKUP(AD4,'Bag weights'!A$1:B$20,2,FALSE)</f>
        <v>0</v>
      </c>
      <c r="AH4">
        <f>AF4-VLOOKUP(AG4,'Bag weights'!A$1:B$20,2,FALSE)</f>
        <v>0</v>
      </c>
      <c r="AK4">
        <f>AI4-VLOOKUP(AJ4,'Bag weights'!A$1:B$20,2,FALSE)</f>
        <v>0</v>
      </c>
      <c r="AN4">
        <f>AL4-VLOOKUP(AM4,'Bag weights'!A$1:B$20,2,FALSE)</f>
        <v>0</v>
      </c>
      <c r="AQ4">
        <f>AO4-VLOOKUP(AP4,'Bag weights'!A$1:B$20,2,FALSE)</f>
        <v>0</v>
      </c>
      <c r="AT4">
        <f>AR4-VLOOKUP(AS4,'Bag weights'!A$1:B$20,2,FALSE)</f>
        <v>0</v>
      </c>
      <c r="AU4" s="16"/>
      <c r="AV4" s="16"/>
      <c r="AW4">
        <f>AU4-VLOOKUP(AV4,'Bag weights'!A$1:B$20,2,FALSE)</f>
        <v>0</v>
      </c>
      <c r="AX4">
        <f t="shared" si="0"/>
        <v>59.069999999999993</v>
      </c>
      <c r="BD4" s="120">
        <v>6.2</v>
      </c>
      <c r="BH4" s="16">
        <v>6.39</v>
      </c>
    </row>
    <row r="5" spans="1:62">
      <c r="A5" s="87"/>
      <c r="B5" s="87"/>
      <c r="C5" s="87">
        <v>1</v>
      </c>
      <c r="D5" s="87" t="s">
        <v>87</v>
      </c>
      <c r="E5" s="21">
        <v>97.71</v>
      </c>
      <c r="F5" s="21" t="s">
        <v>276</v>
      </c>
      <c r="G5">
        <f>E5-VLOOKUP(F5,'Bag weights'!A:B,2,FALSE)</f>
        <v>76.759999999999991</v>
      </c>
      <c r="I5" s="16"/>
      <c r="J5">
        <f>H5-VLOOKUP(I5,'Bag weights'!A:B,2,FALSE)</f>
        <v>0</v>
      </c>
      <c r="M5">
        <f>K5-VLOOKUP(L5,'Bag weights'!A$1:B$20,2,FALSE)</f>
        <v>0</v>
      </c>
      <c r="O5" s="122"/>
      <c r="P5">
        <f>N5-VLOOKUP(O5,'Bag weights'!A$1:B$20,2,FALSE)</f>
        <v>0</v>
      </c>
      <c r="S5">
        <f>Q5-VLOOKUP(R5,'Bag weights'!A$1:B$20,2,FALSE)</f>
        <v>0</v>
      </c>
      <c r="V5">
        <f>T5-VLOOKUP(U5,'Bag weights'!A$1:B$20,2,FALSE)</f>
        <v>0</v>
      </c>
      <c r="Y5">
        <f>W5-VLOOKUP(X5,'Bag weights'!A$1:B$20,2,FALSE)</f>
        <v>0</v>
      </c>
      <c r="AB5">
        <f>Z5-VLOOKUP(AA5,'Bag weights'!A$1:B$20,2,FALSE)</f>
        <v>0</v>
      </c>
      <c r="AE5">
        <f>AC5-VLOOKUP(AD5,'Bag weights'!A$1:B$20,2,FALSE)</f>
        <v>0</v>
      </c>
      <c r="AH5">
        <f>AF5-VLOOKUP(AG5,'Bag weights'!A$1:B$20,2,FALSE)</f>
        <v>0</v>
      </c>
      <c r="AK5">
        <f>AI5-VLOOKUP(AJ5,'Bag weights'!A$1:B$20,2,FALSE)</f>
        <v>0</v>
      </c>
      <c r="AN5">
        <f>AL5-VLOOKUP(AM5,'Bag weights'!A$1:B$20,2,FALSE)</f>
        <v>0</v>
      </c>
      <c r="AQ5">
        <f>AO5-VLOOKUP(AP5,'Bag weights'!A$1:B$20,2,FALSE)</f>
        <v>0</v>
      </c>
      <c r="AT5">
        <f>AR5-VLOOKUP(AS5,'Bag weights'!A$1:B$20,2,FALSE)</f>
        <v>0</v>
      </c>
      <c r="AU5" s="16"/>
      <c r="AV5" s="16"/>
      <c r="AW5">
        <f>AU5-VLOOKUP(AV5,'Bag weights'!A$1:B$20,2,FALSE)</f>
        <v>0</v>
      </c>
      <c r="AX5">
        <f t="shared" si="0"/>
        <v>76.759999999999991</v>
      </c>
      <c r="BD5" s="120">
        <v>16.600000000000001</v>
      </c>
      <c r="BH5" s="16">
        <v>7.86</v>
      </c>
    </row>
    <row r="6" spans="1:62">
      <c r="A6" s="87"/>
      <c r="B6" s="87"/>
      <c r="C6" s="87">
        <v>1</v>
      </c>
      <c r="D6" s="87" t="s">
        <v>79</v>
      </c>
      <c r="E6" s="2"/>
      <c r="F6" s="2"/>
      <c r="G6">
        <f>E6-VLOOKUP(F6,'Bag weights'!A:B,2,FALSE)</f>
        <v>0</v>
      </c>
      <c r="I6" s="16"/>
      <c r="J6">
        <f>H6-VLOOKUP(I6,'Bag weights'!A:B,2,FALSE)</f>
        <v>0</v>
      </c>
      <c r="M6">
        <f>K6-VLOOKUP(L6,'Bag weights'!A$1:B$20,2,FALSE)</f>
        <v>0</v>
      </c>
      <c r="O6" s="122"/>
      <c r="P6">
        <f>N6-VLOOKUP(O6,'Bag weights'!A$1:B$20,2,FALSE)</f>
        <v>0</v>
      </c>
      <c r="S6">
        <f>Q6-VLOOKUP(R6,'Bag weights'!A$1:B$20,2,FALSE)</f>
        <v>0</v>
      </c>
      <c r="T6" s="16"/>
      <c r="U6" s="16"/>
      <c r="V6">
        <f>T6-VLOOKUP(U6,'Bag weights'!A$1:B$20,2,FALSE)</f>
        <v>0</v>
      </c>
      <c r="Y6">
        <f>W6-VLOOKUP(X6,'Bag weights'!A$1:B$20,2,FALSE)</f>
        <v>0</v>
      </c>
      <c r="AB6">
        <f>Z6-VLOOKUP(AA6,'Bag weights'!A$1:B$20,2,FALSE)</f>
        <v>0</v>
      </c>
      <c r="AE6">
        <f>AC6-VLOOKUP(AD6,'Bag weights'!A$1:B$20,2,FALSE)</f>
        <v>0</v>
      </c>
      <c r="AH6">
        <f>AF6-VLOOKUP(AG6,'Bag weights'!A$1:B$20,2,FALSE)</f>
        <v>0</v>
      </c>
      <c r="AK6">
        <f>AI6-VLOOKUP(AJ6,'Bag weights'!A$1:B$20,2,FALSE)</f>
        <v>0</v>
      </c>
      <c r="AN6">
        <f>AL6-VLOOKUP(AM6,'Bag weights'!A$1:B$20,2,FALSE)</f>
        <v>0</v>
      </c>
      <c r="AQ6">
        <f>AO6-VLOOKUP(AP6,'Bag weights'!A$1:B$20,2,FALSE)</f>
        <v>0</v>
      </c>
      <c r="AT6">
        <f>AR6-VLOOKUP(AS6,'Bag weights'!A$1:B$20,2,FALSE)</f>
        <v>0</v>
      </c>
      <c r="AW6">
        <f>AU6-VLOOKUP(AV6,'Bag weights'!A$1:B$20,2,FALSE)</f>
        <v>0</v>
      </c>
      <c r="AX6">
        <f t="shared" si="0"/>
        <v>0</v>
      </c>
      <c r="BD6" s="120">
        <v>14.6</v>
      </c>
      <c r="BH6" s="16">
        <v>7.01</v>
      </c>
    </row>
    <row r="7" spans="1:62">
      <c r="A7" s="87"/>
      <c r="B7" s="87"/>
      <c r="C7" s="87">
        <v>1</v>
      </c>
      <c r="D7" s="87" t="s">
        <v>88</v>
      </c>
      <c r="E7" s="21">
        <v>113.53</v>
      </c>
      <c r="F7" s="21" t="s">
        <v>276</v>
      </c>
      <c r="G7">
        <f>E7-VLOOKUP(F7,'Bag weights'!A:B,2,FALSE)</f>
        <v>92.58</v>
      </c>
      <c r="I7" s="16"/>
      <c r="J7">
        <f>H7-VLOOKUP(I7,'Bag weights'!A:B,2,FALSE)</f>
        <v>0</v>
      </c>
      <c r="M7">
        <f>K7-VLOOKUP(L7,'Bag weights'!A$1:B$20,2,FALSE)</f>
        <v>0</v>
      </c>
      <c r="O7" s="122"/>
      <c r="P7">
        <f>N7-VLOOKUP(O7,'Bag weights'!A$1:B$20,2,FALSE)</f>
        <v>0</v>
      </c>
      <c r="S7">
        <f>Q7-VLOOKUP(R7,'Bag weights'!A$1:B$20,2,FALSE)</f>
        <v>0</v>
      </c>
      <c r="V7">
        <f>T7-VLOOKUP(U7,'Bag weights'!A$1:B$20,2,FALSE)</f>
        <v>0</v>
      </c>
      <c r="Y7">
        <f>W7-VLOOKUP(X7,'Bag weights'!A$1:B$20,2,FALSE)</f>
        <v>0</v>
      </c>
      <c r="AB7">
        <f>Z7-VLOOKUP(AA7,'Bag weights'!A$1:B$20,2,FALSE)</f>
        <v>0</v>
      </c>
      <c r="AE7">
        <f>AC7-VLOOKUP(AD7,'Bag weights'!A$1:B$20,2,FALSE)</f>
        <v>0</v>
      </c>
      <c r="AH7">
        <f>AF7-VLOOKUP(AG7,'Bag weights'!A$1:B$20,2,FALSE)</f>
        <v>0</v>
      </c>
      <c r="AK7">
        <f>AI7-VLOOKUP(AJ7,'Bag weights'!A$1:B$20,2,FALSE)</f>
        <v>0</v>
      </c>
      <c r="AN7">
        <f>AL7-VLOOKUP(AM7,'Bag weights'!A$1:B$20,2,FALSE)</f>
        <v>0</v>
      </c>
      <c r="AQ7">
        <f>AO7-VLOOKUP(AP7,'Bag weights'!A$1:B$20,2,FALSE)</f>
        <v>0</v>
      </c>
      <c r="AT7">
        <f>AR7-VLOOKUP(AS7,'Bag weights'!A$1:B$20,2,FALSE)</f>
        <v>0</v>
      </c>
      <c r="AU7" s="16"/>
      <c r="AV7" s="16"/>
      <c r="AW7">
        <f>AU7-VLOOKUP(AV7,'Bag weights'!A$1:B$20,2,FALSE)</f>
        <v>0</v>
      </c>
      <c r="AX7">
        <f t="shared" si="0"/>
        <v>92.58</v>
      </c>
      <c r="BD7" s="120">
        <v>6.4</v>
      </c>
      <c r="BH7" s="16">
        <v>4.8899999999999997</v>
      </c>
    </row>
    <row r="8" spans="1:62">
      <c r="A8" s="87"/>
      <c r="B8" s="87"/>
      <c r="C8" s="87">
        <v>2</v>
      </c>
      <c r="D8" s="87" t="s">
        <v>83</v>
      </c>
      <c r="E8" s="21">
        <v>91.4</v>
      </c>
      <c r="F8" s="21" t="s">
        <v>290</v>
      </c>
      <c r="G8">
        <f>E8-VLOOKUP(F8,'Bag weights'!A:B,2,FALSE)</f>
        <v>63.900000000000006</v>
      </c>
      <c r="J8">
        <f>H8-VLOOKUP(I8,'Bag weights'!A:B,2,FALSE)</f>
        <v>0</v>
      </c>
      <c r="M8">
        <f>K8-VLOOKUP(L8,'Bag weights'!A$1:B$20,2,FALSE)</f>
        <v>0</v>
      </c>
      <c r="O8" s="122"/>
      <c r="P8">
        <f>N8-VLOOKUP(O8,'Bag weights'!A$1:B$20,2,FALSE)</f>
        <v>0</v>
      </c>
      <c r="S8">
        <f>Q8-VLOOKUP(R8,'Bag weights'!A$1:B$20,2,FALSE)</f>
        <v>0</v>
      </c>
      <c r="V8">
        <f>T8-VLOOKUP(U8,'Bag weights'!A$1:B$20,2,FALSE)</f>
        <v>0</v>
      </c>
      <c r="Y8">
        <f>W8-VLOOKUP(X8,'Bag weights'!A$1:B$20,2,FALSE)</f>
        <v>0</v>
      </c>
      <c r="AB8">
        <f>Z8-VLOOKUP(AA8,'Bag weights'!A$1:B$20,2,FALSE)</f>
        <v>0</v>
      </c>
      <c r="AE8">
        <f>AC8-VLOOKUP(AD8,'Bag weights'!A$1:B$20,2,FALSE)</f>
        <v>0</v>
      </c>
      <c r="AH8">
        <f>AF8-VLOOKUP(AG8,'Bag weights'!A$1:B$20,2,FALSE)</f>
        <v>0</v>
      </c>
      <c r="AK8">
        <f>AI8-VLOOKUP(AJ8,'Bag weights'!A$1:B$20,2,FALSE)</f>
        <v>0</v>
      </c>
      <c r="AN8">
        <f>AL8-VLOOKUP(AM8,'Bag weights'!A$1:B$20,2,FALSE)</f>
        <v>0</v>
      </c>
      <c r="AQ8">
        <f>AO8-VLOOKUP(AP8,'Bag weights'!A$1:B$20,2,FALSE)</f>
        <v>0</v>
      </c>
      <c r="AT8">
        <f>AR8-VLOOKUP(AS8,'Bag weights'!A$1:B$20,2,FALSE)</f>
        <v>0</v>
      </c>
      <c r="AU8" s="16"/>
      <c r="AV8" s="16"/>
      <c r="AW8">
        <f>AU8-VLOOKUP(AV8,'Bag weights'!A$1:B$20,2,FALSE)</f>
        <v>0</v>
      </c>
      <c r="AX8">
        <f t="shared" si="0"/>
        <v>63.900000000000006</v>
      </c>
      <c r="BD8" s="120">
        <v>4.8</v>
      </c>
      <c r="BH8" s="16">
        <v>5.2</v>
      </c>
    </row>
    <row r="9" spans="1:62">
      <c r="A9" s="87"/>
      <c r="B9" s="87"/>
      <c r="C9" s="87">
        <v>2</v>
      </c>
      <c r="D9" s="87" t="s">
        <v>85</v>
      </c>
      <c r="E9" s="21">
        <v>100.64</v>
      </c>
      <c r="F9" s="21" t="s">
        <v>290</v>
      </c>
      <c r="G9">
        <f>E9-VLOOKUP(F9,'Bag weights'!A:B,2,FALSE)</f>
        <v>73.14</v>
      </c>
      <c r="J9">
        <f>H9-VLOOKUP(I9,'Bag weights'!A:B,2,FALSE)</f>
        <v>0</v>
      </c>
      <c r="M9">
        <f>K9-VLOOKUP(L9,'Bag weights'!A$1:B$20,2,FALSE)</f>
        <v>0</v>
      </c>
      <c r="O9" s="119"/>
      <c r="P9">
        <f>N9-VLOOKUP(O9,'Bag weights'!A$1:B$20,2,FALSE)</f>
        <v>0</v>
      </c>
      <c r="S9">
        <f>Q9-VLOOKUP(R9,'Bag weights'!A$1:B$20,2,FALSE)</f>
        <v>0</v>
      </c>
      <c r="V9">
        <f>T9-VLOOKUP(U9,'Bag weights'!A$1:B$20,2,FALSE)</f>
        <v>0</v>
      </c>
      <c r="Y9">
        <f>W9-VLOOKUP(X9,'Bag weights'!A$1:B$20,2,FALSE)</f>
        <v>0</v>
      </c>
      <c r="AB9">
        <f>Z9-VLOOKUP(AA9,'Bag weights'!A$1:B$20,2,FALSE)</f>
        <v>0</v>
      </c>
      <c r="AE9">
        <f>AC9-VLOOKUP(AD9,'Bag weights'!A$1:B$20,2,FALSE)</f>
        <v>0</v>
      </c>
      <c r="AH9">
        <f>AF9-VLOOKUP(AG9,'Bag weights'!A$1:B$20,2,FALSE)</f>
        <v>0</v>
      </c>
      <c r="AK9">
        <f>AI9-VLOOKUP(AJ9,'Bag weights'!A$1:B$20,2,FALSE)</f>
        <v>0</v>
      </c>
      <c r="AN9">
        <f>AL9-VLOOKUP(AM9,'Bag weights'!A$1:B$20,2,FALSE)</f>
        <v>0</v>
      </c>
      <c r="AQ9">
        <f>AO9-VLOOKUP(AP9,'Bag weights'!A$1:B$20,2,FALSE)</f>
        <v>0</v>
      </c>
      <c r="AT9">
        <f>AR9-VLOOKUP(AS9,'Bag weights'!A$1:B$20,2,FALSE)</f>
        <v>0</v>
      </c>
      <c r="AU9" s="16"/>
      <c r="AV9" s="16"/>
      <c r="AW9">
        <f>AU9-VLOOKUP(AV9,'Bag weights'!A$1:B$20,2,FALSE)</f>
        <v>0</v>
      </c>
      <c r="AX9">
        <f t="shared" si="0"/>
        <v>73.14</v>
      </c>
      <c r="BD9" s="120">
        <v>4.5999999999999996</v>
      </c>
      <c r="BH9" s="16">
        <v>5.93</v>
      </c>
    </row>
    <row r="10" spans="1:62">
      <c r="A10" s="87"/>
      <c r="B10" s="87"/>
      <c r="C10" s="87">
        <v>2</v>
      </c>
      <c r="D10" s="87" t="s">
        <v>87</v>
      </c>
      <c r="E10" s="21">
        <v>95.98</v>
      </c>
      <c r="F10" s="21" t="s">
        <v>290</v>
      </c>
      <c r="G10">
        <f>E10-VLOOKUP(F10,'Bag weights'!A:B,2,FALSE)</f>
        <v>68.48</v>
      </c>
      <c r="J10">
        <f>H10-VLOOKUP(I10,'Bag weights'!A:B,2,FALSE)</f>
        <v>0</v>
      </c>
      <c r="M10">
        <f>K10-VLOOKUP(L10,'Bag weights'!A$1:B$20,2,FALSE)</f>
        <v>0</v>
      </c>
      <c r="O10" s="122"/>
      <c r="P10">
        <f>N10-VLOOKUP(O10,'Bag weights'!A$1:B$20,2,FALSE)</f>
        <v>0</v>
      </c>
      <c r="S10">
        <f>Q10-VLOOKUP(R10,'Bag weights'!A$1:B$20,2,FALSE)</f>
        <v>0</v>
      </c>
      <c r="V10">
        <f>T10-VLOOKUP(U10,'Bag weights'!A$1:B$20,2,FALSE)</f>
        <v>0</v>
      </c>
      <c r="Y10">
        <f>W10-VLOOKUP(X10,'Bag weights'!A$1:B$20,2,FALSE)</f>
        <v>0</v>
      </c>
      <c r="AB10">
        <f>Z10-VLOOKUP(AA10,'Bag weights'!A$1:B$20,2,FALSE)</f>
        <v>0</v>
      </c>
      <c r="AE10">
        <f>AC10-VLOOKUP(AD10,'Bag weights'!A$1:B$20,2,FALSE)</f>
        <v>0</v>
      </c>
      <c r="AH10">
        <f>AF10-VLOOKUP(AG10,'Bag weights'!A$1:B$20,2,FALSE)</f>
        <v>0</v>
      </c>
      <c r="AK10">
        <f>AI10-VLOOKUP(AJ10,'Bag weights'!A$1:B$20,2,FALSE)</f>
        <v>0</v>
      </c>
      <c r="AN10">
        <f>AL10-VLOOKUP(AM10,'Bag weights'!A$1:B$20,2,FALSE)</f>
        <v>0</v>
      </c>
      <c r="AQ10">
        <f>AO10-VLOOKUP(AP10,'Bag weights'!A$1:B$20,2,FALSE)</f>
        <v>0</v>
      </c>
      <c r="AT10">
        <f>AR10-VLOOKUP(AS10,'Bag weights'!A$1:B$20,2,FALSE)</f>
        <v>0</v>
      </c>
      <c r="AU10" s="16"/>
      <c r="AV10" s="16"/>
      <c r="AW10">
        <f>AU10-VLOOKUP(AV10,'Bag weights'!A$1:B$20,2,FALSE)</f>
        <v>0</v>
      </c>
      <c r="AX10">
        <f t="shared" si="0"/>
        <v>68.48</v>
      </c>
      <c r="BD10" s="120">
        <v>12.6</v>
      </c>
      <c r="BH10" s="16">
        <v>3.76</v>
      </c>
    </row>
    <row r="11" spans="1:62">
      <c r="A11" s="87"/>
      <c r="B11" s="87"/>
      <c r="C11" s="87">
        <v>2</v>
      </c>
      <c r="D11" s="87" t="s">
        <v>79</v>
      </c>
      <c r="E11" s="21">
        <v>92.82</v>
      </c>
      <c r="F11" s="21" t="s">
        <v>290</v>
      </c>
      <c r="G11">
        <f>E11-VLOOKUP(F11,'Bag weights'!A:B,2,FALSE)</f>
        <v>65.319999999999993</v>
      </c>
      <c r="J11">
        <f>H11-VLOOKUP(I11,'Bag weights'!A:B,2,FALSE)</f>
        <v>0</v>
      </c>
      <c r="M11">
        <f>K11-VLOOKUP(L11,'Bag weights'!A$1:B$20,2,FALSE)</f>
        <v>0</v>
      </c>
      <c r="O11" s="122"/>
      <c r="P11">
        <f>N11-VLOOKUP(O11,'Bag weights'!A$1:B$20,2,FALSE)</f>
        <v>0</v>
      </c>
      <c r="S11">
        <f>Q11-VLOOKUP(R11,'Bag weights'!A$1:B$20,2,FALSE)</f>
        <v>0</v>
      </c>
      <c r="V11">
        <f>T11-VLOOKUP(U11,'Bag weights'!A$1:B$20,2,FALSE)</f>
        <v>0</v>
      </c>
      <c r="Y11">
        <f>W11-VLOOKUP(X11,'Bag weights'!A$1:B$20,2,FALSE)</f>
        <v>0</v>
      </c>
      <c r="AB11">
        <f>Z11-VLOOKUP(AA11,'Bag weights'!A$1:B$20,2,FALSE)</f>
        <v>0</v>
      </c>
      <c r="AE11">
        <f>AC11-VLOOKUP(AD11,'Bag weights'!A$1:B$20,2,FALSE)</f>
        <v>0</v>
      </c>
      <c r="AH11">
        <f>AF11-VLOOKUP(AG11,'Bag weights'!A$1:B$20,2,FALSE)</f>
        <v>0</v>
      </c>
      <c r="AK11">
        <f>AI11-VLOOKUP(AJ11,'Bag weights'!A$1:B$20,2,FALSE)</f>
        <v>0</v>
      </c>
      <c r="AM11" s="16"/>
      <c r="AN11">
        <f>AL11-VLOOKUP(AM11,'Bag weights'!A$1:B$20,2,FALSE)</f>
        <v>0</v>
      </c>
      <c r="AQ11">
        <f>AO11-VLOOKUP(AP11,'Bag weights'!A$1:B$20,2,FALSE)</f>
        <v>0</v>
      </c>
      <c r="AT11">
        <f>AR11-VLOOKUP(AS11,'Bag weights'!A$1:B$20,2,FALSE)</f>
        <v>0</v>
      </c>
      <c r="AU11" s="16"/>
      <c r="AV11" s="16"/>
      <c r="AW11">
        <f>AU11-VLOOKUP(AV11,'Bag weights'!A$1:B$20,2,FALSE)</f>
        <v>0</v>
      </c>
      <c r="AX11">
        <f t="shared" si="0"/>
        <v>65.319999999999993</v>
      </c>
      <c r="BD11" s="120">
        <v>6.9</v>
      </c>
      <c r="BH11" s="16">
        <v>5.56</v>
      </c>
    </row>
    <row r="12" spans="1:62">
      <c r="A12" s="87"/>
      <c r="B12" s="87"/>
      <c r="C12" s="87">
        <v>2</v>
      </c>
      <c r="D12" s="87" t="s">
        <v>88</v>
      </c>
      <c r="E12" s="21">
        <v>94.19</v>
      </c>
      <c r="F12" s="21" t="s">
        <v>290</v>
      </c>
      <c r="G12">
        <f>E12-VLOOKUP(F12,'Bag weights'!A:B,2,FALSE)</f>
        <v>66.69</v>
      </c>
      <c r="J12">
        <f>H12-VLOOKUP(I12,'Bag weights'!A:B,2,FALSE)</f>
        <v>0</v>
      </c>
      <c r="M12">
        <f>K12-VLOOKUP(L12,'Bag weights'!A$1:B$20,2,FALSE)</f>
        <v>0</v>
      </c>
      <c r="O12" s="122"/>
      <c r="P12">
        <f>N12-VLOOKUP(O12,'Bag weights'!A$1:B$20,2,FALSE)</f>
        <v>0</v>
      </c>
      <c r="S12">
        <f>Q12-VLOOKUP(R12,'Bag weights'!A$1:B$20,2,FALSE)</f>
        <v>0</v>
      </c>
      <c r="V12">
        <f>T12-VLOOKUP(U12,'Bag weights'!A$1:B$20,2,FALSE)</f>
        <v>0</v>
      </c>
      <c r="Y12">
        <f>W12-VLOOKUP(X12,'Bag weights'!A$1:B$20,2,FALSE)</f>
        <v>0</v>
      </c>
      <c r="AB12">
        <f>Z12-VLOOKUP(AA12,'Bag weights'!A$1:B$20,2,FALSE)</f>
        <v>0</v>
      </c>
      <c r="AE12">
        <f>AC12-VLOOKUP(AD12,'Bag weights'!A$1:B$20,2,FALSE)</f>
        <v>0</v>
      </c>
      <c r="AH12">
        <f>AF12-VLOOKUP(AG12,'Bag weights'!A$1:B$20,2,FALSE)</f>
        <v>0</v>
      </c>
      <c r="AK12">
        <f>AI12-VLOOKUP(AJ12,'Bag weights'!A$1:B$20,2,FALSE)</f>
        <v>0</v>
      </c>
      <c r="AN12">
        <f>AL12-VLOOKUP(AM12,'Bag weights'!A$1:B$20,2,FALSE)</f>
        <v>0</v>
      </c>
      <c r="AQ12">
        <f>AO12-VLOOKUP(AP12,'Bag weights'!A$1:B$20,2,FALSE)</f>
        <v>0</v>
      </c>
      <c r="AT12">
        <f>AR12-VLOOKUP(AS12,'Bag weights'!A$1:B$20,2,FALSE)</f>
        <v>0</v>
      </c>
      <c r="AU12" s="16"/>
      <c r="AV12" s="16"/>
      <c r="AW12">
        <f>AU12-VLOOKUP(AV12,'Bag weights'!A$1:B$20,2,FALSE)</f>
        <v>0</v>
      </c>
      <c r="AX12">
        <f t="shared" si="0"/>
        <v>66.69</v>
      </c>
      <c r="BD12" s="120">
        <v>5.4</v>
      </c>
      <c r="BH12" s="16">
        <v>5.82</v>
      </c>
    </row>
    <row r="13" spans="1:62">
      <c r="A13" s="87"/>
      <c r="B13" s="87"/>
      <c r="C13" s="87">
        <v>3</v>
      </c>
      <c r="D13" s="87" t="s">
        <v>83</v>
      </c>
      <c r="E13" s="21">
        <v>97.6</v>
      </c>
      <c r="F13" s="21" t="s">
        <v>290</v>
      </c>
      <c r="G13">
        <f>E13-VLOOKUP(F13,'Bag weights'!A:B,2,FALSE)</f>
        <v>70.099999999999994</v>
      </c>
      <c r="J13">
        <f>H13-VLOOKUP(I13,'Bag weights'!A:B,2,FALSE)</f>
        <v>0</v>
      </c>
      <c r="M13">
        <f>K13-VLOOKUP(L13,'Bag weights'!A$1:B$20,2,FALSE)</f>
        <v>0</v>
      </c>
      <c r="O13" s="122"/>
      <c r="P13">
        <f>N13-VLOOKUP(O13,'Bag weights'!A$1:B$20,2,FALSE)</f>
        <v>0</v>
      </c>
      <c r="S13">
        <f>Q13-VLOOKUP(R13,'Bag weights'!A$1:B$20,2,FALSE)</f>
        <v>0</v>
      </c>
      <c r="V13">
        <f>T13-VLOOKUP(U13,'Bag weights'!A$1:B$20,2,FALSE)</f>
        <v>0</v>
      </c>
      <c r="Y13">
        <f>W13-VLOOKUP(X13,'Bag weights'!A$1:B$20,2,FALSE)</f>
        <v>0</v>
      </c>
      <c r="AB13">
        <f>Z13-VLOOKUP(AA13,'Bag weights'!A$1:B$20,2,FALSE)</f>
        <v>0</v>
      </c>
      <c r="AE13">
        <f>AC13-VLOOKUP(AD13,'Bag weights'!A$1:B$20,2,FALSE)</f>
        <v>0</v>
      </c>
      <c r="AH13">
        <f>AF13-VLOOKUP(AG13,'Bag weights'!A$1:B$20,2,FALSE)</f>
        <v>0</v>
      </c>
      <c r="AK13">
        <f>AI13-VLOOKUP(AJ13,'Bag weights'!A$1:B$20,2,FALSE)</f>
        <v>0</v>
      </c>
      <c r="AN13">
        <f>AL13-VLOOKUP(AM13,'Bag weights'!A$1:B$20,2,FALSE)</f>
        <v>0</v>
      </c>
      <c r="AQ13">
        <f>AO13-VLOOKUP(AP13,'Bag weights'!A$1:B$20,2,FALSE)</f>
        <v>0</v>
      </c>
      <c r="AT13">
        <f>AR13-VLOOKUP(AS13,'Bag weights'!A$1:B$20,2,FALSE)</f>
        <v>0</v>
      </c>
      <c r="AU13" s="16"/>
      <c r="AV13" s="16"/>
      <c r="AW13">
        <f>AU13-VLOOKUP(AV13,'Bag weights'!A$1:B$20,2,FALSE)</f>
        <v>0</v>
      </c>
      <c r="AX13">
        <f t="shared" si="0"/>
        <v>70.099999999999994</v>
      </c>
      <c r="BD13" s="120">
        <v>17.2</v>
      </c>
      <c r="BG13" s="16" t="s">
        <v>301</v>
      </c>
    </row>
    <row r="14" spans="1:62">
      <c r="A14" s="87"/>
      <c r="B14" s="87"/>
      <c r="C14" s="87">
        <v>3</v>
      </c>
      <c r="D14" s="87" t="s">
        <v>85</v>
      </c>
      <c r="E14" s="21">
        <v>98.45</v>
      </c>
      <c r="F14" s="21" t="s">
        <v>290</v>
      </c>
      <c r="G14">
        <f>E14-VLOOKUP(F14,'Bag weights'!A:B,2,FALSE)</f>
        <v>70.95</v>
      </c>
      <c r="J14">
        <f>H14-VLOOKUP(I14,'Bag weights'!A:B,2,FALSE)</f>
        <v>0</v>
      </c>
      <c r="M14">
        <f>K14-VLOOKUP(L14,'Bag weights'!A$1:B$20,2,FALSE)</f>
        <v>0</v>
      </c>
      <c r="O14" s="122"/>
      <c r="P14">
        <f>N14-VLOOKUP(O14,'Bag weights'!A$1:B$20,2,FALSE)</f>
        <v>0</v>
      </c>
      <c r="S14">
        <f>Q14-VLOOKUP(R14,'Bag weights'!A$1:B$20,2,FALSE)</f>
        <v>0</v>
      </c>
      <c r="V14">
        <f>T14-VLOOKUP(U14,'Bag weights'!A$1:B$20,2,FALSE)</f>
        <v>0</v>
      </c>
      <c r="Y14">
        <f>W14-VLOOKUP(X14,'Bag weights'!A$1:B$20,2,FALSE)</f>
        <v>0</v>
      </c>
      <c r="AB14">
        <f>Z14-VLOOKUP(AA14,'Bag weights'!A$1:B$20,2,FALSE)</f>
        <v>0</v>
      </c>
      <c r="AE14">
        <f>AC14-VLOOKUP(AD14,'Bag weights'!A$1:B$20,2,FALSE)</f>
        <v>0</v>
      </c>
      <c r="AH14">
        <f>AF14-VLOOKUP(AG14,'Bag weights'!A$1:B$20,2,FALSE)</f>
        <v>0</v>
      </c>
      <c r="AK14">
        <f>AI14-VLOOKUP(AJ14,'Bag weights'!A$1:B$20,2,FALSE)</f>
        <v>0</v>
      </c>
      <c r="AN14">
        <f>AL14-VLOOKUP(AM14,'Bag weights'!A$1:B$20,2,FALSE)</f>
        <v>0</v>
      </c>
      <c r="AQ14">
        <f>AO14-VLOOKUP(AP14,'Bag weights'!A$1:B$20,2,FALSE)</f>
        <v>0</v>
      </c>
      <c r="AT14">
        <f>AR14-VLOOKUP(AS14,'Bag weights'!A$1:B$20,2,FALSE)</f>
        <v>0</v>
      </c>
      <c r="AU14" s="16"/>
      <c r="AV14" s="16"/>
      <c r="AW14">
        <f>AU14-VLOOKUP(AV14,'Bag weights'!A$1:B$20,2,FALSE)</f>
        <v>0</v>
      </c>
      <c r="AX14">
        <f t="shared" si="0"/>
        <v>70.95</v>
      </c>
      <c r="BD14" s="120">
        <v>11.9</v>
      </c>
      <c r="BH14" s="16">
        <v>1.53</v>
      </c>
    </row>
    <row r="15" spans="1:62">
      <c r="A15" s="87"/>
      <c r="B15" s="87"/>
      <c r="C15" s="87">
        <v>3</v>
      </c>
      <c r="D15" s="87" t="s">
        <v>87</v>
      </c>
      <c r="E15" s="21">
        <v>114.4</v>
      </c>
      <c r="F15" s="21" t="s">
        <v>290</v>
      </c>
      <c r="G15">
        <f>E15-VLOOKUP(F15,'Bag weights'!A:B,2,FALSE)</f>
        <v>86.9</v>
      </c>
      <c r="J15">
        <f>H15-VLOOKUP(I15,'Bag weights'!A:B,2,FALSE)</f>
        <v>0</v>
      </c>
      <c r="M15">
        <f>K15-VLOOKUP(L15,'Bag weights'!A$1:B$20,2,FALSE)</f>
        <v>0</v>
      </c>
      <c r="O15" s="122"/>
      <c r="P15">
        <f>N15-VLOOKUP(O15,'Bag weights'!A$1:B$20,2,FALSE)</f>
        <v>0</v>
      </c>
      <c r="S15">
        <f>Q15-VLOOKUP(R15,'Bag weights'!A$1:B$20,2,FALSE)</f>
        <v>0</v>
      </c>
      <c r="V15">
        <f>T15-VLOOKUP(U15,'Bag weights'!A$1:B$20,2,FALSE)</f>
        <v>0</v>
      </c>
      <c r="Y15">
        <f>W15-VLOOKUP(X15,'Bag weights'!A$1:B$20,2,FALSE)</f>
        <v>0</v>
      </c>
      <c r="AB15">
        <f>Z15-VLOOKUP(AA15,'Bag weights'!A$1:B$20,2,FALSE)</f>
        <v>0</v>
      </c>
      <c r="AD15" s="16"/>
      <c r="AE15">
        <f>AC15-VLOOKUP(AD15,'Bag weights'!A$1:B$20,2,FALSE)</f>
        <v>0</v>
      </c>
      <c r="AH15">
        <f>AF15-VLOOKUP(AG15,'Bag weights'!A$1:B$20,2,FALSE)</f>
        <v>0</v>
      </c>
      <c r="AK15">
        <f>AI15-VLOOKUP(AJ15,'Bag weights'!A$1:B$20,2,FALSE)</f>
        <v>0</v>
      </c>
      <c r="AN15">
        <f>AL15-VLOOKUP(AM15,'Bag weights'!A$1:B$20,2,FALSE)</f>
        <v>0</v>
      </c>
      <c r="AQ15">
        <f>AO15-VLOOKUP(AP15,'Bag weights'!A$1:B$20,2,FALSE)</f>
        <v>0</v>
      </c>
      <c r="AT15">
        <f>AR15-VLOOKUP(AS15,'Bag weights'!A$1:B$20,2,FALSE)</f>
        <v>0</v>
      </c>
      <c r="AU15" s="16"/>
      <c r="AV15" s="16"/>
      <c r="AW15">
        <f>AU15-VLOOKUP(AV15,'Bag weights'!A$1:B$20,2,FALSE)</f>
        <v>0</v>
      </c>
      <c r="AX15">
        <f t="shared" si="0"/>
        <v>86.9</v>
      </c>
      <c r="BD15" s="120">
        <v>25.8</v>
      </c>
      <c r="BH15" s="16">
        <v>4.49</v>
      </c>
    </row>
    <row r="16" spans="1:62">
      <c r="A16" s="87"/>
      <c r="B16" s="87"/>
      <c r="C16" s="87">
        <v>3</v>
      </c>
      <c r="D16" s="87" t="s">
        <v>79</v>
      </c>
      <c r="E16" s="21">
        <v>89.81</v>
      </c>
      <c r="F16" s="21" t="s">
        <v>276</v>
      </c>
      <c r="G16">
        <f>E16-VLOOKUP(F16,'Bag weights'!A:B,2,FALSE)</f>
        <v>68.86</v>
      </c>
      <c r="I16" s="16"/>
      <c r="J16">
        <f>H16-VLOOKUP(I16,'Bag weights'!A:B,2,FALSE)</f>
        <v>0</v>
      </c>
      <c r="M16">
        <f>K16-VLOOKUP(L16,'Bag weights'!A$1:B$20,2,FALSE)</f>
        <v>0</v>
      </c>
      <c r="O16" s="122"/>
      <c r="P16">
        <f>N16-VLOOKUP(O16,'Bag weights'!A$1:B$20,2,FALSE)</f>
        <v>0</v>
      </c>
      <c r="S16">
        <f>Q16-VLOOKUP(R16,'Bag weights'!A$1:B$20,2,FALSE)</f>
        <v>0</v>
      </c>
      <c r="V16">
        <f>T16-VLOOKUP(U16,'Bag weights'!A$1:B$20,2,FALSE)</f>
        <v>0</v>
      </c>
      <c r="Y16">
        <f>W16-VLOOKUP(X16,'Bag weights'!A$1:B$20,2,FALSE)</f>
        <v>0</v>
      </c>
      <c r="AB16">
        <f>Z16-VLOOKUP(AA16,'Bag weights'!A$1:B$20,2,FALSE)</f>
        <v>0</v>
      </c>
      <c r="AE16">
        <f>AC16-VLOOKUP(AD16,'Bag weights'!A$1:B$20,2,FALSE)</f>
        <v>0</v>
      </c>
      <c r="AH16">
        <f>AF16-VLOOKUP(AG16,'Bag weights'!A$1:B$20,2,FALSE)</f>
        <v>0</v>
      </c>
      <c r="AK16">
        <f>AI16-VLOOKUP(AJ16,'Bag weights'!A$1:B$20,2,FALSE)</f>
        <v>0</v>
      </c>
      <c r="AN16">
        <f>AL16-VLOOKUP(AM16,'Bag weights'!A$1:B$20,2,FALSE)</f>
        <v>0</v>
      </c>
      <c r="AP16" s="16"/>
      <c r="AQ16">
        <f>AO16-VLOOKUP(AP16,'Bag weights'!A$1:B$20,2,FALSE)</f>
        <v>0</v>
      </c>
      <c r="AT16">
        <f>AR16-VLOOKUP(AS16,'Bag weights'!A$1:B$20,2,FALSE)</f>
        <v>0</v>
      </c>
      <c r="AU16" s="16"/>
      <c r="AV16" s="16"/>
      <c r="AW16">
        <f>AU16-VLOOKUP(AV16,'Bag weights'!A$1:B$20,2,FALSE)</f>
        <v>0</v>
      </c>
      <c r="AX16">
        <f t="shared" si="0"/>
        <v>68.86</v>
      </c>
      <c r="BD16" s="120">
        <v>4.8</v>
      </c>
      <c r="BH16" s="16">
        <v>4.9800000000000004</v>
      </c>
    </row>
    <row r="17" spans="1:60">
      <c r="A17" s="87"/>
      <c r="B17" s="87"/>
      <c r="C17" s="87">
        <v>3</v>
      </c>
      <c r="D17" s="87" t="s">
        <v>88</v>
      </c>
      <c r="E17" s="21">
        <v>97.66</v>
      </c>
      <c r="F17" s="21" t="s">
        <v>290</v>
      </c>
      <c r="G17">
        <f>E17-VLOOKUP(F17,'Bag weights'!A:B,2,FALSE)</f>
        <v>70.16</v>
      </c>
      <c r="J17">
        <f>H17-VLOOKUP(I17,'Bag weights'!A:B,2,FALSE)</f>
        <v>0</v>
      </c>
      <c r="M17">
        <f>K17-VLOOKUP(L17,'Bag weights'!A$1:B$20,2,FALSE)</f>
        <v>0</v>
      </c>
      <c r="O17" s="122"/>
      <c r="P17">
        <f>N17-VLOOKUP(O17,'Bag weights'!A$1:B$20,2,FALSE)</f>
        <v>0</v>
      </c>
      <c r="S17">
        <f>Q17-VLOOKUP(R17,'Bag weights'!A$1:B$20,2,FALSE)</f>
        <v>0</v>
      </c>
      <c r="V17">
        <f>T17-VLOOKUP(U17,'Bag weights'!A$1:B$20,2,FALSE)</f>
        <v>0</v>
      </c>
      <c r="Y17">
        <f>W17-VLOOKUP(X17,'Bag weights'!A$1:B$20,2,FALSE)</f>
        <v>0</v>
      </c>
      <c r="AB17">
        <f>Z17-VLOOKUP(AA17,'Bag weights'!A$1:B$20,2,FALSE)</f>
        <v>0</v>
      </c>
      <c r="AE17">
        <f>AC17-VLOOKUP(AD17,'Bag weights'!A$1:B$20,2,FALSE)</f>
        <v>0</v>
      </c>
      <c r="AH17">
        <f>AF17-VLOOKUP(AG17,'Bag weights'!A$1:B$20,2,FALSE)</f>
        <v>0</v>
      </c>
      <c r="AK17">
        <f>AI17-VLOOKUP(AJ17,'Bag weights'!A$1:B$20,2,FALSE)</f>
        <v>0</v>
      </c>
      <c r="AN17">
        <f>AL17-VLOOKUP(AM17,'Bag weights'!A$1:B$20,2,FALSE)</f>
        <v>0</v>
      </c>
      <c r="AQ17">
        <f>AO17-VLOOKUP(AP17,'Bag weights'!A$1:B$20,2,FALSE)</f>
        <v>0</v>
      </c>
      <c r="AT17">
        <f>AR17-VLOOKUP(AS17,'Bag weights'!A$1:B$20,2,FALSE)</f>
        <v>0</v>
      </c>
      <c r="AU17" s="16"/>
      <c r="AV17" s="16"/>
      <c r="AW17">
        <f>AU17-VLOOKUP(AV17,'Bag weights'!A$1:B$20,2,FALSE)</f>
        <v>0</v>
      </c>
      <c r="AX17">
        <f t="shared" si="0"/>
        <v>70.16</v>
      </c>
      <c r="BD17" s="120">
        <v>8.9</v>
      </c>
      <c r="BH17" s="16">
        <v>4.49</v>
      </c>
    </row>
    <row r="18" spans="1:60">
      <c r="A18" s="87"/>
      <c r="B18" s="87"/>
      <c r="C18" s="87">
        <v>4</v>
      </c>
      <c r="D18" s="87" t="s">
        <v>83</v>
      </c>
      <c r="E18" s="21">
        <v>104.12</v>
      </c>
      <c r="F18" s="21" t="s">
        <v>290</v>
      </c>
      <c r="G18">
        <f>E18-VLOOKUP(F18,'Bag weights'!A:B,2,FALSE)</f>
        <v>76.62</v>
      </c>
      <c r="J18">
        <f>H18-VLOOKUP(I18,'Bag weights'!A:B,2,FALSE)</f>
        <v>0</v>
      </c>
      <c r="M18">
        <f>K18-VLOOKUP(L18,'Bag weights'!A$1:B$20,2,FALSE)</f>
        <v>0</v>
      </c>
      <c r="O18" s="122"/>
      <c r="P18">
        <f>N18-VLOOKUP(O18,'Bag weights'!A$1:B$20,2,FALSE)</f>
        <v>0</v>
      </c>
      <c r="S18">
        <f>Q18-VLOOKUP(R18,'Bag weights'!A$1:B$20,2,FALSE)</f>
        <v>0</v>
      </c>
      <c r="V18">
        <f>T18-VLOOKUP(U18,'Bag weights'!A$1:B$20,2,FALSE)</f>
        <v>0</v>
      </c>
      <c r="Y18">
        <f>W18-VLOOKUP(X18,'Bag weights'!A$1:B$20,2,FALSE)</f>
        <v>0</v>
      </c>
      <c r="AB18">
        <f>Z18-VLOOKUP(AA18,'Bag weights'!A$1:B$20,2,FALSE)</f>
        <v>0</v>
      </c>
      <c r="AE18">
        <f>AC18-VLOOKUP(AD18,'Bag weights'!A$1:B$20,2,FALSE)</f>
        <v>0</v>
      </c>
      <c r="AG18" s="16"/>
      <c r="AH18">
        <f>AF18-VLOOKUP(AG18,'Bag weights'!A$1:B$20,2,FALSE)</f>
        <v>0</v>
      </c>
      <c r="AK18">
        <f>AI18-VLOOKUP(AJ18,'Bag weights'!A$1:B$20,2,FALSE)</f>
        <v>0</v>
      </c>
      <c r="AN18">
        <f>AL18-VLOOKUP(AM18,'Bag weights'!A$1:B$20,2,FALSE)</f>
        <v>0</v>
      </c>
      <c r="AQ18">
        <f>AO18-VLOOKUP(AP18,'Bag weights'!A$1:B$20,2,FALSE)</f>
        <v>0</v>
      </c>
      <c r="AT18">
        <f>AR18-VLOOKUP(AS18,'Bag weights'!A$1:B$20,2,FALSE)</f>
        <v>0</v>
      </c>
      <c r="AU18" s="16"/>
      <c r="AV18" s="16"/>
      <c r="AW18">
        <f>AU18-VLOOKUP(AV18,'Bag weights'!A$1:B$20,2,FALSE)</f>
        <v>0</v>
      </c>
      <c r="AX18">
        <f t="shared" si="0"/>
        <v>76.62</v>
      </c>
      <c r="BD18" s="120">
        <v>6</v>
      </c>
      <c r="BH18" s="16">
        <v>6.93</v>
      </c>
    </row>
    <row r="19" spans="1:60">
      <c r="A19" s="87"/>
      <c r="B19" s="87"/>
      <c r="C19" s="87">
        <v>4</v>
      </c>
      <c r="D19" s="87" t="s">
        <v>85</v>
      </c>
      <c r="E19" s="21">
        <v>97.89</v>
      </c>
      <c r="F19" s="21" t="s">
        <v>290</v>
      </c>
      <c r="G19">
        <f>E19-VLOOKUP(F19,'Bag weights'!A:B,2,FALSE)</f>
        <v>70.39</v>
      </c>
      <c r="J19">
        <f>H19-VLOOKUP(I19,'Bag weights'!A:B,2,FALSE)</f>
        <v>0</v>
      </c>
      <c r="M19">
        <f>K19-VLOOKUP(L19,'Bag weights'!A$1:B$20,2,FALSE)</f>
        <v>0</v>
      </c>
      <c r="O19" s="122"/>
      <c r="P19">
        <f>N19-VLOOKUP(O19,'Bag weights'!A$1:B$20,2,FALSE)</f>
        <v>0</v>
      </c>
      <c r="S19">
        <f>Q19-VLOOKUP(R19,'Bag weights'!A$1:B$20,2,FALSE)</f>
        <v>0</v>
      </c>
      <c r="V19">
        <f>T19-VLOOKUP(U19,'Bag weights'!A$1:B$20,2,FALSE)</f>
        <v>0</v>
      </c>
      <c r="Y19">
        <f>W19-VLOOKUP(X19,'Bag weights'!A$1:B$20,2,FALSE)</f>
        <v>0</v>
      </c>
      <c r="AB19">
        <f>Z19-VLOOKUP(AA19,'Bag weights'!A$1:B$20,2,FALSE)</f>
        <v>0</v>
      </c>
      <c r="AE19">
        <f>AC19-VLOOKUP(AD19,'Bag weights'!A$1:B$20,2,FALSE)</f>
        <v>0</v>
      </c>
      <c r="AH19">
        <f>AF19-VLOOKUP(AG19,'Bag weights'!A$1:B$20,2,FALSE)</f>
        <v>0</v>
      </c>
      <c r="AK19">
        <f>AI19-VLOOKUP(AJ19,'Bag weights'!A$1:B$20,2,FALSE)</f>
        <v>0</v>
      </c>
      <c r="AN19">
        <f>AL19-VLOOKUP(AM19,'Bag weights'!A$1:B$20,2,FALSE)</f>
        <v>0</v>
      </c>
      <c r="AQ19">
        <f>AO19-VLOOKUP(AP19,'Bag weights'!A$1:B$20,2,FALSE)</f>
        <v>0</v>
      </c>
      <c r="AT19">
        <f>AR19-VLOOKUP(AS19,'Bag weights'!A$1:B$20,2,FALSE)</f>
        <v>0</v>
      </c>
      <c r="AU19" s="16"/>
      <c r="AV19" s="16"/>
      <c r="AW19">
        <f>AU19-VLOOKUP(AV19,'Bag weights'!A$1:B$20,2,FALSE)</f>
        <v>0</v>
      </c>
      <c r="AX19">
        <f t="shared" si="0"/>
        <v>70.39</v>
      </c>
      <c r="BD19" s="120">
        <v>6.9</v>
      </c>
      <c r="BG19" s="16" t="s">
        <v>303</v>
      </c>
      <c r="BH19" s="16">
        <v>6.35</v>
      </c>
    </row>
    <row r="20" spans="1:60">
      <c r="A20" s="87"/>
      <c r="B20" s="87"/>
      <c r="C20" s="87">
        <v>4</v>
      </c>
      <c r="D20" s="87" t="s">
        <v>87</v>
      </c>
      <c r="E20" s="21">
        <v>101.24</v>
      </c>
      <c r="F20" s="21" t="s">
        <v>290</v>
      </c>
      <c r="G20">
        <f>E20-VLOOKUP(F20,'Bag weights'!A:B,2,FALSE)</f>
        <v>73.739999999999995</v>
      </c>
      <c r="J20">
        <f>H20-VLOOKUP(I20,'Bag weights'!A:B,2,FALSE)</f>
        <v>0</v>
      </c>
      <c r="M20">
        <f>K20-VLOOKUP(L20,'Bag weights'!A$1:B$20,2,FALSE)</f>
        <v>0</v>
      </c>
      <c r="O20" s="122"/>
      <c r="P20">
        <f>N20-VLOOKUP(O20,'Bag weights'!A$1:B$20,2,FALSE)</f>
        <v>0</v>
      </c>
      <c r="S20">
        <f>Q20-VLOOKUP(R20,'Bag weights'!A$1:B$20,2,FALSE)</f>
        <v>0</v>
      </c>
      <c r="V20">
        <f>T20-VLOOKUP(U20,'Bag weights'!A$1:B$20,2,FALSE)</f>
        <v>0</v>
      </c>
      <c r="Y20">
        <f>W20-VLOOKUP(X20,'Bag weights'!A$1:B$20,2,FALSE)</f>
        <v>0</v>
      </c>
      <c r="AB20">
        <f>Z20-VLOOKUP(AA20,'Bag weights'!A$1:B$20,2,FALSE)</f>
        <v>0</v>
      </c>
      <c r="AE20">
        <f>AC20-VLOOKUP(AD20,'Bag weights'!A$1:B$20,2,FALSE)</f>
        <v>0</v>
      </c>
      <c r="AH20">
        <f>AF20-VLOOKUP(AG20,'Bag weights'!A$1:B$20,2,FALSE)</f>
        <v>0</v>
      </c>
      <c r="AK20">
        <f>AI20-VLOOKUP(AJ20,'Bag weights'!A$1:B$20,2,FALSE)</f>
        <v>0</v>
      </c>
      <c r="AN20">
        <f>AL20-VLOOKUP(AM20,'Bag weights'!A$1:B$20,2,FALSE)</f>
        <v>0</v>
      </c>
      <c r="AQ20">
        <f>AO20-VLOOKUP(AP20,'Bag weights'!A$1:B$20,2,FALSE)</f>
        <v>0</v>
      </c>
      <c r="AT20">
        <f>AR20-VLOOKUP(AS20,'Bag weights'!A$1:B$20,2,FALSE)</f>
        <v>0</v>
      </c>
      <c r="AU20" s="16"/>
      <c r="AV20" s="16"/>
      <c r="AW20">
        <f>AU20-VLOOKUP(AV20,'Bag weights'!A$1:B$20,2,FALSE)</f>
        <v>0</v>
      </c>
      <c r="AX20">
        <f t="shared" si="0"/>
        <v>73.739999999999995</v>
      </c>
      <c r="BD20" s="120">
        <v>7.5</v>
      </c>
      <c r="BH20" s="16">
        <v>5.09</v>
      </c>
    </row>
    <row r="21" spans="1:60">
      <c r="A21" s="87"/>
      <c r="B21" s="87"/>
      <c r="C21" s="87">
        <v>4</v>
      </c>
      <c r="D21" s="87" t="s">
        <v>79</v>
      </c>
      <c r="E21" s="21">
        <v>115.41</v>
      </c>
      <c r="F21" s="21" t="s">
        <v>290</v>
      </c>
      <c r="G21">
        <f>E21-VLOOKUP(F21,'Bag weights'!A:B,2,FALSE)</f>
        <v>87.91</v>
      </c>
      <c r="J21">
        <f>H21-VLOOKUP(I21,'Bag weights'!A:B,2,FALSE)</f>
        <v>0</v>
      </c>
      <c r="M21">
        <f>K21-VLOOKUP(L21,'Bag weights'!A$1:B$20,2,FALSE)</f>
        <v>0</v>
      </c>
      <c r="O21" s="122"/>
      <c r="P21">
        <f>N21-VLOOKUP(O21,'Bag weights'!A$1:B$20,2,FALSE)</f>
        <v>0</v>
      </c>
      <c r="S21">
        <f>Q21-VLOOKUP(R21,'Bag weights'!A$1:B$20,2,FALSE)</f>
        <v>0</v>
      </c>
      <c r="V21">
        <f>T21-VLOOKUP(U21,'Bag weights'!A$1:B$20,2,FALSE)</f>
        <v>0</v>
      </c>
      <c r="Y21">
        <f>W21-VLOOKUP(X21,'Bag weights'!A$1:B$20,2,FALSE)</f>
        <v>0</v>
      </c>
      <c r="AB21">
        <f>Z21-VLOOKUP(AA21,'Bag weights'!A$1:B$20,2,FALSE)</f>
        <v>0</v>
      </c>
      <c r="AE21">
        <f>AC21-VLOOKUP(AD21,'Bag weights'!A$1:B$20,2,FALSE)</f>
        <v>0</v>
      </c>
      <c r="AH21">
        <f>AF21-VLOOKUP(AG21,'Bag weights'!A$1:B$20,2,FALSE)</f>
        <v>0</v>
      </c>
      <c r="AK21">
        <f>AI21-VLOOKUP(AJ21,'Bag weights'!A$1:B$20,2,FALSE)</f>
        <v>0</v>
      </c>
      <c r="AN21">
        <f>AL21-VLOOKUP(AM21,'Bag weights'!A$1:B$20,2,FALSE)</f>
        <v>0</v>
      </c>
      <c r="AQ21">
        <f>AO21-VLOOKUP(AP21,'Bag weights'!A$1:B$20,2,FALSE)</f>
        <v>0</v>
      </c>
      <c r="AT21">
        <f>AR21-VLOOKUP(AS21,'Bag weights'!A$1:B$20,2,FALSE)</f>
        <v>0</v>
      </c>
      <c r="AU21" s="16"/>
      <c r="AV21" s="16"/>
      <c r="AW21">
        <f>AU21-VLOOKUP(AV21,'Bag weights'!A$1:B$20,2,FALSE)</f>
        <v>0</v>
      </c>
      <c r="AX21">
        <f t="shared" si="0"/>
        <v>87.91</v>
      </c>
      <c r="BD21" s="120">
        <v>7.6</v>
      </c>
      <c r="BH21" s="16">
        <v>4.12</v>
      </c>
    </row>
    <row r="22" spans="1:60">
      <c r="A22" s="87"/>
      <c r="B22" s="87"/>
      <c r="C22" s="87">
        <v>4</v>
      </c>
      <c r="D22" s="87" t="s">
        <v>88</v>
      </c>
      <c r="E22" s="21">
        <v>96.03</v>
      </c>
      <c r="F22" s="21" t="s">
        <v>276</v>
      </c>
      <c r="G22">
        <f>E22-VLOOKUP(F22,'Bag weights'!A:B,2,FALSE)</f>
        <v>75.08</v>
      </c>
      <c r="J22">
        <f>H22-VLOOKUP(I22,'Bag weights'!A:B,2,FALSE)</f>
        <v>0</v>
      </c>
      <c r="M22">
        <f>K22-VLOOKUP(L22,'Bag weights'!A$1:B$20,2,FALSE)</f>
        <v>0</v>
      </c>
      <c r="O22" s="122"/>
      <c r="P22">
        <f>N22-VLOOKUP(O22,'Bag weights'!A$1:B$20,2,FALSE)</f>
        <v>0</v>
      </c>
      <c r="S22">
        <f>Q22-VLOOKUP(R22,'Bag weights'!A$1:B$20,2,FALSE)</f>
        <v>0</v>
      </c>
      <c r="V22">
        <f>T22-VLOOKUP(U22,'Bag weights'!A$1:B$20,2,FALSE)</f>
        <v>0</v>
      </c>
      <c r="Y22">
        <f>W22-VLOOKUP(X22,'Bag weights'!A$1:B$20,2,FALSE)</f>
        <v>0</v>
      </c>
      <c r="AB22">
        <f>Z22-VLOOKUP(AA22,'Bag weights'!A$1:B$20,2,FALSE)</f>
        <v>0</v>
      </c>
      <c r="AE22">
        <f>AC22-VLOOKUP(AD22,'Bag weights'!A$1:B$20,2,FALSE)</f>
        <v>0</v>
      </c>
      <c r="AH22">
        <f>AF22-VLOOKUP(AG22,'Bag weights'!A$1:B$20,2,FALSE)</f>
        <v>0</v>
      </c>
      <c r="AK22">
        <f>AI22-VLOOKUP(AJ22,'Bag weights'!A$1:B$20,2,FALSE)</f>
        <v>0</v>
      </c>
      <c r="AN22">
        <f>AL22-VLOOKUP(AM22,'Bag weights'!A$1:B$20,2,FALSE)</f>
        <v>0</v>
      </c>
      <c r="AQ22">
        <f>AO22-VLOOKUP(AP22,'Bag weights'!A$1:B$20,2,FALSE)</f>
        <v>0</v>
      </c>
      <c r="AT22">
        <f>AR22-VLOOKUP(AS22,'Bag weights'!A$1:B$20,2,FALSE)</f>
        <v>0</v>
      </c>
      <c r="AU22" s="16"/>
      <c r="AV22" s="16"/>
      <c r="AW22">
        <f>AU22-VLOOKUP(AV22,'Bag weights'!A$1:B$20,2,FALSE)</f>
        <v>0</v>
      </c>
      <c r="AX22">
        <f t="shared" si="0"/>
        <v>75.08</v>
      </c>
      <c r="BD22" s="120">
        <v>9.8000000000000007</v>
      </c>
      <c r="BH22" s="16">
        <v>6.58</v>
      </c>
    </row>
    <row r="23" spans="1:60">
      <c r="A23" s="87" t="s">
        <v>78</v>
      </c>
      <c r="B23" s="87" t="s">
        <v>94</v>
      </c>
      <c r="C23" s="87">
        <v>1</v>
      </c>
      <c r="D23" s="87" t="s">
        <v>83</v>
      </c>
      <c r="E23" s="21">
        <v>87.05</v>
      </c>
      <c r="F23" s="21" t="s">
        <v>276</v>
      </c>
      <c r="G23">
        <f>E23-VLOOKUP(F23,'Bag weights'!A:B,2,FALSE)</f>
        <v>66.099999999999994</v>
      </c>
      <c r="J23">
        <f>H23-VLOOKUP(I23,'Bag weights'!A:B,2,FALSE)</f>
        <v>0</v>
      </c>
      <c r="M23">
        <f>K23-VLOOKUP(L23,'Bag weights'!A$1:B$20,2,FALSE)</f>
        <v>0</v>
      </c>
      <c r="O23" s="122"/>
      <c r="P23">
        <f>N23-VLOOKUP(O23,'Bag weights'!A$1:B$20,2,FALSE)</f>
        <v>0</v>
      </c>
      <c r="S23">
        <f>Q23-VLOOKUP(R23,'Bag weights'!A$1:B$20,2,FALSE)</f>
        <v>0</v>
      </c>
      <c r="V23">
        <f>T23-VLOOKUP(U23,'Bag weights'!A$1:B$20,2,FALSE)</f>
        <v>0</v>
      </c>
      <c r="Y23">
        <f>W23-VLOOKUP(X23,'Bag weights'!A$1:B$20,2,FALSE)</f>
        <v>0</v>
      </c>
      <c r="AB23">
        <f>Z23-VLOOKUP(AA23,'Bag weights'!A$1:B$20,2,FALSE)</f>
        <v>0</v>
      </c>
      <c r="AE23">
        <f>AC23-VLOOKUP(AD23,'Bag weights'!A$1:B$20,2,FALSE)</f>
        <v>0</v>
      </c>
      <c r="AH23">
        <f>AF23-VLOOKUP(AG23,'Bag weights'!A$1:B$20,2,FALSE)</f>
        <v>0</v>
      </c>
      <c r="AK23">
        <f>AI23-VLOOKUP(AJ23,'Bag weights'!A$1:B$20,2,FALSE)</f>
        <v>0</v>
      </c>
      <c r="AN23">
        <f>AL23-VLOOKUP(AM23,'Bag weights'!A$1:B$20,2,FALSE)</f>
        <v>0</v>
      </c>
      <c r="AQ23">
        <f>AO23-VLOOKUP(AP23,'Bag weights'!A$1:B$20,2,FALSE)</f>
        <v>0</v>
      </c>
      <c r="AT23">
        <f>AR23-VLOOKUP(AS23,'Bag weights'!A$1:B$20,2,FALSE)</f>
        <v>0</v>
      </c>
      <c r="AU23" s="16"/>
      <c r="AV23" s="16"/>
      <c r="AW23">
        <f>AU23-VLOOKUP(AV23,'Bag weights'!A$1:B$20,2,FALSE)</f>
        <v>0</v>
      </c>
      <c r="AX23">
        <f t="shared" si="0"/>
        <v>66.099999999999994</v>
      </c>
      <c r="BD23" s="120">
        <v>3.5</v>
      </c>
      <c r="BH23" s="16">
        <v>2.68</v>
      </c>
    </row>
    <row r="24" spans="1:60">
      <c r="A24" s="86" t="s">
        <v>289</v>
      </c>
      <c r="B24" s="87"/>
      <c r="C24" s="87">
        <v>1</v>
      </c>
      <c r="D24" s="87" t="s">
        <v>85</v>
      </c>
      <c r="E24" s="21">
        <v>99.98</v>
      </c>
      <c r="F24" s="21" t="s">
        <v>290</v>
      </c>
      <c r="G24">
        <f>E24-VLOOKUP(F24,'Bag weights'!A:B,2,FALSE)</f>
        <v>72.48</v>
      </c>
      <c r="J24">
        <f>H24-VLOOKUP(I24,'Bag weights'!A:B,2,FALSE)</f>
        <v>0</v>
      </c>
      <c r="M24">
        <f>K24-VLOOKUP(L24,'Bag weights'!A$1:B$20,2,FALSE)</f>
        <v>0</v>
      </c>
      <c r="O24" s="122"/>
      <c r="P24">
        <f>N24-VLOOKUP(O24,'Bag weights'!A$1:B$20,2,FALSE)</f>
        <v>0</v>
      </c>
      <c r="S24">
        <f>Q24-VLOOKUP(R24,'Bag weights'!A$1:B$20,2,FALSE)</f>
        <v>0</v>
      </c>
      <c r="V24">
        <f>T24-VLOOKUP(U24,'Bag weights'!A$1:B$20,2,FALSE)</f>
        <v>0</v>
      </c>
      <c r="Y24">
        <f>W24-VLOOKUP(X24,'Bag weights'!A$1:B$20,2,FALSE)</f>
        <v>0</v>
      </c>
      <c r="AB24">
        <f>Z24-VLOOKUP(AA24,'Bag weights'!A$1:B$20,2,FALSE)</f>
        <v>0</v>
      </c>
      <c r="AE24">
        <f>AC24-VLOOKUP(AD24,'Bag weights'!A$1:B$20,2,FALSE)</f>
        <v>0</v>
      </c>
      <c r="AH24">
        <f>AF24-VLOOKUP(AG24,'Bag weights'!A$1:B$20,2,FALSE)</f>
        <v>0</v>
      </c>
      <c r="AK24">
        <f>AI24-VLOOKUP(AJ24,'Bag weights'!A$1:B$20,2,FALSE)</f>
        <v>0</v>
      </c>
      <c r="AN24">
        <f>AL24-VLOOKUP(AM24,'Bag weights'!A$1:B$20,2,FALSE)</f>
        <v>0</v>
      </c>
      <c r="AQ24">
        <f>AO24-VLOOKUP(AP24,'Bag weights'!A$1:B$20,2,FALSE)</f>
        <v>0</v>
      </c>
      <c r="AT24">
        <f>AR24-VLOOKUP(AS24,'Bag weights'!A$1:B$20,2,FALSE)</f>
        <v>0</v>
      </c>
      <c r="AU24" s="16"/>
      <c r="AV24" s="16"/>
      <c r="AW24">
        <f>AU24-VLOOKUP(AV24,'Bag weights'!A$1:B$20,2,FALSE)</f>
        <v>0</v>
      </c>
      <c r="AX24">
        <f t="shared" si="0"/>
        <v>72.48</v>
      </c>
      <c r="BD24" s="120">
        <v>4.2</v>
      </c>
      <c r="BH24" s="16">
        <v>5.36</v>
      </c>
    </row>
    <row r="25" spans="1:60">
      <c r="A25" s="87"/>
      <c r="B25" s="87"/>
      <c r="C25" s="87">
        <v>1</v>
      </c>
      <c r="D25" s="87" t="s">
        <v>87</v>
      </c>
      <c r="E25" s="2"/>
      <c r="F25" s="2"/>
      <c r="G25">
        <f>E25-VLOOKUP(F25,'Bag weights'!A:B,2,FALSE)</f>
        <v>0</v>
      </c>
      <c r="J25">
        <f>H25-VLOOKUP(I25,'Bag weights'!A:B,2,FALSE)</f>
        <v>0</v>
      </c>
      <c r="M25">
        <f>K25-VLOOKUP(L25,'Bag weights'!A$1:B$20,2,FALSE)</f>
        <v>0</v>
      </c>
      <c r="O25" s="122"/>
      <c r="P25">
        <f>N25-VLOOKUP(O25,'Bag weights'!A$1:B$20,2,FALSE)</f>
        <v>0</v>
      </c>
      <c r="S25">
        <f>Q25-VLOOKUP(R25,'Bag weights'!A$1:B$20,2,FALSE)</f>
        <v>0</v>
      </c>
      <c r="V25">
        <f>T25-VLOOKUP(U25,'Bag weights'!A$1:B$20,2,FALSE)</f>
        <v>0</v>
      </c>
      <c r="Y25">
        <f>W25-VLOOKUP(X25,'Bag weights'!A$1:B$20,2,FALSE)</f>
        <v>0</v>
      </c>
      <c r="AB25">
        <f>Z25-VLOOKUP(AA25,'Bag weights'!A$1:B$20,2,FALSE)</f>
        <v>0</v>
      </c>
      <c r="AE25">
        <f>AC25-VLOOKUP(AD25,'Bag weights'!A$1:B$20,2,FALSE)</f>
        <v>0</v>
      </c>
      <c r="AH25">
        <f>AF25-VLOOKUP(AG25,'Bag weights'!A$1:B$20,2,FALSE)</f>
        <v>0</v>
      </c>
      <c r="AK25">
        <f>AI25-VLOOKUP(AJ25,'Bag weights'!A$1:B$20,2,FALSE)</f>
        <v>0</v>
      </c>
      <c r="AN25">
        <f>AL25-VLOOKUP(AM25,'Bag weights'!A$1:B$20,2,FALSE)</f>
        <v>0</v>
      </c>
      <c r="AQ25">
        <f>AO25-VLOOKUP(AP25,'Bag weights'!A$1:B$20,2,FALSE)</f>
        <v>0</v>
      </c>
      <c r="AT25">
        <f>AR25-VLOOKUP(AS25,'Bag weights'!A$1:B$20,2,FALSE)</f>
        <v>0</v>
      </c>
      <c r="AW25">
        <f>AU25-VLOOKUP(AV25,'Bag weights'!A$1:B$20,2,FALSE)</f>
        <v>0</v>
      </c>
      <c r="AX25">
        <f t="shared" si="0"/>
        <v>0</v>
      </c>
      <c r="BD25" s="120">
        <v>3.1</v>
      </c>
      <c r="BH25" s="16">
        <v>5.73</v>
      </c>
    </row>
    <row r="26" spans="1:60">
      <c r="A26" s="87"/>
      <c r="B26" s="87"/>
      <c r="C26" s="87">
        <v>1</v>
      </c>
      <c r="D26" s="87" t="s">
        <v>79</v>
      </c>
      <c r="E26" s="21">
        <v>83.85</v>
      </c>
      <c r="F26" s="21" t="s">
        <v>290</v>
      </c>
      <c r="G26">
        <f>E26-VLOOKUP(F26,'Bag weights'!A:B,2,FALSE)</f>
        <v>56.349999999999994</v>
      </c>
      <c r="J26">
        <f>H26-VLOOKUP(I26,'Bag weights'!A:B,2,FALSE)</f>
        <v>0</v>
      </c>
      <c r="M26">
        <f>K26-VLOOKUP(L26,'Bag weights'!A$1:B$20,2,FALSE)</f>
        <v>0</v>
      </c>
      <c r="O26" s="122"/>
      <c r="P26">
        <f>N26-VLOOKUP(O26,'Bag weights'!A$1:B$20,2,FALSE)</f>
        <v>0</v>
      </c>
      <c r="S26">
        <f>Q26-VLOOKUP(R26,'Bag weights'!A$1:B$20,2,FALSE)</f>
        <v>0</v>
      </c>
      <c r="V26">
        <f>T26-VLOOKUP(U26,'Bag weights'!A$1:B$20,2,FALSE)</f>
        <v>0</v>
      </c>
      <c r="Y26">
        <f>W26-VLOOKUP(X26,'Bag weights'!A$1:B$20,2,FALSE)</f>
        <v>0</v>
      </c>
      <c r="AB26">
        <f>Z26-VLOOKUP(AA26,'Bag weights'!A$1:B$20,2,FALSE)</f>
        <v>0</v>
      </c>
      <c r="AE26">
        <f>AC26-VLOOKUP(AD26,'Bag weights'!A$1:B$20,2,FALSE)</f>
        <v>0</v>
      </c>
      <c r="AH26">
        <f>AF26-VLOOKUP(AG26,'Bag weights'!A$1:B$20,2,FALSE)</f>
        <v>0</v>
      </c>
      <c r="AK26">
        <f>AI26-VLOOKUP(AJ26,'Bag weights'!A$1:B$20,2,FALSE)</f>
        <v>0</v>
      </c>
      <c r="AN26">
        <f>AL26-VLOOKUP(AM26,'Bag weights'!A$1:B$20,2,FALSE)</f>
        <v>0</v>
      </c>
      <c r="AQ26">
        <f>AO26-VLOOKUP(AP26,'Bag weights'!A$1:B$20,2,FALSE)</f>
        <v>0</v>
      </c>
      <c r="AT26">
        <f>AR26-VLOOKUP(AS26,'Bag weights'!A$1:B$20,2,FALSE)</f>
        <v>0</v>
      </c>
      <c r="AU26" s="16"/>
      <c r="AV26" s="16"/>
      <c r="AW26">
        <f>AU26-VLOOKUP(AV26,'Bag weights'!A$1:B$20,2,FALSE)</f>
        <v>0</v>
      </c>
      <c r="AX26">
        <f t="shared" si="0"/>
        <v>56.349999999999994</v>
      </c>
      <c r="BD26" s="120">
        <v>6.9</v>
      </c>
      <c r="BH26" s="16">
        <v>5.38</v>
      </c>
    </row>
    <row r="27" spans="1:60">
      <c r="A27" s="87"/>
      <c r="B27" s="87"/>
      <c r="C27" s="87">
        <v>1</v>
      </c>
      <c r="D27" s="87" t="s">
        <v>88</v>
      </c>
      <c r="E27" s="21">
        <v>90.1</v>
      </c>
      <c r="F27" s="21" t="s">
        <v>290</v>
      </c>
      <c r="G27">
        <f>E27-VLOOKUP(F27,'Bag weights'!A:B,2,FALSE)</f>
        <v>62.599999999999994</v>
      </c>
      <c r="J27">
        <f>H27-VLOOKUP(I27,'Bag weights'!A:B,2,FALSE)</f>
        <v>0</v>
      </c>
      <c r="M27">
        <f>K27-VLOOKUP(L27,'Bag weights'!A$1:B$20,2,FALSE)</f>
        <v>0</v>
      </c>
      <c r="O27" s="122"/>
      <c r="P27">
        <f>N27-VLOOKUP(O27,'Bag weights'!A$1:B$20,2,FALSE)</f>
        <v>0</v>
      </c>
      <c r="S27">
        <f>Q27-VLOOKUP(R27,'Bag weights'!A$1:B$20,2,FALSE)</f>
        <v>0</v>
      </c>
      <c r="V27">
        <f>T27-VLOOKUP(U27,'Bag weights'!A$1:B$20,2,FALSE)</f>
        <v>0</v>
      </c>
      <c r="Y27">
        <f>W27-VLOOKUP(X27,'Bag weights'!A$1:B$20,2,FALSE)</f>
        <v>0</v>
      </c>
      <c r="AB27">
        <f>Z27-VLOOKUP(AA27,'Bag weights'!A$1:B$20,2,FALSE)</f>
        <v>0</v>
      </c>
      <c r="AE27">
        <f>AC27-VLOOKUP(AD27,'Bag weights'!A$1:B$20,2,FALSE)</f>
        <v>0</v>
      </c>
      <c r="AH27">
        <f>AF27-VLOOKUP(AG27,'Bag weights'!A$1:B$20,2,FALSE)</f>
        <v>0</v>
      </c>
      <c r="AK27">
        <f>AI27-VLOOKUP(AJ27,'Bag weights'!A$1:B$20,2,FALSE)</f>
        <v>0</v>
      </c>
      <c r="AN27">
        <f>AL27-VLOOKUP(AM27,'Bag weights'!A$1:B$20,2,FALSE)</f>
        <v>0</v>
      </c>
      <c r="AQ27">
        <f>AO27-VLOOKUP(AP27,'Bag weights'!A$1:B$20,2,FALSE)</f>
        <v>0</v>
      </c>
      <c r="AT27">
        <f>AR27-VLOOKUP(AS27,'Bag weights'!A$1:B$20,2,FALSE)</f>
        <v>0</v>
      </c>
      <c r="AU27" s="16"/>
      <c r="AV27" s="16"/>
      <c r="AW27">
        <f>AU27-VLOOKUP(AV27,'Bag weights'!A$1:B$20,2,FALSE)</f>
        <v>0</v>
      </c>
      <c r="AX27">
        <f t="shared" si="0"/>
        <v>62.599999999999994</v>
      </c>
      <c r="BD27" s="120">
        <v>6.7</v>
      </c>
      <c r="BH27" s="16">
        <v>6.06</v>
      </c>
    </row>
    <row r="28" spans="1:60">
      <c r="A28" s="87"/>
      <c r="B28" s="87"/>
      <c r="C28" s="87">
        <v>2</v>
      </c>
      <c r="D28" s="87" t="s">
        <v>83</v>
      </c>
      <c r="E28" s="21">
        <v>67.900000000000006</v>
      </c>
      <c r="F28" s="21" t="s">
        <v>290</v>
      </c>
      <c r="G28">
        <f>E28-VLOOKUP(F28,'Bag weights'!A:B,2,FALSE)</f>
        <v>40.400000000000006</v>
      </c>
      <c r="J28">
        <f>H28-VLOOKUP(I28,'Bag weights'!A:B,2,FALSE)</f>
        <v>0</v>
      </c>
      <c r="M28">
        <f>K28-VLOOKUP(L28,'Bag weights'!A$1:B$20,2,FALSE)</f>
        <v>0</v>
      </c>
      <c r="O28" s="122"/>
      <c r="P28">
        <f>N28-VLOOKUP(O28,'Bag weights'!A$1:B$20,2,FALSE)</f>
        <v>0</v>
      </c>
      <c r="S28">
        <f>Q28-VLOOKUP(R28,'Bag weights'!A$1:B$20,2,FALSE)</f>
        <v>0</v>
      </c>
      <c r="V28">
        <f>T28-VLOOKUP(U28,'Bag weights'!A$1:B$20,2,FALSE)</f>
        <v>0</v>
      </c>
      <c r="Y28">
        <f>W28-VLOOKUP(X28,'Bag weights'!A$1:B$20,2,FALSE)</f>
        <v>0</v>
      </c>
      <c r="AB28">
        <f>Z28-VLOOKUP(AA28,'Bag weights'!A$1:B$20,2,FALSE)</f>
        <v>0</v>
      </c>
      <c r="AE28">
        <f>AC28-VLOOKUP(AD28,'Bag weights'!A$1:B$20,2,FALSE)</f>
        <v>0</v>
      </c>
      <c r="AH28">
        <f>AF28-VLOOKUP(AG28,'Bag weights'!A$1:B$20,2,FALSE)</f>
        <v>0</v>
      </c>
      <c r="AK28">
        <f>AI28-VLOOKUP(AJ28,'Bag weights'!A$1:B$20,2,FALSE)</f>
        <v>0</v>
      </c>
      <c r="AN28">
        <f>AL28-VLOOKUP(AM28,'Bag weights'!A$1:B$20,2,FALSE)</f>
        <v>0</v>
      </c>
      <c r="AQ28">
        <f>AO28-VLOOKUP(AP28,'Bag weights'!A$1:B$20,2,FALSE)</f>
        <v>0</v>
      </c>
      <c r="AT28">
        <f>AR28-VLOOKUP(AS28,'Bag weights'!A$1:B$20,2,FALSE)</f>
        <v>0</v>
      </c>
      <c r="AU28" s="16"/>
      <c r="AV28" s="16"/>
      <c r="AW28">
        <f>AU28-VLOOKUP(AV28,'Bag weights'!A$1:B$20,2,FALSE)</f>
        <v>0</v>
      </c>
      <c r="AX28">
        <f t="shared" si="0"/>
        <v>40.400000000000006</v>
      </c>
      <c r="BD28" s="120">
        <v>3.3</v>
      </c>
      <c r="BH28" s="16">
        <v>4.08</v>
      </c>
    </row>
    <row r="29" spans="1:60">
      <c r="A29" s="87"/>
      <c r="B29" s="87"/>
      <c r="C29" s="87">
        <v>2</v>
      </c>
      <c r="D29" s="87" t="s">
        <v>85</v>
      </c>
      <c r="E29" s="21">
        <v>93.18</v>
      </c>
      <c r="F29" s="21" t="s">
        <v>290</v>
      </c>
      <c r="G29">
        <f>E29-VLOOKUP(F29,'Bag weights'!A:B,2,FALSE)</f>
        <v>65.680000000000007</v>
      </c>
      <c r="J29">
        <f>H29-VLOOKUP(I29,'Bag weights'!A:B,2,FALSE)</f>
        <v>0</v>
      </c>
      <c r="M29">
        <f>K29-VLOOKUP(L29,'Bag weights'!A$1:B$20,2,FALSE)</f>
        <v>0</v>
      </c>
      <c r="O29" s="122"/>
      <c r="P29">
        <f>N29-VLOOKUP(O29,'Bag weights'!A$1:B$20,2,FALSE)</f>
        <v>0</v>
      </c>
      <c r="S29">
        <f>Q29-VLOOKUP(R29,'Bag weights'!A$1:B$20,2,FALSE)</f>
        <v>0</v>
      </c>
      <c r="V29">
        <f>T29-VLOOKUP(U29,'Bag weights'!A$1:B$20,2,FALSE)</f>
        <v>0</v>
      </c>
      <c r="Y29">
        <f>W29-VLOOKUP(X29,'Bag weights'!A$1:B$20,2,FALSE)</f>
        <v>0</v>
      </c>
      <c r="AB29">
        <f>Z29-VLOOKUP(AA29,'Bag weights'!A$1:B$20,2,FALSE)</f>
        <v>0</v>
      </c>
      <c r="AE29">
        <f>AC29-VLOOKUP(AD29,'Bag weights'!A$1:B$20,2,FALSE)</f>
        <v>0</v>
      </c>
      <c r="AH29">
        <f>AF29-VLOOKUP(AG29,'Bag weights'!A$1:B$20,2,FALSE)</f>
        <v>0</v>
      </c>
      <c r="AK29">
        <f>AI29-VLOOKUP(AJ29,'Bag weights'!A$1:B$20,2,FALSE)</f>
        <v>0</v>
      </c>
      <c r="AN29">
        <f>AL29-VLOOKUP(AM29,'Bag weights'!A$1:B$20,2,FALSE)</f>
        <v>0</v>
      </c>
      <c r="AQ29">
        <f>AO29-VLOOKUP(AP29,'Bag weights'!A$1:B$20,2,FALSE)</f>
        <v>0</v>
      </c>
      <c r="AT29">
        <f>AR29-VLOOKUP(AS29,'Bag weights'!A$1:B$20,2,FALSE)</f>
        <v>0</v>
      </c>
      <c r="AU29" s="16"/>
      <c r="AV29" s="16"/>
      <c r="AW29">
        <f>AU29-VLOOKUP(AV29,'Bag weights'!A$1:B$20,2,FALSE)</f>
        <v>0</v>
      </c>
      <c r="AX29">
        <f t="shared" si="0"/>
        <v>65.680000000000007</v>
      </c>
      <c r="BD29" s="120">
        <v>10.5</v>
      </c>
      <c r="BH29" s="16">
        <v>5.58</v>
      </c>
    </row>
    <row r="30" spans="1:60">
      <c r="A30" s="87"/>
      <c r="B30" s="87"/>
      <c r="C30" s="87">
        <v>2</v>
      </c>
      <c r="D30" s="87" t="s">
        <v>87</v>
      </c>
      <c r="E30" s="21">
        <v>89.31</v>
      </c>
      <c r="F30" s="21" t="s">
        <v>276</v>
      </c>
      <c r="G30">
        <f>E30-VLOOKUP(F30,'Bag weights'!A:B,2,FALSE)</f>
        <v>68.36</v>
      </c>
      <c r="J30">
        <f>H30-VLOOKUP(I30,'Bag weights'!A:B,2,FALSE)</f>
        <v>0</v>
      </c>
      <c r="M30">
        <f>K30-VLOOKUP(L30,'Bag weights'!A$1:B$20,2,FALSE)</f>
        <v>0</v>
      </c>
      <c r="O30" s="122"/>
      <c r="P30">
        <f>N30-VLOOKUP(O30,'Bag weights'!A$1:B$20,2,FALSE)</f>
        <v>0</v>
      </c>
      <c r="S30">
        <f>Q30-VLOOKUP(R30,'Bag weights'!A$1:B$20,2,FALSE)</f>
        <v>0</v>
      </c>
      <c r="V30">
        <f>T30-VLOOKUP(U30,'Bag weights'!A$1:B$20,2,FALSE)</f>
        <v>0</v>
      </c>
      <c r="Y30">
        <f>W30-VLOOKUP(X30,'Bag weights'!A$1:B$20,2,FALSE)</f>
        <v>0</v>
      </c>
      <c r="AB30">
        <f>Z30-VLOOKUP(AA30,'Bag weights'!A$1:B$20,2,FALSE)</f>
        <v>0</v>
      </c>
      <c r="AE30">
        <f>AC30-VLOOKUP(AD30,'Bag weights'!A$1:B$20,2,FALSE)</f>
        <v>0</v>
      </c>
      <c r="AH30">
        <f>AF30-VLOOKUP(AG30,'Bag weights'!A$1:B$20,2,FALSE)</f>
        <v>0</v>
      </c>
      <c r="AK30">
        <f>AI30-VLOOKUP(AJ30,'Bag weights'!A$1:B$20,2,FALSE)</f>
        <v>0</v>
      </c>
      <c r="AN30">
        <f>AL30-VLOOKUP(AM30,'Bag weights'!A$1:B$20,2,FALSE)</f>
        <v>0</v>
      </c>
      <c r="AQ30">
        <f>AO30-VLOOKUP(AP30,'Bag weights'!A$1:B$20,2,FALSE)</f>
        <v>0</v>
      </c>
      <c r="AT30">
        <f>AR30-VLOOKUP(AS30,'Bag weights'!A$1:B$20,2,FALSE)</f>
        <v>0</v>
      </c>
      <c r="AU30" s="16"/>
      <c r="AV30" s="16"/>
      <c r="AW30">
        <f>AU30-VLOOKUP(AV30,'Bag weights'!A$1:B$20,2,FALSE)</f>
        <v>0</v>
      </c>
      <c r="AX30">
        <f t="shared" si="0"/>
        <v>68.36</v>
      </c>
      <c r="BD30" s="120">
        <v>6.2</v>
      </c>
      <c r="BH30" s="16">
        <v>3.87</v>
      </c>
    </row>
    <row r="31" spans="1:60">
      <c r="A31" s="87"/>
      <c r="B31" s="87"/>
      <c r="C31" s="87">
        <v>2</v>
      </c>
      <c r="D31" s="87" t="s">
        <v>79</v>
      </c>
      <c r="E31" s="21">
        <v>92.11</v>
      </c>
      <c r="F31" s="21" t="s">
        <v>276</v>
      </c>
      <c r="G31">
        <f>E31-VLOOKUP(F31,'Bag weights'!A:B,2,FALSE)</f>
        <v>71.16</v>
      </c>
      <c r="J31">
        <f>H31-VLOOKUP(I31,'Bag weights'!A:B,2,FALSE)</f>
        <v>0</v>
      </c>
      <c r="M31">
        <f>K31-VLOOKUP(L31,'Bag weights'!A$1:B$20,2,FALSE)</f>
        <v>0</v>
      </c>
      <c r="O31" s="122"/>
      <c r="P31">
        <f>N31-VLOOKUP(O31,'Bag weights'!A$1:B$20,2,FALSE)</f>
        <v>0</v>
      </c>
      <c r="S31">
        <f>Q31-VLOOKUP(R31,'Bag weights'!A$1:B$20,2,FALSE)</f>
        <v>0</v>
      </c>
      <c r="V31">
        <f>T31-VLOOKUP(U31,'Bag weights'!A$1:B$20,2,FALSE)</f>
        <v>0</v>
      </c>
      <c r="Y31">
        <f>W31-VLOOKUP(X31,'Bag weights'!A$1:B$20,2,FALSE)</f>
        <v>0</v>
      </c>
      <c r="AB31">
        <f>Z31-VLOOKUP(AA31,'Bag weights'!A$1:B$20,2,FALSE)</f>
        <v>0</v>
      </c>
      <c r="AE31">
        <f>AC31-VLOOKUP(AD31,'Bag weights'!A$1:B$20,2,FALSE)</f>
        <v>0</v>
      </c>
      <c r="AH31">
        <f>AF31-VLOOKUP(AG31,'Bag weights'!A$1:B$20,2,FALSE)</f>
        <v>0</v>
      </c>
      <c r="AK31">
        <f>AI31-VLOOKUP(AJ31,'Bag weights'!A$1:B$20,2,FALSE)</f>
        <v>0</v>
      </c>
      <c r="AN31">
        <f>AL31-VLOOKUP(AM31,'Bag weights'!A$1:B$20,2,FALSE)</f>
        <v>0</v>
      </c>
      <c r="AQ31">
        <f>AO31-VLOOKUP(AP31,'Bag weights'!A$1:B$20,2,FALSE)</f>
        <v>0</v>
      </c>
      <c r="AT31">
        <f>AR31-VLOOKUP(AS31,'Bag weights'!A$1:B$20,2,FALSE)</f>
        <v>0</v>
      </c>
      <c r="AU31" s="16"/>
      <c r="AV31" s="16"/>
      <c r="AW31">
        <f>AU31-VLOOKUP(AV31,'Bag weights'!A$1:B$20,2,FALSE)</f>
        <v>0</v>
      </c>
      <c r="AX31">
        <f t="shared" si="0"/>
        <v>71.16</v>
      </c>
      <c r="BD31" s="120">
        <v>4.7</v>
      </c>
      <c r="BH31" s="16">
        <v>4</v>
      </c>
    </row>
    <row r="32" spans="1:60">
      <c r="A32" s="87"/>
      <c r="B32" s="87"/>
      <c r="C32" s="87">
        <v>2</v>
      </c>
      <c r="D32" s="87" t="s">
        <v>88</v>
      </c>
      <c r="E32" s="21">
        <v>86.82</v>
      </c>
      <c r="F32" s="21" t="s">
        <v>290</v>
      </c>
      <c r="G32">
        <f>E32-VLOOKUP(F32,'Bag weights'!A:B,2,FALSE)</f>
        <v>59.319999999999993</v>
      </c>
      <c r="J32">
        <f>H32-VLOOKUP(I32,'Bag weights'!A:B,2,FALSE)</f>
        <v>0</v>
      </c>
      <c r="M32">
        <f>K32-VLOOKUP(L32,'Bag weights'!A$1:B$20,2,FALSE)</f>
        <v>0</v>
      </c>
      <c r="O32" s="122"/>
      <c r="P32">
        <f>N32-VLOOKUP(O32,'Bag weights'!A$1:B$20,2,FALSE)</f>
        <v>0</v>
      </c>
      <c r="S32">
        <f>Q32-VLOOKUP(R32,'Bag weights'!A$1:B$20,2,FALSE)</f>
        <v>0</v>
      </c>
      <c r="V32">
        <f>T32-VLOOKUP(U32,'Bag weights'!A$1:B$20,2,FALSE)</f>
        <v>0</v>
      </c>
      <c r="Y32">
        <f>W32-VLOOKUP(X32,'Bag weights'!A$1:B$20,2,FALSE)</f>
        <v>0</v>
      </c>
      <c r="AB32">
        <f>Z32-VLOOKUP(AA32,'Bag weights'!A$1:B$20,2,FALSE)</f>
        <v>0</v>
      </c>
      <c r="AE32">
        <f>AC32-VLOOKUP(AD32,'Bag weights'!A$1:B$20,2,FALSE)</f>
        <v>0</v>
      </c>
      <c r="AH32">
        <f>AF32-VLOOKUP(AG32,'Bag weights'!A$1:B$20,2,FALSE)</f>
        <v>0</v>
      </c>
      <c r="AK32">
        <f>AI32-VLOOKUP(AJ32,'Bag weights'!A$1:B$20,2,FALSE)</f>
        <v>0</v>
      </c>
      <c r="AN32">
        <f>AL32-VLOOKUP(AM32,'Bag weights'!A$1:B$20,2,FALSE)</f>
        <v>0</v>
      </c>
      <c r="AQ32">
        <f>AO32-VLOOKUP(AP32,'Bag weights'!A$1:B$20,2,FALSE)</f>
        <v>0</v>
      </c>
      <c r="AT32">
        <f>AR32-VLOOKUP(AS32,'Bag weights'!A$1:B$20,2,FALSE)</f>
        <v>0</v>
      </c>
      <c r="AU32" s="16"/>
      <c r="AV32" s="16"/>
      <c r="AW32">
        <f>AU32-VLOOKUP(AV32,'Bag weights'!A$1:B$20,2,FALSE)</f>
        <v>0</v>
      </c>
      <c r="AX32">
        <f t="shared" si="0"/>
        <v>59.319999999999993</v>
      </c>
      <c r="BD32" s="120">
        <v>13</v>
      </c>
      <c r="BH32" s="16">
        <v>3.51</v>
      </c>
    </row>
    <row r="33" spans="1:60">
      <c r="A33" s="87"/>
      <c r="B33" s="87"/>
      <c r="C33" s="87">
        <v>3</v>
      </c>
      <c r="D33" s="87" t="s">
        <v>83</v>
      </c>
      <c r="E33" s="21">
        <v>128.41</v>
      </c>
      <c r="F33" s="21" t="s">
        <v>290</v>
      </c>
      <c r="G33">
        <f>E33-VLOOKUP(F33,'Bag weights'!A:B,2,FALSE)</f>
        <v>100.91</v>
      </c>
      <c r="J33">
        <f>H33-VLOOKUP(I33,'Bag weights'!A:B,2,FALSE)</f>
        <v>0</v>
      </c>
      <c r="M33">
        <f>K33-VLOOKUP(L33,'Bag weights'!A$1:B$20,2,FALSE)</f>
        <v>0</v>
      </c>
      <c r="O33" s="122"/>
      <c r="P33">
        <f>N33-VLOOKUP(O33,'Bag weights'!A$1:B$20,2,FALSE)</f>
        <v>0</v>
      </c>
      <c r="S33">
        <f>Q33-VLOOKUP(R33,'Bag weights'!A$1:B$20,2,FALSE)</f>
        <v>0</v>
      </c>
      <c r="V33">
        <f>T33-VLOOKUP(U33,'Bag weights'!A$1:B$20,2,FALSE)</f>
        <v>0</v>
      </c>
      <c r="Y33">
        <f>W33-VLOOKUP(X33,'Bag weights'!A$1:B$20,2,FALSE)</f>
        <v>0</v>
      </c>
      <c r="AB33">
        <f>Z33-VLOOKUP(AA33,'Bag weights'!A$1:B$20,2,FALSE)</f>
        <v>0</v>
      </c>
      <c r="AE33">
        <f>AC33-VLOOKUP(AD33,'Bag weights'!A$1:B$20,2,FALSE)</f>
        <v>0</v>
      </c>
      <c r="AH33">
        <f>AF33-VLOOKUP(AG33,'Bag weights'!A$1:B$20,2,FALSE)</f>
        <v>0</v>
      </c>
      <c r="AK33">
        <f>AI33-VLOOKUP(AJ33,'Bag weights'!A$1:B$20,2,FALSE)</f>
        <v>0</v>
      </c>
      <c r="AN33">
        <f>AL33-VLOOKUP(AM33,'Bag weights'!A$1:B$20,2,FALSE)</f>
        <v>0</v>
      </c>
      <c r="AQ33">
        <f>AO33-VLOOKUP(AP33,'Bag weights'!A$1:B$20,2,FALSE)</f>
        <v>0</v>
      </c>
      <c r="AT33">
        <f>AR33-VLOOKUP(AS33,'Bag weights'!A$1:B$20,2,FALSE)</f>
        <v>0</v>
      </c>
      <c r="AU33" s="16"/>
      <c r="AV33" s="16"/>
      <c r="AW33">
        <f>AU33-VLOOKUP(AV33,'Bag weights'!A$1:B$20,2,FALSE)</f>
        <v>0</v>
      </c>
      <c r="AX33">
        <f t="shared" si="0"/>
        <v>100.91</v>
      </c>
      <c r="BD33" s="120">
        <v>10.199999999999999</v>
      </c>
      <c r="BH33" s="16">
        <v>4.62</v>
      </c>
    </row>
    <row r="34" spans="1:60">
      <c r="A34" s="87"/>
      <c r="B34" s="87"/>
      <c r="C34" s="87">
        <v>3</v>
      </c>
      <c r="D34" s="87" t="s">
        <v>85</v>
      </c>
      <c r="E34" s="21">
        <v>87.45</v>
      </c>
      <c r="F34" s="21" t="s">
        <v>290</v>
      </c>
      <c r="G34">
        <f>E34-VLOOKUP(F34,'Bag weights'!A:B,2,FALSE)</f>
        <v>59.95</v>
      </c>
      <c r="J34">
        <f>H34-VLOOKUP(I34,'Bag weights'!A:B,2,FALSE)</f>
        <v>0</v>
      </c>
      <c r="M34">
        <f>K34-VLOOKUP(L34,'Bag weights'!A$1:B$20,2,FALSE)</f>
        <v>0</v>
      </c>
      <c r="O34" s="122"/>
      <c r="P34">
        <f>N34-VLOOKUP(O34,'Bag weights'!A$1:B$20,2,FALSE)</f>
        <v>0</v>
      </c>
      <c r="S34">
        <f>Q34-VLOOKUP(R34,'Bag weights'!A$1:B$20,2,FALSE)</f>
        <v>0</v>
      </c>
      <c r="V34">
        <f>T34-VLOOKUP(U34,'Bag weights'!A$1:B$20,2,FALSE)</f>
        <v>0</v>
      </c>
      <c r="Y34">
        <f>W34-VLOOKUP(X34,'Bag weights'!A$1:B$20,2,FALSE)</f>
        <v>0</v>
      </c>
      <c r="AB34">
        <f>Z34-VLOOKUP(AA34,'Bag weights'!A$1:B$20,2,FALSE)</f>
        <v>0</v>
      </c>
      <c r="AE34">
        <f>AC34-VLOOKUP(AD34,'Bag weights'!A$1:B$20,2,FALSE)</f>
        <v>0</v>
      </c>
      <c r="AH34">
        <f>AF34-VLOOKUP(AG34,'Bag weights'!A$1:B$20,2,FALSE)</f>
        <v>0</v>
      </c>
      <c r="AK34">
        <f>AI34-VLOOKUP(AJ34,'Bag weights'!A$1:B$20,2,FALSE)</f>
        <v>0</v>
      </c>
      <c r="AN34">
        <f>AL34-VLOOKUP(AM34,'Bag weights'!A$1:B$20,2,FALSE)</f>
        <v>0</v>
      </c>
      <c r="AQ34">
        <f>AO34-VLOOKUP(AP34,'Bag weights'!A$1:B$20,2,FALSE)</f>
        <v>0</v>
      </c>
      <c r="AT34">
        <f>AR34-VLOOKUP(AS34,'Bag weights'!A$1:B$20,2,FALSE)</f>
        <v>0</v>
      </c>
      <c r="AU34" s="16"/>
      <c r="AV34" s="16"/>
      <c r="AW34">
        <f>AU34-VLOOKUP(AV34,'Bag weights'!A$1:B$20,2,FALSE)</f>
        <v>0</v>
      </c>
      <c r="AX34">
        <f t="shared" si="0"/>
        <v>59.95</v>
      </c>
      <c r="BD34" s="120">
        <v>2.8</v>
      </c>
      <c r="BH34" s="16">
        <v>3.06</v>
      </c>
    </row>
    <row r="35" spans="1:60">
      <c r="A35" s="87"/>
      <c r="B35" s="87"/>
      <c r="C35" s="87">
        <v>3</v>
      </c>
      <c r="D35" s="87" t="s">
        <v>87</v>
      </c>
      <c r="E35" s="21">
        <v>103.7</v>
      </c>
      <c r="F35" s="21" t="s">
        <v>290</v>
      </c>
      <c r="G35">
        <f>E35-VLOOKUP(F35,'Bag weights'!A:B,2,FALSE)</f>
        <v>76.2</v>
      </c>
      <c r="J35">
        <f>H35-VLOOKUP(I35,'Bag weights'!A:B,2,FALSE)</f>
        <v>0</v>
      </c>
      <c r="M35">
        <f>K35-VLOOKUP(L35,'Bag weights'!A$1:B$20,2,FALSE)</f>
        <v>0</v>
      </c>
      <c r="O35" s="122"/>
      <c r="P35">
        <f>N35-VLOOKUP(O35,'Bag weights'!A$1:B$20,2,FALSE)</f>
        <v>0</v>
      </c>
      <c r="S35">
        <f>Q35-VLOOKUP(R35,'Bag weights'!A$1:B$20,2,FALSE)</f>
        <v>0</v>
      </c>
      <c r="V35">
        <f>T35-VLOOKUP(U35,'Bag weights'!A$1:B$20,2,FALSE)</f>
        <v>0</v>
      </c>
      <c r="Y35">
        <f>W35-VLOOKUP(X35,'Bag weights'!A$1:B$20,2,FALSE)</f>
        <v>0</v>
      </c>
      <c r="AB35">
        <f>Z35-VLOOKUP(AA35,'Bag weights'!A$1:B$20,2,FALSE)</f>
        <v>0</v>
      </c>
      <c r="AE35">
        <f>AC35-VLOOKUP(AD35,'Bag weights'!A$1:B$20,2,FALSE)</f>
        <v>0</v>
      </c>
      <c r="AH35">
        <f>AF35-VLOOKUP(AG35,'Bag weights'!A$1:B$20,2,FALSE)</f>
        <v>0</v>
      </c>
      <c r="AK35">
        <f>AI35-VLOOKUP(AJ35,'Bag weights'!A$1:B$20,2,FALSE)</f>
        <v>0</v>
      </c>
      <c r="AN35">
        <f>AL35-VLOOKUP(AM35,'Bag weights'!A$1:B$20,2,FALSE)</f>
        <v>0</v>
      </c>
      <c r="AQ35">
        <f>AO35-VLOOKUP(AP35,'Bag weights'!A$1:B$20,2,FALSE)</f>
        <v>0</v>
      </c>
      <c r="AT35">
        <f>AR35-VLOOKUP(AS35,'Bag weights'!A$1:B$20,2,FALSE)</f>
        <v>0</v>
      </c>
      <c r="AU35" s="16"/>
      <c r="AV35" s="16"/>
      <c r="AW35">
        <f>AU35-VLOOKUP(AV35,'Bag weights'!A$1:B$20,2,FALSE)</f>
        <v>0</v>
      </c>
      <c r="AX35">
        <f t="shared" si="0"/>
        <v>76.2</v>
      </c>
      <c r="BD35" s="120">
        <v>7.8</v>
      </c>
      <c r="BH35" s="16">
        <v>4.33</v>
      </c>
    </row>
    <row r="36" spans="1:60">
      <c r="A36" s="87"/>
      <c r="B36" s="87"/>
      <c r="C36" s="87">
        <v>3</v>
      </c>
      <c r="D36" s="87" t="s">
        <v>79</v>
      </c>
      <c r="E36" s="21">
        <v>104.54</v>
      </c>
      <c r="F36" s="21" t="s">
        <v>290</v>
      </c>
      <c r="G36">
        <f>E36-VLOOKUP(F36,'Bag weights'!A:B,2,FALSE)</f>
        <v>77.040000000000006</v>
      </c>
      <c r="J36">
        <f>H36-VLOOKUP(I36,'Bag weights'!A:B,2,FALSE)</f>
        <v>0</v>
      </c>
      <c r="M36">
        <f>K36-VLOOKUP(L36,'Bag weights'!A$1:B$20,2,FALSE)</f>
        <v>0</v>
      </c>
      <c r="O36" s="122"/>
      <c r="P36">
        <f>N36-VLOOKUP(O36,'Bag weights'!A$1:B$20,2,FALSE)</f>
        <v>0</v>
      </c>
      <c r="S36">
        <f>Q36-VLOOKUP(R36,'Bag weights'!A$1:B$20,2,FALSE)</f>
        <v>0</v>
      </c>
      <c r="V36">
        <f>T36-VLOOKUP(U36,'Bag weights'!A$1:B$20,2,FALSE)</f>
        <v>0</v>
      </c>
      <c r="Y36">
        <f>W36-VLOOKUP(X36,'Bag weights'!A$1:B$20,2,FALSE)</f>
        <v>0</v>
      </c>
      <c r="AB36">
        <f>Z36-VLOOKUP(AA36,'Bag weights'!A$1:B$20,2,FALSE)</f>
        <v>0</v>
      </c>
      <c r="AE36">
        <f>AC36-VLOOKUP(AD36,'Bag weights'!A$1:B$20,2,FALSE)</f>
        <v>0</v>
      </c>
      <c r="AH36">
        <f>AF36-VLOOKUP(AG36,'Bag weights'!A$1:B$20,2,FALSE)</f>
        <v>0</v>
      </c>
      <c r="AK36">
        <f>AI36-VLOOKUP(AJ36,'Bag weights'!A$1:B$20,2,FALSE)</f>
        <v>0</v>
      </c>
      <c r="AN36">
        <f>AL36-VLOOKUP(AM36,'Bag weights'!A$1:B$20,2,FALSE)</f>
        <v>0</v>
      </c>
      <c r="AQ36">
        <f>AO36-VLOOKUP(AP36,'Bag weights'!A$1:B$20,2,FALSE)</f>
        <v>0</v>
      </c>
      <c r="AT36">
        <f>AR36-VLOOKUP(AS36,'Bag weights'!A$1:B$20,2,FALSE)</f>
        <v>0</v>
      </c>
      <c r="AU36" s="16"/>
      <c r="AV36" s="16"/>
      <c r="AW36">
        <f>AU36-VLOOKUP(AV36,'Bag weights'!A$1:B$20,2,FALSE)</f>
        <v>0</v>
      </c>
      <c r="AX36">
        <f t="shared" si="0"/>
        <v>77.040000000000006</v>
      </c>
      <c r="BD36" s="120">
        <v>14.4</v>
      </c>
      <c r="BH36" s="16">
        <v>3.71</v>
      </c>
    </row>
    <row r="37" spans="1:60">
      <c r="A37" s="87"/>
      <c r="B37" s="87"/>
      <c r="C37" s="87">
        <v>3</v>
      </c>
      <c r="D37" s="87" t="s">
        <v>88</v>
      </c>
      <c r="E37" s="21">
        <v>101.57</v>
      </c>
      <c r="F37" s="21" t="s">
        <v>290</v>
      </c>
      <c r="G37">
        <f>E37-VLOOKUP(F37,'Bag weights'!A:B,2,FALSE)</f>
        <v>74.069999999999993</v>
      </c>
      <c r="J37">
        <f>H37-VLOOKUP(I37,'Bag weights'!A:B,2,FALSE)</f>
        <v>0</v>
      </c>
      <c r="M37">
        <f>K37-VLOOKUP(L37,'Bag weights'!A$1:B$20,2,FALSE)</f>
        <v>0</v>
      </c>
      <c r="O37" s="122"/>
      <c r="P37">
        <f>N37-VLOOKUP(O37,'Bag weights'!A$1:B$20,2,FALSE)</f>
        <v>0</v>
      </c>
      <c r="S37">
        <f>Q37-VLOOKUP(R37,'Bag weights'!A$1:B$20,2,FALSE)</f>
        <v>0</v>
      </c>
      <c r="V37">
        <f>T37-VLOOKUP(U37,'Bag weights'!A$1:B$20,2,FALSE)</f>
        <v>0</v>
      </c>
      <c r="Y37">
        <f>W37-VLOOKUP(X37,'Bag weights'!A$1:B$20,2,FALSE)</f>
        <v>0</v>
      </c>
      <c r="AB37">
        <f>Z37-VLOOKUP(AA37,'Bag weights'!A$1:B$20,2,FALSE)</f>
        <v>0</v>
      </c>
      <c r="AE37">
        <f>AC37-VLOOKUP(AD37,'Bag weights'!A$1:B$20,2,FALSE)</f>
        <v>0</v>
      </c>
      <c r="AH37">
        <f>AF37-VLOOKUP(AG37,'Bag weights'!A$1:B$20,2,FALSE)</f>
        <v>0</v>
      </c>
      <c r="AK37">
        <f>AI37-VLOOKUP(AJ37,'Bag weights'!A$1:B$20,2,FALSE)</f>
        <v>0</v>
      </c>
      <c r="AN37">
        <f>AL37-VLOOKUP(AM37,'Bag weights'!A$1:B$20,2,FALSE)</f>
        <v>0</v>
      </c>
      <c r="AQ37">
        <f>AO37-VLOOKUP(AP37,'Bag weights'!A$1:B$20,2,FALSE)</f>
        <v>0</v>
      </c>
      <c r="AT37">
        <f>AR37-VLOOKUP(AS37,'Bag weights'!A$1:B$20,2,FALSE)</f>
        <v>0</v>
      </c>
      <c r="AU37" s="16"/>
      <c r="AV37" s="16"/>
      <c r="AW37">
        <f>AU37-VLOOKUP(AV37,'Bag weights'!A$1:B$20,2,FALSE)</f>
        <v>0</v>
      </c>
      <c r="AX37">
        <f t="shared" si="0"/>
        <v>74.069999999999993</v>
      </c>
      <c r="BD37" s="120">
        <v>8.1</v>
      </c>
      <c r="BH37" s="16">
        <v>3.9</v>
      </c>
    </row>
    <row r="38" spans="1:60">
      <c r="A38" s="87"/>
      <c r="B38" s="87"/>
      <c r="C38" s="87">
        <v>4</v>
      </c>
      <c r="D38" s="87" t="s">
        <v>83</v>
      </c>
      <c r="E38" s="21">
        <v>94.35</v>
      </c>
      <c r="F38" s="21" t="s">
        <v>290</v>
      </c>
      <c r="G38">
        <f>E38-VLOOKUP(F38,'Bag weights'!A:B,2,FALSE)</f>
        <v>66.849999999999994</v>
      </c>
      <c r="J38">
        <f>H38-VLOOKUP(I38,'Bag weights'!A:B,2,FALSE)</f>
        <v>0</v>
      </c>
      <c r="M38">
        <f>K38-VLOOKUP(L38,'Bag weights'!A$1:B$20,2,FALSE)</f>
        <v>0</v>
      </c>
      <c r="O38" s="122"/>
      <c r="P38">
        <f>N38-VLOOKUP(O38,'Bag weights'!A$1:B$20,2,FALSE)</f>
        <v>0</v>
      </c>
      <c r="S38">
        <f>Q38-VLOOKUP(R38,'Bag weights'!A$1:B$20,2,FALSE)</f>
        <v>0</v>
      </c>
      <c r="V38">
        <f>T38-VLOOKUP(U38,'Bag weights'!A$1:B$20,2,FALSE)</f>
        <v>0</v>
      </c>
      <c r="Y38">
        <f>W38-VLOOKUP(X38,'Bag weights'!A$1:B$20,2,FALSE)</f>
        <v>0</v>
      </c>
      <c r="AB38">
        <f>Z38-VLOOKUP(AA38,'Bag weights'!A$1:B$20,2,FALSE)</f>
        <v>0</v>
      </c>
      <c r="AE38">
        <f>AC38-VLOOKUP(AD38,'Bag weights'!A$1:B$20,2,FALSE)</f>
        <v>0</v>
      </c>
      <c r="AH38">
        <f>AF38-VLOOKUP(AG38,'Bag weights'!A$1:B$20,2,FALSE)</f>
        <v>0</v>
      </c>
      <c r="AK38">
        <f>AI38-VLOOKUP(AJ38,'Bag weights'!A$1:B$20,2,FALSE)</f>
        <v>0</v>
      </c>
      <c r="AN38">
        <f>AL38-VLOOKUP(AM38,'Bag weights'!A$1:B$20,2,FALSE)</f>
        <v>0</v>
      </c>
      <c r="AQ38">
        <f>AO38-VLOOKUP(AP38,'Bag weights'!A$1:B$20,2,FALSE)</f>
        <v>0</v>
      </c>
      <c r="AT38">
        <f>AR38-VLOOKUP(AS38,'Bag weights'!A$1:B$20,2,FALSE)</f>
        <v>0</v>
      </c>
      <c r="AU38" s="16"/>
      <c r="AV38" s="16"/>
      <c r="AW38">
        <f>AU38-VLOOKUP(AV38,'Bag weights'!A$1:B$20,2,FALSE)</f>
        <v>0</v>
      </c>
      <c r="AX38">
        <f t="shared" si="0"/>
        <v>66.849999999999994</v>
      </c>
      <c r="BD38" s="120">
        <v>4.3</v>
      </c>
      <c r="BH38" s="16">
        <v>4.58</v>
      </c>
    </row>
    <row r="39" spans="1:60">
      <c r="A39" s="87"/>
      <c r="B39" s="87"/>
      <c r="C39" s="87">
        <v>4</v>
      </c>
      <c r="D39" s="87" t="s">
        <v>85</v>
      </c>
      <c r="E39" s="21">
        <v>107.64</v>
      </c>
      <c r="F39" s="21" t="s">
        <v>290</v>
      </c>
      <c r="G39">
        <f>E39-VLOOKUP(F39,'Bag weights'!A:B,2,FALSE)</f>
        <v>80.14</v>
      </c>
      <c r="J39">
        <f>H39-VLOOKUP(I39,'Bag weights'!A:B,2,FALSE)</f>
        <v>0</v>
      </c>
      <c r="M39">
        <f>K39-VLOOKUP(L39,'Bag weights'!A$1:B$20,2,FALSE)</f>
        <v>0</v>
      </c>
      <c r="O39" s="122"/>
      <c r="P39">
        <f>N39-VLOOKUP(O39,'Bag weights'!A$1:B$20,2,FALSE)</f>
        <v>0</v>
      </c>
      <c r="S39">
        <f>Q39-VLOOKUP(R39,'Bag weights'!A$1:B$20,2,FALSE)</f>
        <v>0</v>
      </c>
      <c r="V39">
        <f>T39-VLOOKUP(U39,'Bag weights'!A$1:B$20,2,FALSE)</f>
        <v>0</v>
      </c>
      <c r="Y39">
        <f>W39-VLOOKUP(X39,'Bag weights'!A$1:B$20,2,FALSE)</f>
        <v>0</v>
      </c>
      <c r="AB39">
        <f>Z39-VLOOKUP(AA39,'Bag weights'!A$1:B$20,2,FALSE)</f>
        <v>0</v>
      </c>
      <c r="AE39">
        <f>AC39-VLOOKUP(AD39,'Bag weights'!A$1:B$20,2,FALSE)</f>
        <v>0</v>
      </c>
      <c r="AH39">
        <f>AF39-VLOOKUP(AG39,'Bag weights'!A$1:B$20,2,FALSE)</f>
        <v>0</v>
      </c>
      <c r="AK39">
        <f>AI39-VLOOKUP(AJ39,'Bag weights'!A$1:B$20,2,FALSE)</f>
        <v>0</v>
      </c>
      <c r="AN39">
        <f>AL39-VLOOKUP(AM39,'Bag weights'!A$1:B$20,2,FALSE)</f>
        <v>0</v>
      </c>
      <c r="AQ39">
        <f>AO39-VLOOKUP(AP39,'Bag weights'!A$1:B$20,2,FALSE)</f>
        <v>0</v>
      </c>
      <c r="AT39">
        <f>AR39-VLOOKUP(AS39,'Bag weights'!A$1:B$20,2,FALSE)</f>
        <v>0</v>
      </c>
      <c r="AU39" s="16"/>
      <c r="AV39" s="16"/>
      <c r="AW39">
        <f>AU39-VLOOKUP(AV39,'Bag weights'!A$1:B$20,2,FALSE)</f>
        <v>0</v>
      </c>
      <c r="AX39">
        <f t="shared" si="0"/>
        <v>80.14</v>
      </c>
      <c r="BD39" s="120">
        <v>34.200000000000003</v>
      </c>
      <c r="BH39" s="16">
        <v>4.95</v>
      </c>
    </row>
    <row r="40" spans="1:60">
      <c r="A40" s="87"/>
      <c r="B40" s="87"/>
      <c r="C40" s="87">
        <v>4</v>
      </c>
      <c r="D40" s="87" t="s">
        <v>87</v>
      </c>
      <c r="E40" s="21">
        <v>94</v>
      </c>
      <c r="F40" s="21" t="s">
        <v>290</v>
      </c>
      <c r="G40">
        <f>E40-VLOOKUP(F40,'Bag weights'!A:B,2,FALSE)</f>
        <v>66.5</v>
      </c>
      <c r="J40">
        <f>H40-VLOOKUP(I40,'Bag weights'!A:B,2,FALSE)</f>
        <v>0</v>
      </c>
      <c r="M40">
        <f>K40-VLOOKUP(L40,'Bag weights'!A$1:B$20,2,FALSE)</f>
        <v>0</v>
      </c>
      <c r="O40" s="122"/>
      <c r="P40">
        <f>N40-VLOOKUP(O40,'Bag weights'!A$1:B$20,2,FALSE)</f>
        <v>0</v>
      </c>
      <c r="S40">
        <f>Q40-VLOOKUP(R40,'Bag weights'!A$1:B$20,2,FALSE)</f>
        <v>0</v>
      </c>
      <c r="V40">
        <f>T40-VLOOKUP(U40,'Bag weights'!A$1:B$20,2,FALSE)</f>
        <v>0</v>
      </c>
      <c r="Y40">
        <f>W40-VLOOKUP(X40,'Bag weights'!A$1:B$20,2,FALSE)</f>
        <v>0</v>
      </c>
      <c r="AB40">
        <f>Z40-VLOOKUP(AA40,'Bag weights'!A$1:B$20,2,FALSE)</f>
        <v>0</v>
      </c>
      <c r="AE40">
        <f>AC40-VLOOKUP(AD40,'Bag weights'!A$1:B$20,2,FALSE)</f>
        <v>0</v>
      </c>
      <c r="AH40">
        <f>AF40-VLOOKUP(AG40,'Bag weights'!A$1:B$20,2,FALSE)</f>
        <v>0</v>
      </c>
      <c r="AK40">
        <f>AI40-VLOOKUP(AJ40,'Bag weights'!A$1:B$20,2,FALSE)</f>
        <v>0</v>
      </c>
      <c r="AN40">
        <f>AL40-VLOOKUP(AM40,'Bag weights'!A$1:B$20,2,FALSE)</f>
        <v>0</v>
      </c>
      <c r="AQ40">
        <f>AO40-VLOOKUP(AP40,'Bag weights'!A$1:B$20,2,FALSE)</f>
        <v>0</v>
      </c>
      <c r="AT40">
        <f>AR40-VLOOKUP(AS40,'Bag weights'!A$1:B$20,2,FALSE)</f>
        <v>0</v>
      </c>
      <c r="AU40" s="16"/>
      <c r="AV40" s="16"/>
      <c r="AW40">
        <f>AU40-VLOOKUP(AV40,'Bag weights'!A$1:B$20,2,FALSE)</f>
        <v>0</v>
      </c>
      <c r="AX40">
        <f t="shared" si="0"/>
        <v>66.5</v>
      </c>
      <c r="BD40" s="120">
        <v>5.0999999999999996</v>
      </c>
      <c r="BH40" s="16">
        <v>5.49</v>
      </c>
    </row>
    <row r="41" spans="1:60">
      <c r="A41" s="87"/>
      <c r="B41" s="87"/>
      <c r="C41" s="87">
        <v>4</v>
      </c>
      <c r="D41" s="87" t="s">
        <v>79</v>
      </c>
      <c r="E41" s="21">
        <v>92.38</v>
      </c>
      <c r="F41" s="21" t="s">
        <v>290</v>
      </c>
      <c r="G41">
        <f>E41-VLOOKUP(F41,'Bag weights'!A:B,2,FALSE)</f>
        <v>64.88</v>
      </c>
      <c r="J41">
        <f>H41-VLOOKUP(I41,'Bag weights'!A:B,2,FALSE)</f>
        <v>0</v>
      </c>
      <c r="M41">
        <f>K41-VLOOKUP(L41,'Bag weights'!A$1:B$20,2,FALSE)</f>
        <v>0</v>
      </c>
      <c r="O41" s="122"/>
      <c r="P41">
        <f>N41-VLOOKUP(O41,'Bag weights'!A$1:B$20,2,FALSE)</f>
        <v>0</v>
      </c>
      <c r="S41">
        <f>Q41-VLOOKUP(R41,'Bag weights'!A$1:B$20,2,FALSE)</f>
        <v>0</v>
      </c>
      <c r="V41">
        <f>T41-VLOOKUP(U41,'Bag weights'!A$1:B$20,2,FALSE)</f>
        <v>0</v>
      </c>
      <c r="Y41">
        <f>W41-VLOOKUP(X41,'Bag weights'!A$1:B$20,2,FALSE)</f>
        <v>0</v>
      </c>
      <c r="AB41">
        <f>Z41-VLOOKUP(AA41,'Bag weights'!A$1:B$20,2,FALSE)</f>
        <v>0</v>
      </c>
      <c r="AE41">
        <f>AC41-VLOOKUP(AD41,'Bag weights'!A$1:B$20,2,FALSE)</f>
        <v>0</v>
      </c>
      <c r="AH41">
        <f>AF41-VLOOKUP(AG41,'Bag weights'!A$1:B$20,2,FALSE)</f>
        <v>0</v>
      </c>
      <c r="AK41">
        <f>AI41-VLOOKUP(AJ41,'Bag weights'!A$1:B$20,2,FALSE)</f>
        <v>0</v>
      </c>
      <c r="AN41">
        <f>AL41-VLOOKUP(AM41,'Bag weights'!A$1:B$20,2,FALSE)</f>
        <v>0</v>
      </c>
      <c r="AQ41">
        <f>AO41-VLOOKUP(AP41,'Bag weights'!A$1:B$20,2,FALSE)</f>
        <v>0</v>
      </c>
      <c r="AT41">
        <f>AR41-VLOOKUP(AS41,'Bag weights'!A$1:B$20,2,FALSE)</f>
        <v>0</v>
      </c>
      <c r="AU41" s="16"/>
      <c r="AV41" s="16"/>
      <c r="AW41">
        <f>AU41-VLOOKUP(AV41,'Bag weights'!A$1:B$20,2,FALSE)</f>
        <v>0</v>
      </c>
      <c r="AX41">
        <f t="shared" si="0"/>
        <v>64.88</v>
      </c>
      <c r="BD41" s="120">
        <v>9.4</v>
      </c>
      <c r="BH41" s="16">
        <v>3.14</v>
      </c>
    </row>
    <row r="42" spans="1:60">
      <c r="A42" s="87"/>
      <c r="B42" s="87"/>
      <c r="C42" s="87">
        <v>4</v>
      </c>
      <c r="D42" s="87" t="s">
        <v>88</v>
      </c>
      <c r="E42" s="21">
        <v>94.41</v>
      </c>
      <c r="F42" s="28" t="s">
        <v>290</v>
      </c>
      <c r="G42">
        <f>E42-VLOOKUP(F42,'Bag weights'!A:B,2,FALSE)</f>
        <v>66.91</v>
      </c>
      <c r="J42">
        <f>H42-VLOOKUP(I42,'Bag weights'!A:B,2,FALSE)</f>
        <v>0</v>
      </c>
      <c r="M42">
        <f>K42-VLOOKUP(L42,'Bag weights'!A$1:B$20,2,FALSE)</f>
        <v>0</v>
      </c>
      <c r="O42" s="122"/>
      <c r="P42">
        <f>N42-VLOOKUP(O42,'Bag weights'!A$1:B$20,2,FALSE)</f>
        <v>0</v>
      </c>
      <c r="S42">
        <f>Q42-VLOOKUP(R42,'Bag weights'!A$1:B$20,2,FALSE)</f>
        <v>0</v>
      </c>
      <c r="V42">
        <f>T42-VLOOKUP(U42,'Bag weights'!A$1:B$20,2,FALSE)</f>
        <v>0</v>
      </c>
      <c r="Y42">
        <f>W42-VLOOKUP(X42,'Bag weights'!A$1:B$20,2,FALSE)</f>
        <v>0</v>
      </c>
      <c r="AB42">
        <f>Z42-VLOOKUP(AA42,'Bag weights'!A$1:B$20,2,FALSE)</f>
        <v>0</v>
      </c>
      <c r="AE42">
        <f>AC42-VLOOKUP(AD42,'Bag weights'!A$1:B$20,2,FALSE)</f>
        <v>0</v>
      </c>
      <c r="AH42">
        <f>AF42-VLOOKUP(AG42,'Bag weights'!A$1:B$20,2,FALSE)</f>
        <v>0</v>
      </c>
      <c r="AK42">
        <f>AI42-VLOOKUP(AJ42,'Bag weights'!A$1:B$20,2,FALSE)</f>
        <v>0</v>
      </c>
      <c r="AN42">
        <f>AL42-VLOOKUP(AM42,'Bag weights'!A$1:B$20,2,FALSE)</f>
        <v>0</v>
      </c>
      <c r="AQ42">
        <f>AO42-VLOOKUP(AP42,'Bag weights'!A$1:B$20,2,FALSE)</f>
        <v>0</v>
      </c>
      <c r="AT42">
        <f>AR42-VLOOKUP(AS42,'Bag weights'!A$1:B$20,2,FALSE)</f>
        <v>0</v>
      </c>
      <c r="AU42" s="16"/>
      <c r="AV42" s="16"/>
      <c r="AW42">
        <f>AU42-VLOOKUP(AV42,'Bag weights'!A$1:B$20,2,FALSE)</f>
        <v>0</v>
      </c>
      <c r="AX42">
        <f t="shared" si="0"/>
        <v>66.91</v>
      </c>
      <c r="BD42" s="120">
        <v>11.8</v>
      </c>
      <c r="BH42" s="16">
        <v>4.5199999999999996</v>
      </c>
    </row>
    <row r="43" spans="1:60">
      <c r="A43" s="87" t="s">
        <v>78</v>
      </c>
      <c r="B43" s="87" t="s">
        <v>95</v>
      </c>
      <c r="C43" s="87">
        <v>1</v>
      </c>
      <c r="D43" s="87" t="s">
        <v>83</v>
      </c>
      <c r="E43" s="21">
        <v>114.1</v>
      </c>
      <c r="F43" s="21" t="s">
        <v>276</v>
      </c>
      <c r="G43">
        <f>E43-VLOOKUP(F43,'Bag weights'!A:B,2,FALSE)</f>
        <v>93.149999999999991</v>
      </c>
      <c r="J43">
        <f>H43-VLOOKUP(I43,'Bag weights'!A:B,2,FALSE)</f>
        <v>0</v>
      </c>
      <c r="M43">
        <f>K43-VLOOKUP(L43,'Bag weights'!A$1:B$20,2,FALSE)</f>
        <v>0</v>
      </c>
      <c r="O43" s="122"/>
      <c r="P43">
        <f>N43-VLOOKUP(O43,'Bag weights'!A$1:B$20,2,FALSE)</f>
        <v>0</v>
      </c>
      <c r="S43">
        <f>Q43-VLOOKUP(R43,'Bag weights'!A$1:B$20,2,FALSE)</f>
        <v>0</v>
      </c>
      <c r="V43">
        <f>T43-VLOOKUP(U43,'Bag weights'!A$1:B$20,2,FALSE)</f>
        <v>0</v>
      </c>
      <c r="Y43">
        <f>W43-VLOOKUP(X43,'Bag weights'!A$1:B$20,2,FALSE)</f>
        <v>0</v>
      </c>
      <c r="AB43">
        <f>Z43-VLOOKUP(AA43,'Bag weights'!A$1:B$20,2,FALSE)</f>
        <v>0</v>
      </c>
      <c r="AE43">
        <f>AC43-VLOOKUP(AD43,'Bag weights'!A$1:B$20,2,FALSE)</f>
        <v>0</v>
      </c>
      <c r="AH43">
        <f>AF43-VLOOKUP(AG43,'Bag weights'!A$1:B$20,2,FALSE)</f>
        <v>0</v>
      </c>
      <c r="AK43">
        <f>AI43-VLOOKUP(AJ43,'Bag weights'!A$1:B$20,2,FALSE)</f>
        <v>0</v>
      </c>
      <c r="AN43">
        <f>AL43-VLOOKUP(AM43,'Bag weights'!A$1:B$20,2,FALSE)</f>
        <v>0</v>
      </c>
      <c r="AQ43">
        <f>AO43-VLOOKUP(AP43,'Bag weights'!A$1:B$20,2,FALSE)</f>
        <v>0</v>
      </c>
      <c r="AT43">
        <f>AR43-VLOOKUP(AS43,'Bag weights'!A$1:B$20,2,FALSE)</f>
        <v>0</v>
      </c>
      <c r="AW43">
        <f>AU43-VLOOKUP(AV43,'Bag weights'!A$1:B$20,2,FALSE)</f>
        <v>0</v>
      </c>
      <c r="AX43">
        <f t="shared" si="0"/>
        <v>93.149999999999991</v>
      </c>
      <c r="BD43" s="120">
        <v>3.7</v>
      </c>
      <c r="BH43" s="16">
        <v>3.54</v>
      </c>
    </row>
    <row r="44" spans="1:60">
      <c r="A44" s="86" t="s">
        <v>289</v>
      </c>
      <c r="B44" s="87"/>
      <c r="C44" s="87">
        <v>1</v>
      </c>
      <c r="D44" s="87" t="s">
        <v>85</v>
      </c>
      <c r="E44" s="21">
        <v>124.54</v>
      </c>
      <c r="F44" s="21" t="s">
        <v>276</v>
      </c>
      <c r="G44">
        <f>E44-VLOOKUP(F44,'Bag weights'!A:B,2,FALSE)</f>
        <v>103.59</v>
      </c>
      <c r="J44">
        <f>H44-VLOOKUP(I44,'Bag weights'!A:B,2,FALSE)</f>
        <v>0</v>
      </c>
      <c r="M44">
        <f>K44-VLOOKUP(L44,'Bag weights'!A$1:B$20,2,FALSE)</f>
        <v>0</v>
      </c>
      <c r="O44" s="122"/>
      <c r="P44">
        <f>N44-VLOOKUP(O44,'Bag weights'!A$1:B$20,2,FALSE)</f>
        <v>0</v>
      </c>
      <c r="S44">
        <f>Q44-VLOOKUP(R44,'Bag weights'!A$1:B$20,2,FALSE)</f>
        <v>0</v>
      </c>
      <c r="V44">
        <f>T44-VLOOKUP(U44,'Bag weights'!A$1:B$20,2,FALSE)</f>
        <v>0</v>
      </c>
      <c r="Y44">
        <f>W44-VLOOKUP(X44,'Bag weights'!A$1:B$20,2,FALSE)</f>
        <v>0</v>
      </c>
      <c r="AB44">
        <f>Z44-VLOOKUP(AA44,'Bag weights'!A$1:B$20,2,FALSE)</f>
        <v>0</v>
      </c>
      <c r="AE44">
        <f>AC44-VLOOKUP(AD44,'Bag weights'!A$1:B$20,2,FALSE)</f>
        <v>0</v>
      </c>
      <c r="AH44">
        <f>AF44-VLOOKUP(AG44,'Bag weights'!A$1:B$20,2,FALSE)</f>
        <v>0</v>
      </c>
      <c r="AK44">
        <f>AI44-VLOOKUP(AJ44,'Bag weights'!A$1:B$20,2,FALSE)</f>
        <v>0</v>
      </c>
      <c r="AN44">
        <f>AL44-VLOOKUP(AM44,'Bag weights'!A$1:B$20,2,FALSE)</f>
        <v>0</v>
      </c>
      <c r="AQ44">
        <f>AO44-VLOOKUP(AP44,'Bag weights'!A$1:B$20,2,FALSE)</f>
        <v>0</v>
      </c>
      <c r="AT44">
        <f>AR44-VLOOKUP(AS44,'Bag weights'!A$1:B$20,2,FALSE)</f>
        <v>0</v>
      </c>
      <c r="AW44">
        <f>AU44-VLOOKUP(AV44,'Bag weights'!A$1:B$20,2,FALSE)</f>
        <v>0</v>
      </c>
      <c r="AX44">
        <f t="shared" si="0"/>
        <v>103.59</v>
      </c>
      <c r="BD44" s="120">
        <v>6.4</v>
      </c>
      <c r="BH44" s="16">
        <v>4.7</v>
      </c>
    </row>
    <row r="45" spans="1:60">
      <c r="A45" s="87"/>
      <c r="B45" s="87"/>
      <c r="C45" s="87">
        <v>1</v>
      </c>
      <c r="D45" s="87" t="s">
        <v>87</v>
      </c>
      <c r="E45" s="21">
        <v>112.73</v>
      </c>
      <c r="F45" s="21" t="s">
        <v>276</v>
      </c>
      <c r="G45">
        <f>E45-VLOOKUP(F45,'Bag weights'!A:B,2,FALSE)</f>
        <v>91.78</v>
      </c>
      <c r="J45">
        <f>H45-VLOOKUP(I45,'Bag weights'!A:B,2,FALSE)</f>
        <v>0</v>
      </c>
      <c r="M45">
        <f>K45-VLOOKUP(L45,'Bag weights'!A$1:B$20,2,FALSE)</f>
        <v>0</v>
      </c>
      <c r="O45" s="122"/>
      <c r="P45">
        <f>N45-VLOOKUP(O45,'Bag weights'!A$1:B$20,2,FALSE)</f>
        <v>0</v>
      </c>
      <c r="S45">
        <f>Q45-VLOOKUP(R45,'Bag weights'!A$1:B$20,2,FALSE)</f>
        <v>0</v>
      </c>
      <c r="V45">
        <f>T45-VLOOKUP(U45,'Bag weights'!A$1:B$20,2,FALSE)</f>
        <v>0</v>
      </c>
      <c r="Y45">
        <f>W45-VLOOKUP(X45,'Bag weights'!A$1:B$20,2,FALSE)</f>
        <v>0</v>
      </c>
      <c r="AB45">
        <f>Z45-VLOOKUP(AA45,'Bag weights'!A$1:B$20,2,FALSE)</f>
        <v>0</v>
      </c>
      <c r="AE45">
        <f>AC45-VLOOKUP(AD45,'Bag weights'!A$1:B$20,2,FALSE)</f>
        <v>0</v>
      </c>
      <c r="AH45">
        <f>AF45-VLOOKUP(AG45,'Bag weights'!A$1:B$20,2,FALSE)</f>
        <v>0</v>
      </c>
      <c r="AK45">
        <f>AI45-VLOOKUP(AJ45,'Bag weights'!A$1:B$20,2,FALSE)</f>
        <v>0</v>
      </c>
      <c r="AN45">
        <f>AL45-VLOOKUP(AM45,'Bag weights'!A$1:B$20,2,FALSE)</f>
        <v>0</v>
      </c>
      <c r="AQ45">
        <f>AO45-VLOOKUP(AP45,'Bag weights'!A$1:B$20,2,FALSE)</f>
        <v>0</v>
      </c>
      <c r="AT45">
        <f>AR45-VLOOKUP(AS45,'Bag weights'!A$1:B$20,2,FALSE)</f>
        <v>0</v>
      </c>
      <c r="AW45">
        <f>AU45-VLOOKUP(AV45,'Bag weights'!A$1:B$20,2,FALSE)</f>
        <v>0</v>
      </c>
      <c r="AX45">
        <f t="shared" si="0"/>
        <v>91.78</v>
      </c>
      <c r="BD45" s="120">
        <v>7.5</v>
      </c>
      <c r="BH45" s="16">
        <v>3.33</v>
      </c>
    </row>
    <row r="46" spans="1:60">
      <c r="A46" s="87"/>
      <c r="B46" s="87"/>
      <c r="C46" s="87">
        <v>1</v>
      </c>
      <c r="D46" s="87" t="s">
        <v>79</v>
      </c>
      <c r="E46" s="21">
        <v>123.83</v>
      </c>
      <c r="F46" s="21" t="s">
        <v>276</v>
      </c>
      <c r="G46">
        <f>E46-VLOOKUP(F46,'Bag weights'!A:B,2,FALSE)</f>
        <v>102.88</v>
      </c>
      <c r="J46">
        <f>H46-VLOOKUP(I46,'Bag weights'!A:B,2,FALSE)</f>
        <v>0</v>
      </c>
      <c r="M46">
        <f>K46-VLOOKUP(L46,'Bag weights'!A$1:B$20,2,FALSE)</f>
        <v>0</v>
      </c>
      <c r="O46" s="122"/>
      <c r="P46">
        <f>N46-VLOOKUP(O46,'Bag weights'!A$1:B$20,2,FALSE)</f>
        <v>0</v>
      </c>
      <c r="S46">
        <f>Q46-VLOOKUP(R46,'Bag weights'!A$1:B$20,2,FALSE)</f>
        <v>0</v>
      </c>
      <c r="V46">
        <f>T46-VLOOKUP(U46,'Bag weights'!A$1:B$20,2,FALSE)</f>
        <v>0</v>
      </c>
      <c r="Y46">
        <f>W46-VLOOKUP(X46,'Bag weights'!A$1:B$20,2,FALSE)</f>
        <v>0</v>
      </c>
      <c r="AB46">
        <f>Z46-VLOOKUP(AA46,'Bag weights'!A$1:B$20,2,FALSE)</f>
        <v>0</v>
      </c>
      <c r="AE46">
        <f>AC46-VLOOKUP(AD46,'Bag weights'!A$1:B$20,2,FALSE)</f>
        <v>0</v>
      </c>
      <c r="AH46">
        <f>AF46-VLOOKUP(AG46,'Bag weights'!A$1:B$20,2,FALSE)</f>
        <v>0</v>
      </c>
      <c r="AK46">
        <f>AI46-VLOOKUP(AJ46,'Bag weights'!A$1:B$20,2,FALSE)</f>
        <v>0</v>
      </c>
      <c r="AN46">
        <f>AL46-VLOOKUP(AM46,'Bag weights'!A$1:B$20,2,FALSE)</f>
        <v>0</v>
      </c>
      <c r="AQ46">
        <f>AO46-VLOOKUP(AP46,'Bag weights'!A$1:B$20,2,FALSE)</f>
        <v>0</v>
      </c>
      <c r="AT46">
        <f>AR46-VLOOKUP(AS46,'Bag weights'!A$1:B$20,2,FALSE)</f>
        <v>0</v>
      </c>
      <c r="AW46">
        <f>AU46-VLOOKUP(AV46,'Bag weights'!A$1:B$20,2,FALSE)</f>
        <v>0</v>
      </c>
      <c r="AX46">
        <f t="shared" si="0"/>
        <v>102.88</v>
      </c>
      <c r="BD46" s="120">
        <v>8.9</v>
      </c>
      <c r="BH46" s="16">
        <v>4.93</v>
      </c>
    </row>
    <row r="47" spans="1:60">
      <c r="A47" s="87"/>
      <c r="B47" s="87"/>
      <c r="C47" s="87">
        <v>1</v>
      </c>
      <c r="D47" s="87" t="s">
        <v>88</v>
      </c>
      <c r="E47" s="21">
        <v>93.63</v>
      </c>
      <c r="F47" s="21" t="s">
        <v>276</v>
      </c>
      <c r="G47">
        <f>E47-VLOOKUP(F47,'Bag weights'!A:B,2,FALSE)</f>
        <v>72.679999999999993</v>
      </c>
      <c r="J47">
        <f>H47-VLOOKUP(I47,'Bag weights'!A:B,2,FALSE)</f>
        <v>0</v>
      </c>
      <c r="M47">
        <f>K47-VLOOKUP(L47,'Bag weights'!A$1:B$20,2,FALSE)</f>
        <v>0</v>
      </c>
      <c r="O47" s="122"/>
      <c r="P47">
        <f>N47-VLOOKUP(O47,'Bag weights'!A$1:B$20,2,FALSE)</f>
        <v>0</v>
      </c>
      <c r="S47">
        <f>Q47-VLOOKUP(R47,'Bag weights'!A$1:B$20,2,FALSE)</f>
        <v>0</v>
      </c>
      <c r="V47">
        <f>T47-VLOOKUP(U47,'Bag weights'!A$1:B$20,2,FALSE)</f>
        <v>0</v>
      </c>
      <c r="Y47">
        <f>W47-VLOOKUP(X47,'Bag weights'!A$1:B$20,2,FALSE)</f>
        <v>0</v>
      </c>
      <c r="AB47">
        <f>Z47-VLOOKUP(AA47,'Bag weights'!A$1:B$20,2,FALSE)</f>
        <v>0</v>
      </c>
      <c r="AE47">
        <f>AC47-VLOOKUP(AD47,'Bag weights'!A$1:B$20,2,FALSE)</f>
        <v>0</v>
      </c>
      <c r="AH47">
        <f>AF47-VLOOKUP(AG47,'Bag weights'!A$1:B$20,2,FALSE)</f>
        <v>0</v>
      </c>
      <c r="AK47">
        <f>AI47-VLOOKUP(AJ47,'Bag weights'!A$1:B$20,2,FALSE)</f>
        <v>0</v>
      </c>
      <c r="AN47">
        <f>AL47-VLOOKUP(AM47,'Bag weights'!A$1:B$20,2,FALSE)</f>
        <v>0</v>
      </c>
      <c r="AQ47">
        <f>AO47-VLOOKUP(AP47,'Bag weights'!A$1:B$20,2,FALSE)</f>
        <v>0</v>
      </c>
      <c r="AT47">
        <f>AR47-VLOOKUP(AS47,'Bag weights'!A$1:B$20,2,FALSE)</f>
        <v>0</v>
      </c>
      <c r="AW47">
        <f>AU47-VLOOKUP(AV47,'Bag weights'!A$1:B$20,2,FALSE)</f>
        <v>0</v>
      </c>
      <c r="AX47">
        <f t="shared" si="0"/>
        <v>72.679999999999993</v>
      </c>
      <c r="BD47" s="120">
        <v>8.8000000000000007</v>
      </c>
      <c r="BH47" s="16">
        <v>3.23</v>
      </c>
    </row>
    <row r="48" spans="1:60">
      <c r="A48" s="87"/>
      <c r="B48" s="87"/>
      <c r="C48" s="87">
        <v>2</v>
      </c>
      <c r="D48" s="87" t="s">
        <v>83</v>
      </c>
      <c r="E48" s="21">
        <v>108.1</v>
      </c>
      <c r="F48" s="21" t="s">
        <v>276</v>
      </c>
      <c r="G48">
        <f>E48-VLOOKUP(F48,'Bag weights'!A:B,2,FALSE)</f>
        <v>87.149999999999991</v>
      </c>
      <c r="J48">
        <f>H48-VLOOKUP(I48,'Bag weights'!A:B,2,FALSE)</f>
        <v>0</v>
      </c>
      <c r="M48">
        <f>K48-VLOOKUP(L48,'Bag weights'!A$1:B$20,2,FALSE)</f>
        <v>0</v>
      </c>
      <c r="O48" s="122"/>
      <c r="P48">
        <f>N48-VLOOKUP(O48,'Bag weights'!A$1:B$20,2,FALSE)</f>
        <v>0</v>
      </c>
      <c r="S48">
        <f>Q48-VLOOKUP(R48,'Bag weights'!A$1:B$20,2,FALSE)</f>
        <v>0</v>
      </c>
      <c r="V48">
        <f>T48-VLOOKUP(U48,'Bag weights'!A$1:B$20,2,FALSE)</f>
        <v>0</v>
      </c>
      <c r="Y48">
        <f>W48-VLOOKUP(X48,'Bag weights'!A$1:B$20,2,FALSE)</f>
        <v>0</v>
      </c>
      <c r="AB48">
        <f>Z48-VLOOKUP(AA48,'Bag weights'!A$1:B$20,2,FALSE)</f>
        <v>0</v>
      </c>
      <c r="AE48">
        <f>AC48-VLOOKUP(AD48,'Bag weights'!A$1:B$20,2,FALSE)</f>
        <v>0</v>
      </c>
      <c r="AH48">
        <f>AF48-VLOOKUP(AG48,'Bag weights'!A$1:B$20,2,FALSE)</f>
        <v>0</v>
      </c>
      <c r="AK48">
        <f>AI48-VLOOKUP(AJ48,'Bag weights'!A$1:B$20,2,FALSE)</f>
        <v>0</v>
      </c>
      <c r="AN48">
        <f>AL48-VLOOKUP(AM48,'Bag weights'!A$1:B$20,2,FALSE)</f>
        <v>0</v>
      </c>
      <c r="AQ48">
        <f>AO48-VLOOKUP(AP48,'Bag weights'!A$1:B$20,2,FALSE)</f>
        <v>0</v>
      </c>
      <c r="AT48">
        <f>AR48-VLOOKUP(AS48,'Bag weights'!A$1:B$20,2,FALSE)</f>
        <v>0</v>
      </c>
      <c r="AW48">
        <f>AU48-VLOOKUP(AV48,'Bag weights'!A$1:B$20,2,FALSE)</f>
        <v>0</v>
      </c>
      <c r="AX48">
        <f t="shared" si="0"/>
        <v>87.149999999999991</v>
      </c>
      <c r="BD48" s="120">
        <v>3.6</v>
      </c>
      <c r="BH48" s="16">
        <v>2.27</v>
      </c>
    </row>
    <row r="49" spans="1:60">
      <c r="A49" s="87"/>
      <c r="B49" s="87"/>
      <c r="C49" s="87">
        <v>2</v>
      </c>
      <c r="D49" s="87" t="s">
        <v>85</v>
      </c>
      <c r="E49" s="2"/>
      <c r="F49" s="2"/>
      <c r="G49">
        <f>E49-VLOOKUP(F49,'Bag weights'!A:B,2,FALSE)</f>
        <v>0</v>
      </c>
      <c r="J49">
        <f>H49-VLOOKUP(I49,'Bag weights'!A:B,2,FALSE)</f>
        <v>0</v>
      </c>
      <c r="M49">
        <f>K49-VLOOKUP(L49,'Bag weights'!A$1:B$20,2,FALSE)</f>
        <v>0</v>
      </c>
      <c r="O49" s="122"/>
      <c r="P49">
        <f>N49-VLOOKUP(O49,'Bag weights'!A$1:B$20,2,FALSE)</f>
        <v>0</v>
      </c>
      <c r="S49">
        <f>Q49-VLOOKUP(R49,'Bag weights'!A$1:B$20,2,FALSE)</f>
        <v>0</v>
      </c>
      <c r="V49">
        <f>T49-VLOOKUP(U49,'Bag weights'!A$1:B$20,2,FALSE)</f>
        <v>0</v>
      </c>
      <c r="Y49">
        <f>W49-VLOOKUP(X49,'Bag weights'!A$1:B$20,2,FALSE)</f>
        <v>0</v>
      </c>
      <c r="AB49">
        <f>Z49-VLOOKUP(AA49,'Bag weights'!A$1:B$20,2,FALSE)</f>
        <v>0</v>
      </c>
      <c r="AE49">
        <f>AC49-VLOOKUP(AD49,'Bag weights'!A$1:B$20,2,FALSE)</f>
        <v>0</v>
      </c>
      <c r="AH49">
        <f>AF49-VLOOKUP(AG49,'Bag weights'!A$1:B$20,2,FALSE)</f>
        <v>0</v>
      </c>
      <c r="AK49">
        <f>AI49-VLOOKUP(AJ49,'Bag weights'!A$1:B$20,2,FALSE)</f>
        <v>0</v>
      </c>
      <c r="AN49">
        <f>AL49-VLOOKUP(AM49,'Bag weights'!A$1:B$20,2,FALSE)</f>
        <v>0</v>
      </c>
      <c r="AQ49">
        <f>AO49-VLOOKUP(AP49,'Bag weights'!A$1:B$20,2,FALSE)</f>
        <v>0</v>
      </c>
      <c r="AT49">
        <f>AR49-VLOOKUP(AS49,'Bag weights'!A$1:B$20,2,FALSE)</f>
        <v>0</v>
      </c>
      <c r="AW49">
        <f>AU49-VLOOKUP(AV49,'Bag weights'!A$1:B$20,2,FALSE)</f>
        <v>0</v>
      </c>
      <c r="AX49">
        <f t="shared" si="0"/>
        <v>0</v>
      </c>
      <c r="BD49" s="120">
        <v>3.4</v>
      </c>
      <c r="BH49" s="16">
        <v>3.55</v>
      </c>
    </row>
    <row r="50" spans="1:60">
      <c r="A50" s="87"/>
      <c r="B50" s="87"/>
      <c r="C50" s="87">
        <v>2</v>
      </c>
      <c r="D50" s="87" t="s">
        <v>87</v>
      </c>
      <c r="E50" s="21">
        <v>106.75</v>
      </c>
      <c r="F50" s="21" t="s">
        <v>276</v>
      </c>
      <c r="G50">
        <f>E50-VLOOKUP(F50,'Bag weights'!A:B,2,FALSE)</f>
        <v>85.8</v>
      </c>
      <c r="J50">
        <f>H50-VLOOKUP(I50,'Bag weights'!A:B,2,FALSE)</f>
        <v>0</v>
      </c>
      <c r="M50">
        <f>K50-VLOOKUP(L50,'Bag weights'!A$1:B$20,2,FALSE)</f>
        <v>0</v>
      </c>
      <c r="O50" s="122"/>
      <c r="P50">
        <f>N50-VLOOKUP(O50,'Bag weights'!A$1:B$20,2,FALSE)</f>
        <v>0</v>
      </c>
      <c r="S50">
        <f>Q50-VLOOKUP(R50,'Bag weights'!A$1:B$20,2,FALSE)</f>
        <v>0</v>
      </c>
      <c r="V50">
        <f>T50-VLOOKUP(U50,'Bag weights'!A$1:B$20,2,FALSE)</f>
        <v>0</v>
      </c>
      <c r="Y50">
        <f>W50-VLOOKUP(X50,'Bag weights'!A$1:B$20,2,FALSE)</f>
        <v>0</v>
      </c>
      <c r="AB50">
        <f>Z50-VLOOKUP(AA50,'Bag weights'!A$1:B$20,2,FALSE)</f>
        <v>0</v>
      </c>
      <c r="AE50">
        <f>AC50-VLOOKUP(AD50,'Bag weights'!A$1:B$20,2,FALSE)</f>
        <v>0</v>
      </c>
      <c r="AH50">
        <f>AF50-VLOOKUP(AG50,'Bag weights'!A$1:B$20,2,FALSE)</f>
        <v>0</v>
      </c>
      <c r="AK50">
        <f>AI50-VLOOKUP(AJ50,'Bag weights'!A$1:B$20,2,FALSE)</f>
        <v>0</v>
      </c>
      <c r="AN50">
        <f>AL50-VLOOKUP(AM50,'Bag weights'!A$1:B$20,2,FALSE)</f>
        <v>0</v>
      </c>
      <c r="AQ50">
        <f>AO50-VLOOKUP(AP50,'Bag weights'!A$1:B$20,2,FALSE)</f>
        <v>0</v>
      </c>
      <c r="AT50">
        <f>AR50-VLOOKUP(AS50,'Bag weights'!A$1:B$20,2,FALSE)</f>
        <v>0</v>
      </c>
      <c r="AW50">
        <f>AU50-VLOOKUP(AV50,'Bag weights'!A$1:B$20,2,FALSE)</f>
        <v>0</v>
      </c>
      <c r="AX50">
        <f t="shared" si="0"/>
        <v>85.8</v>
      </c>
      <c r="BD50" s="120">
        <v>5.3</v>
      </c>
      <c r="BG50" s="16" t="s">
        <v>301</v>
      </c>
    </row>
    <row r="51" spans="1:60">
      <c r="A51" s="87"/>
      <c r="B51" s="87"/>
      <c r="C51" s="87">
        <v>2</v>
      </c>
      <c r="D51" s="87" t="s">
        <v>79</v>
      </c>
      <c r="E51" s="21">
        <v>96.95</v>
      </c>
      <c r="F51" s="21" t="s">
        <v>276</v>
      </c>
      <c r="G51">
        <f>E51-VLOOKUP(F51,'Bag weights'!A:B,2,FALSE)</f>
        <v>76</v>
      </c>
      <c r="J51">
        <f>H51-VLOOKUP(I51,'Bag weights'!A:B,2,FALSE)</f>
        <v>0</v>
      </c>
      <c r="M51">
        <f>K51-VLOOKUP(L51,'Bag weights'!A$1:B$20,2,FALSE)</f>
        <v>0</v>
      </c>
      <c r="O51" s="122"/>
      <c r="P51">
        <f>N51-VLOOKUP(O51,'Bag weights'!A$1:B$20,2,FALSE)</f>
        <v>0</v>
      </c>
      <c r="S51">
        <f>Q51-VLOOKUP(R51,'Bag weights'!A$1:B$20,2,FALSE)</f>
        <v>0</v>
      </c>
      <c r="V51">
        <f>T51-VLOOKUP(U51,'Bag weights'!A$1:B$20,2,FALSE)</f>
        <v>0</v>
      </c>
      <c r="Y51">
        <f>W51-VLOOKUP(X51,'Bag weights'!A$1:B$20,2,FALSE)</f>
        <v>0</v>
      </c>
      <c r="AB51">
        <f>Z51-VLOOKUP(AA51,'Bag weights'!A$1:B$20,2,FALSE)</f>
        <v>0</v>
      </c>
      <c r="AE51">
        <f>AC51-VLOOKUP(AD51,'Bag weights'!A$1:B$20,2,FALSE)</f>
        <v>0</v>
      </c>
      <c r="AH51">
        <f>AF51-VLOOKUP(AG51,'Bag weights'!A$1:B$20,2,FALSE)</f>
        <v>0</v>
      </c>
      <c r="AK51">
        <f>AI51-VLOOKUP(AJ51,'Bag weights'!A$1:B$20,2,FALSE)</f>
        <v>0</v>
      </c>
      <c r="AN51">
        <f>AL51-VLOOKUP(AM51,'Bag weights'!A$1:B$20,2,FALSE)</f>
        <v>0</v>
      </c>
      <c r="AQ51">
        <f>AO51-VLOOKUP(AP51,'Bag weights'!A$1:B$20,2,FALSE)</f>
        <v>0</v>
      </c>
      <c r="AT51">
        <f>AR51-VLOOKUP(AS51,'Bag weights'!A$1:B$20,2,FALSE)</f>
        <v>0</v>
      </c>
      <c r="AW51">
        <f>AU51-VLOOKUP(AV51,'Bag weights'!A$1:B$20,2,FALSE)</f>
        <v>0</v>
      </c>
      <c r="AX51">
        <f t="shared" si="0"/>
        <v>76</v>
      </c>
      <c r="BD51" s="120">
        <v>4</v>
      </c>
      <c r="BH51" s="16">
        <v>9.2899999999999991</v>
      </c>
    </row>
    <row r="52" spans="1:60">
      <c r="A52" s="87"/>
      <c r="B52" s="87"/>
      <c r="C52" s="87">
        <v>2</v>
      </c>
      <c r="D52" s="87" t="s">
        <v>88</v>
      </c>
      <c r="E52" s="21">
        <v>110.06</v>
      </c>
      <c r="F52" s="21" t="s">
        <v>276</v>
      </c>
      <c r="G52">
        <f>E52-VLOOKUP(F52,'Bag weights'!A:B,2,FALSE)</f>
        <v>89.11</v>
      </c>
      <c r="J52">
        <f>H52-VLOOKUP(I52,'Bag weights'!A:B,2,FALSE)</f>
        <v>0</v>
      </c>
      <c r="M52">
        <f>K52-VLOOKUP(L52,'Bag weights'!A$1:B$20,2,FALSE)</f>
        <v>0</v>
      </c>
      <c r="O52" s="122"/>
      <c r="P52">
        <f>N52-VLOOKUP(O52,'Bag weights'!A$1:B$20,2,FALSE)</f>
        <v>0</v>
      </c>
      <c r="S52">
        <f>Q52-VLOOKUP(R52,'Bag weights'!A$1:B$20,2,FALSE)</f>
        <v>0</v>
      </c>
      <c r="V52">
        <f>T52-VLOOKUP(U52,'Bag weights'!A$1:B$20,2,FALSE)</f>
        <v>0</v>
      </c>
      <c r="Y52">
        <f>W52-VLOOKUP(X52,'Bag weights'!A$1:B$20,2,FALSE)</f>
        <v>0</v>
      </c>
      <c r="AB52">
        <f>Z52-VLOOKUP(AA52,'Bag weights'!A$1:B$20,2,FALSE)</f>
        <v>0</v>
      </c>
      <c r="AE52">
        <f>AC52-VLOOKUP(AD52,'Bag weights'!A$1:B$20,2,FALSE)</f>
        <v>0</v>
      </c>
      <c r="AH52">
        <f>AF52-VLOOKUP(AG52,'Bag weights'!A$1:B$20,2,FALSE)</f>
        <v>0</v>
      </c>
      <c r="AK52">
        <f>AI52-VLOOKUP(AJ52,'Bag weights'!A$1:B$20,2,FALSE)</f>
        <v>0</v>
      </c>
      <c r="AN52">
        <f>AL52-VLOOKUP(AM52,'Bag weights'!A$1:B$20,2,FALSE)</f>
        <v>0</v>
      </c>
      <c r="AQ52">
        <f>AO52-VLOOKUP(AP52,'Bag weights'!A$1:B$20,2,FALSE)</f>
        <v>0</v>
      </c>
      <c r="AT52">
        <f>AR52-VLOOKUP(AS52,'Bag weights'!A$1:B$20,2,FALSE)</f>
        <v>0</v>
      </c>
      <c r="AW52">
        <f>AU52-VLOOKUP(AV52,'Bag weights'!A$1:B$20,2,FALSE)</f>
        <v>0</v>
      </c>
      <c r="AX52">
        <f t="shared" si="0"/>
        <v>89.11</v>
      </c>
      <c r="BD52" s="120">
        <v>4.2</v>
      </c>
      <c r="BH52" s="16">
        <v>4.62</v>
      </c>
    </row>
    <row r="53" spans="1:60">
      <c r="A53" s="87"/>
      <c r="B53" s="87"/>
      <c r="C53" s="87">
        <v>3</v>
      </c>
      <c r="D53" s="87" t="s">
        <v>83</v>
      </c>
      <c r="E53" s="21">
        <v>118.57</v>
      </c>
      <c r="F53" s="21" t="s">
        <v>276</v>
      </c>
      <c r="G53">
        <f>E53-VLOOKUP(F53,'Bag weights'!A:B,2,FALSE)</f>
        <v>97.61999999999999</v>
      </c>
      <c r="J53">
        <f>H53-VLOOKUP(I53,'Bag weights'!A:B,2,FALSE)</f>
        <v>0</v>
      </c>
      <c r="M53">
        <f>K53-VLOOKUP(L53,'Bag weights'!A$1:B$20,2,FALSE)</f>
        <v>0</v>
      </c>
      <c r="O53" s="122"/>
      <c r="P53">
        <f>N53-VLOOKUP(O53,'Bag weights'!A$1:B$20,2,FALSE)</f>
        <v>0</v>
      </c>
      <c r="S53">
        <f>Q53-VLOOKUP(R53,'Bag weights'!A$1:B$20,2,FALSE)</f>
        <v>0</v>
      </c>
      <c r="V53">
        <f>T53-VLOOKUP(U53,'Bag weights'!A$1:B$20,2,FALSE)</f>
        <v>0</v>
      </c>
      <c r="Y53">
        <f>W53-VLOOKUP(X53,'Bag weights'!A$1:B$20,2,FALSE)</f>
        <v>0</v>
      </c>
      <c r="AB53">
        <f>Z53-VLOOKUP(AA53,'Bag weights'!A$1:B$20,2,FALSE)</f>
        <v>0</v>
      </c>
      <c r="AE53">
        <f>AC53-VLOOKUP(AD53,'Bag weights'!A$1:B$20,2,FALSE)</f>
        <v>0</v>
      </c>
      <c r="AH53">
        <f>AF53-VLOOKUP(AG53,'Bag weights'!A$1:B$20,2,FALSE)</f>
        <v>0</v>
      </c>
      <c r="AK53">
        <f>AI53-VLOOKUP(AJ53,'Bag weights'!A$1:B$20,2,FALSE)</f>
        <v>0</v>
      </c>
      <c r="AN53">
        <f>AL53-VLOOKUP(AM53,'Bag weights'!A$1:B$20,2,FALSE)</f>
        <v>0</v>
      </c>
      <c r="AQ53">
        <f>AO53-VLOOKUP(AP53,'Bag weights'!A$1:B$20,2,FALSE)</f>
        <v>0</v>
      </c>
      <c r="AT53">
        <f>AR53-VLOOKUP(AS53,'Bag weights'!A$1:B$20,2,FALSE)</f>
        <v>0</v>
      </c>
      <c r="AW53">
        <f>AU53-VLOOKUP(AV53,'Bag weights'!A$1:B$20,2,FALSE)</f>
        <v>0</v>
      </c>
      <c r="AX53">
        <f t="shared" si="0"/>
        <v>97.61999999999999</v>
      </c>
      <c r="BD53" s="120">
        <v>7.7</v>
      </c>
      <c r="BG53" s="16" t="s">
        <v>301</v>
      </c>
    </row>
    <row r="54" spans="1:60">
      <c r="A54" s="87"/>
      <c r="B54" s="87"/>
      <c r="C54" s="87">
        <v>3</v>
      </c>
      <c r="D54" s="87" t="s">
        <v>85</v>
      </c>
      <c r="E54" s="21">
        <v>111.88</v>
      </c>
      <c r="F54" s="21" t="s">
        <v>276</v>
      </c>
      <c r="G54">
        <f>E54-VLOOKUP(F54,'Bag weights'!A:B,2,FALSE)</f>
        <v>90.929999999999993</v>
      </c>
      <c r="J54">
        <f>H54-VLOOKUP(I54,'Bag weights'!A:B,2,FALSE)</f>
        <v>0</v>
      </c>
      <c r="M54">
        <f>K54-VLOOKUP(L54,'Bag weights'!A$1:B$20,2,FALSE)</f>
        <v>0</v>
      </c>
      <c r="O54" s="122"/>
      <c r="P54">
        <f>N54-VLOOKUP(O54,'Bag weights'!A$1:B$20,2,FALSE)</f>
        <v>0</v>
      </c>
      <c r="S54">
        <f>Q54-VLOOKUP(R54,'Bag weights'!A$1:B$20,2,FALSE)</f>
        <v>0</v>
      </c>
      <c r="V54">
        <f>T54-VLOOKUP(U54,'Bag weights'!A$1:B$20,2,FALSE)</f>
        <v>0</v>
      </c>
      <c r="Y54">
        <f>W54-VLOOKUP(X54,'Bag weights'!A$1:B$20,2,FALSE)</f>
        <v>0</v>
      </c>
      <c r="AB54">
        <f>Z54-VLOOKUP(AA54,'Bag weights'!A$1:B$20,2,FALSE)</f>
        <v>0</v>
      </c>
      <c r="AE54">
        <f>AC54-VLOOKUP(AD54,'Bag weights'!A$1:B$20,2,FALSE)</f>
        <v>0</v>
      </c>
      <c r="AH54">
        <f>AF54-VLOOKUP(AG54,'Bag weights'!A$1:B$20,2,FALSE)</f>
        <v>0</v>
      </c>
      <c r="AK54">
        <f>AI54-VLOOKUP(AJ54,'Bag weights'!A$1:B$20,2,FALSE)</f>
        <v>0</v>
      </c>
      <c r="AN54">
        <f>AL54-VLOOKUP(AM54,'Bag weights'!A$1:B$20,2,FALSE)</f>
        <v>0</v>
      </c>
      <c r="AQ54">
        <f>AO54-VLOOKUP(AP54,'Bag weights'!A$1:B$20,2,FALSE)</f>
        <v>0</v>
      </c>
      <c r="AT54">
        <f>AR54-VLOOKUP(AS54,'Bag weights'!A$1:B$20,2,FALSE)</f>
        <v>0</v>
      </c>
      <c r="AW54">
        <f>AU54-VLOOKUP(AV54,'Bag weights'!A$1:B$20,2,FALSE)</f>
        <v>0</v>
      </c>
      <c r="AX54">
        <f t="shared" si="0"/>
        <v>90.929999999999993</v>
      </c>
      <c r="BD54" s="120">
        <v>6</v>
      </c>
      <c r="BH54" s="16">
        <v>0.43</v>
      </c>
    </row>
    <row r="55" spans="1:60">
      <c r="A55" s="87"/>
      <c r="B55" s="87"/>
      <c r="C55" s="87">
        <v>3</v>
      </c>
      <c r="D55" s="87" t="s">
        <v>87</v>
      </c>
      <c r="E55" s="21">
        <v>112.57</v>
      </c>
      <c r="F55" s="21" t="s">
        <v>276</v>
      </c>
      <c r="G55">
        <f>E55-VLOOKUP(F55,'Bag weights'!A:B,2,FALSE)</f>
        <v>91.61999999999999</v>
      </c>
      <c r="J55">
        <f>H55-VLOOKUP(I55,'Bag weights'!A:B,2,FALSE)</f>
        <v>0</v>
      </c>
      <c r="M55">
        <f>K55-VLOOKUP(L55,'Bag weights'!A$1:B$20,2,FALSE)</f>
        <v>0</v>
      </c>
      <c r="O55" s="122"/>
      <c r="P55">
        <f>N55-VLOOKUP(O55,'Bag weights'!A$1:B$20,2,FALSE)</f>
        <v>0</v>
      </c>
      <c r="S55">
        <f>Q55-VLOOKUP(R55,'Bag weights'!A$1:B$20,2,FALSE)</f>
        <v>0</v>
      </c>
      <c r="V55">
        <f>T55-VLOOKUP(U55,'Bag weights'!A$1:B$20,2,FALSE)</f>
        <v>0</v>
      </c>
      <c r="Y55">
        <f>W55-VLOOKUP(X55,'Bag weights'!A$1:B$20,2,FALSE)</f>
        <v>0</v>
      </c>
      <c r="AB55">
        <f>Z55-VLOOKUP(AA55,'Bag weights'!A$1:B$20,2,FALSE)</f>
        <v>0</v>
      </c>
      <c r="AE55">
        <f>AC55-VLOOKUP(AD55,'Bag weights'!A$1:B$20,2,FALSE)</f>
        <v>0</v>
      </c>
      <c r="AH55">
        <f>AF55-VLOOKUP(AG55,'Bag weights'!A$1:B$20,2,FALSE)</f>
        <v>0</v>
      </c>
      <c r="AK55">
        <f>AI55-VLOOKUP(AJ55,'Bag weights'!A$1:B$20,2,FALSE)</f>
        <v>0</v>
      </c>
      <c r="AN55">
        <f>AL55-VLOOKUP(AM55,'Bag weights'!A$1:B$20,2,FALSE)</f>
        <v>0</v>
      </c>
      <c r="AQ55">
        <f>AO55-VLOOKUP(AP55,'Bag weights'!A$1:B$20,2,FALSE)</f>
        <v>0</v>
      </c>
      <c r="AT55">
        <f>AR55-VLOOKUP(AS55,'Bag weights'!A$1:B$20,2,FALSE)</f>
        <v>0</v>
      </c>
      <c r="AW55">
        <f>AU55-VLOOKUP(AV55,'Bag weights'!A$1:B$20,2,FALSE)</f>
        <v>0</v>
      </c>
      <c r="AX55">
        <f t="shared" si="0"/>
        <v>91.61999999999999</v>
      </c>
      <c r="BD55" s="120">
        <v>6.5</v>
      </c>
      <c r="BH55" s="16">
        <v>3.39</v>
      </c>
    </row>
    <row r="56" spans="1:60">
      <c r="A56" s="87"/>
      <c r="B56" s="87"/>
      <c r="C56" s="87">
        <v>3</v>
      </c>
      <c r="D56" s="87" t="s">
        <v>79</v>
      </c>
      <c r="E56" s="21">
        <v>106.88</v>
      </c>
      <c r="F56" s="21" t="s">
        <v>276</v>
      </c>
      <c r="G56">
        <f>E56-VLOOKUP(F56,'Bag weights'!A:B,2,FALSE)</f>
        <v>85.929999999999993</v>
      </c>
      <c r="J56">
        <f>H56-VLOOKUP(I56,'Bag weights'!A:B,2,FALSE)</f>
        <v>0</v>
      </c>
      <c r="M56">
        <f>K56-VLOOKUP(L56,'Bag weights'!A$1:B$20,2,FALSE)</f>
        <v>0</v>
      </c>
      <c r="O56" s="122"/>
      <c r="P56">
        <f>N56-VLOOKUP(O56,'Bag weights'!A$1:B$20,2,FALSE)</f>
        <v>0</v>
      </c>
      <c r="S56">
        <f>Q56-VLOOKUP(R56,'Bag weights'!A$1:B$20,2,FALSE)</f>
        <v>0</v>
      </c>
      <c r="V56">
        <f>T56-VLOOKUP(U56,'Bag weights'!A$1:B$20,2,FALSE)</f>
        <v>0</v>
      </c>
      <c r="Y56">
        <f>W56-VLOOKUP(X56,'Bag weights'!A$1:B$20,2,FALSE)</f>
        <v>0</v>
      </c>
      <c r="AB56">
        <f>Z56-VLOOKUP(AA56,'Bag weights'!A$1:B$20,2,FALSE)</f>
        <v>0</v>
      </c>
      <c r="AE56">
        <f>AC56-VLOOKUP(AD56,'Bag weights'!A$1:B$20,2,FALSE)</f>
        <v>0</v>
      </c>
      <c r="AH56">
        <f>AF56-VLOOKUP(AG56,'Bag weights'!A$1:B$20,2,FALSE)</f>
        <v>0</v>
      </c>
      <c r="AK56">
        <f>AI56-VLOOKUP(AJ56,'Bag weights'!A$1:B$20,2,FALSE)</f>
        <v>0</v>
      </c>
      <c r="AN56">
        <f>AL56-VLOOKUP(AM56,'Bag weights'!A$1:B$20,2,FALSE)</f>
        <v>0</v>
      </c>
      <c r="AQ56">
        <f>AO56-VLOOKUP(AP56,'Bag weights'!A$1:B$20,2,FALSE)</f>
        <v>0</v>
      </c>
      <c r="AT56">
        <f>AR56-VLOOKUP(AS56,'Bag weights'!A$1:B$20,2,FALSE)</f>
        <v>0</v>
      </c>
      <c r="AW56">
        <f>AU56-VLOOKUP(AV56,'Bag weights'!A$1:B$20,2,FALSE)</f>
        <v>0</v>
      </c>
      <c r="AX56">
        <f t="shared" si="0"/>
        <v>85.929999999999993</v>
      </c>
      <c r="BD56" s="120">
        <v>4.7</v>
      </c>
      <c r="BH56" s="16">
        <v>2.65</v>
      </c>
    </row>
    <row r="57" spans="1:60">
      <c r="A57" s="87"/>
      <c r="B57" s="87"/>
      <c r="C57" s="87">
        <v>3</v>
      </c>
      <c r="D57" s="87" t="s">
        <v>88</v>
      </c>
      <c r="E57" s="21">
        <v>115.5</v>
      </c>
      <c r="F57" s="21" t="s">
        <v>276</v>
      </c>
      <c r="G57">
        <f>E57-VLOOKUP(F57,'Bag weights'!A:B,2,FALSE)</f>
        <v>94.55</v>
      </c>
      <c r="J57">
        <f>H57-VLOOKUP(I57,'Bag weights'!A:B,2,FALSE)</f>
        <v>0</v>
      </c>
      <c r="M57">
        <f>K57-VLOOKUP(L57,'Bag weights'!A$1:B$20,2,FALSE)</f>
        <v>0</v>
      </c>
      <c r="O57" s="122"/>
      <c r="P57">
        <f>N57-VLOOKUP(O57,'Bag weights'!A$1:B$20,2,FALSE)</f>
        <v>0</v>
      </c>
      <c r="S57">
        <f>Q57-VLOOKUP(R57,'Bag weights'!A$1:B$20,2,FALSE)</f>
        <v>0</v>
      </c>
      <c r="V57">
        <f>T57-VLOOKUP(U57,'Bag weights'!A$1:B$20,2,FALSE)</f>
        <v>0</v>
      </c>
      <c r="Y57">
        <f>W57-VLOOKUP(X57,'Bag weights'!A$1:B$20,2,FALSE)</f>
        <v>0</v>
      </c>
      <c r="AB57">
        <f>Z57-VLOOKUP(AA57,'Bag weights'!A$1:B$20,2,FALSE)</f>
        <v>0</v>
      </c>
      <c r="AE57">
        <f>AC57-VLOOKUP(AD57,'Bag weights'!A$1:B$20,2,FALSE)</f>
        <v>0</v>
      </c>
      <c r="AG57" s="16" t="s">
        <v>178</v>
      </c>
      <c r="AH57" t="e">
        <f>AF57-VLOOKUP(AG57,'Bag weights'!A$1:B$20,2,FALSE)</f>
        <v>#N/A</v>
      </c>
      <c r="AK57">
        <f>AI57-VLOOKUP(AJ57,'Bag weights'!A$1:B$20,2,FALSE)</f>
        <v>0</v>
      </c>
      <c r="AN57">
        <f>AL57-VLOOKUP(AM57,'Bag weights'!A$1:B$20,2,FALSE)</f>
        <v>0</v>
      </c>
      <c r="AQ57">
        <f>AO57-VLOOKUP(AP57,'Bag weights'!A$1:B$20,2,FALSE)</f>
        <v>0</v>
      </c>
      <c r="AT57">
        <f>AR57-VLOOKUP(AS57,'Bag weights'!A$1:B$20,2,FALSE)</f>
        <v>0</v>
      </c>
      <c r="AW57">
        <f>AU57-VLOOKUP(AV57,'Bag weights'!A$1:B$20,2,FALSE)</f>
        <v>0</v>
      </c>
      <c r="AX57">
        <f t="shared" si="0"/>
        <v>94.55</v>
      </c>
      <c r="BD57" s="120">
        <v>4.9000000000000004</v>
      </c>
      <c r="BH57" s="16">
        <v>2.96</v>
      </c>
    </row>
    <row r="58" spans="1:60">
      <c r="A58" s="87"/>
      <c r="B58" s="87"/>
      <c r="C58" s="87">
        <v>4</v>
      </c>
      <c r="D58" s="87" t="s">
        <v>83</v>
      </c>
      <c r="E58" s="21">
        <v>103.12</v>
      </c>
      <c r="F58" s="21" t="s">
        <v>276</v>
      </c>
      <c r="G58">
        <f>E58-VLOOKUP(F58,'Bag weights'!A:B,2,FALSE)</f>
        <v>82.17</v>
      </c>
      <c r="J58">
        <f>H58-VLOOKUP(I58,'Bag weights'!A:B,2,FALSE)</f>
        <v>0</v>
      </c>
      <c r="M58">
        <f>K58-VLOOKUP(L58,'Bag weights'!A$1:B$20,2,FALSE)</f>
        <v>0</v>
      </c>
      <c r="O58" s="122"/>
      <c r="P58">
        <f>N58-VLOOKUP(O58,'Bag weights'!A$1:B$20,2,FALSE)</f>
        <v>0</v>
      </c>
      <c r="S58">
        <f>Q58-VLOOKUP(R58,'Bag weights'!A$1:B$20,2,FALSE)</f>
        <v>0</v>
      </c>
      <c r="V58">
        <f>T58-VLOOKUP(U58,'Bag weights'!A$1:B$20,2,FALSE)</f>
        <v>0</v>
      </c>
      <c r="Y58">
        <f>W58-VLOOKUP(X58,'Bag weights'!A$1:B$20,2,FALSE)</f>
        <v>0</v>
      </c>
      <c r="AB58">
        <f>Z58-VLOOKUP(AA58,'Bag weights'!A$1:B$20,2,FALSE)</f>
        <v>0</v>
      </c>
      <c r="AE58">
        <f>AC58-VLOOKUP(AD58,'Bag weights'!A$1:B$20,2,FALSE)</f>
        <v>0</v>
      </c>
      <c r="AH58">
        <f>AF58-VLOOKUP(AG58,'Bag weights'!A$1:B$20,2,FALSE)</f>
        <v>0</v>
      </c>
      <c r="AK58">
        <f>AI58-VLOOKUP(AJ58,'Bag weights'!A$1:B$20,2,FALSE)</f>
        <v>0</v>
      </c>
      <c r="AN58">
        <f>AL58-VLOOKUP(AM58,'Bag weights'!A$1:B$20,2,FALSE)</f>
        <v>0</v>
      </c>
      <c r="AQ58">
        <f>AO58-VLOOKUP(AP58,'Bag weights'!A$1:B$20,2,FALSE)</f>
        <v>0</v>
      </c>
      <c r="AT58">
        <f>AR58-VLOOKUP(AS58,'Bag weights'!A$1:B$20,2,FALSE)</f>
        <v>0</v>
      </c>
      <c r="AW58">
        <f>AU58-VLOOKUP(AV58,'Bag weights'!A$1:B$20,2,FALSE)</f>
        <v>0</v>
      </c>
      <c r="AX58">
        <f t="shared" si="0"/>
        <v>82.17</v>
      </c>
      <c r="BD58" s="120">
        <v>5.5</v>
      </c>
      <c r="BG58" s="16" t="s">
        <v>301</v>
      </c>
    </row>
    <row r="59" spans="1:60">
      <c r="A59" s="87"/>
      <c r="B59" s="87"/>
      <c r="C59" s="87">
        <v>4</v>
      </c>
      <c r="D59" s="87" t="s">
        <v>85</v>
      </c>
      <c r="E59" s="21">
        <v>98.54</v>
      </c>
      <c r="F59" s="21" t="s">
        <v>276</v>
      </c>
      <c r="G59">
        <f>E59-VLOOKUP(F59,'Bag weights'!A:B,2,FALSE)</f>
        <v>77.59</v>
      </c>
      <c r="J59">
        <f>H59-VLOOKUP(I59,'Bag weights'!A:B,2,FALSE)</f>
        <v>0</v>
      </c>
      <c r="M59">
        <f>K59-VLOOKUP(L59,'Bag weights'!A$1:B$20,2,FALSE)</f>
        <v>0</v>
      </c>
      <c r="O59" s="122"/>
      <c r="P59">
        <f>N59-VLOOKUP(O59,'Bag weights'!A$1:B$20,2,FALSE)</f>
        <v>0</v>
      </c>
      <c r="S59">
        <f>Q59-VLOOKUP(R59,'Bag weights'!A$1:B$20,2,FALSE)</f>
        <v>0</v>
      </c>
      <c r="V59">
        <f>T59-VLOOKUP(U59,'Bag weights'!A$1:B$20,2,FALSE)</f>
        <v>0</v>
      </c>
      <c r="Y59">
        <f>W59-VLOOKUP(X59,'Bag weights'!A$1:B$20,2,FALSE)</f>
        <v>0</v>
      </c>
      <c r="AB59">
        <f>Z59-VLOOKUP(AA59,'Bag weights'!A$1:B$20,2,FALSE)</f>
        <v>0</v>
      </c>
      <c r="AE59">
        <f>AC59-VLOOKUP(AD59,'Bag weights'!A$1:B$20,2,FALSE)</f>
        <v>0</v>
      </c>
      <c r="AH59">
        <f>AF59-VLOOKUP(AG59,'Bag weights'!A$1:B$20,2,FALSE)</f>
        <v>0</v>
      </c>
      <c r="AK59">
        <f>AI59-VLOOKUP(AJ59,'Bag weights'!A$1:B$20,2,FALSE)</f>
        <v>0</v>
      </c>
      <c r="AN59">
        <f>AL59-VLOOKUP(AM59,'Bag weights'!A$1:B$20,2,FALSE)</f>
        <v>0</v>
      </c>
      <c r="AQ59">
        <f>AO59-VLOOKUP(AP59,'Bag weights'!A$1:B$20,2,FALSE)</f>
        <v>0</v>
      </c>
      <c r="AT59">
        <f>AR59-VLOOKUP(AS59,'Bag weights'!A$1:B$20,2,FALSE)</f>
        <v>0</v>
      </c>
      <c r="AW59">
        <f>AU59-VLOOKUP(AV59,'Bag weights'!A$1:B$20,2,FALSE)</f>
        <v>0</v>
      </c>
      <c r="AX59">
        <f t="shared" si="0"/>
        <v>77.59</v>
      </c>
      <c r="BD59" s="120">
        <v>5.3</v>
      </c>
      <c r="BH59" s="16">
        <v>2.83</v>
      </c>
    </row>
    <row r="60" spans="1:60">
      <c r="A60" s="87"/>
      <c r="B60" s="87"/>
      <c r="C60" s="87">
        <v>4</v>
      </c>
      <c r="D60" s="87" t="s">
        <v>87</v>
      </c>
      <c r="E60" s="21">
        <v>67.45</v>
      </c>
      <c r="F60" s="21" t="s">
        <v>276</v>
      </c>
      <c r="G60">
        <f>E60-VLOOKUP(F60,'Bag weights'!A:B,2,FALSE)</f>
        <v>46.5</v>
      </c>
      <c r="J60">
        <f>H60-VLOOKUP(I60,'Bag weights'!A:B,2,FALSE)</f>
        <v>0</v>
      </c>
      <c r="M60">
        <f>K60-VLOOKUP(L60,'Bag weights'!A$1:B$20,2,FALSE)</f>
        <v>0</v>
      </c>
      <c r="O60" s="122"/>
      <c r="P60">
        <f>N60-VLOOKUP(O60,'Bag weights'!A$1:B$20,2,FALSE)</f>
        <v>0</v>
      </c>
      <c r="S60">
        <f>Q60-VLOOKUP(R60,'Bag weights'!A$1:B$20,2,FALSE)</f>
        <v>0</v>
      </c>
      <c r="V60">
        <f>T60-VLOOKUP(U60,'Bag weights'!A$1:B$20,2,FALSE)</f>
        <v>0</v>
      </c>
      <c r="Y60">
        <f>W60-VLOOKUP(X60,'Bag weights'!A$1:B$20,2,FALSE)</f>
        <v>0</v>
      </c>
      <c r="AB60">
        <f>Z60-VLOOKUP(AA60,'Bag weights'!A$1:B$20,2,FALSE)</f>
        <v>0</v>
      </c>
      <c r="AE60">
        <f>AC60-VLOOKUP(AD60,'Bag weights'!A$1:B$20,2,FALSE)</f>
        <v>0</v>
      </c>
      <c r="AH60">
        <f>AF60-VLOOKUP(AG60,'Bag weights'!A$1:B$20,2,FALSE)</f>
        <v>0</v>
      </c>
      <c r="AK60">
        <f>AI60-VLOOKUP(AJ60,'Bag weights'!A$1:B$20,2,FALSE)</f>
        <v>0</v>
      </c>
      <c r="AN60">
        <f>AL60-VLOOKUP(AM60,'Bag weights'!A$1:B$20,2,FALSE)</f>
        <v>0</v>
      </c>
      <c r="AQ60">
        <f>AO60-VLOOKUP(AP60,'Bag weights'!A$1:B$20,2,FALSE)</f>
        <v>0</v>
      </c>
      <c r="AT60">
        <f>AR60-VLOOKUP(AS60,'Bag weights'!A$1:B$20,2,FALSE)</f>
        <v>0</v>
      </c>
      <c r="AW60">
        <f>AU60-VLOOKUP(AV60,'Bag weights'!A$1:B$20,2,FALSE)</f>
        <v>0</v>
      </c>
      <c r="AX60">
        <f t="shared" si="0"/>
        <v>46.5</v>
      </c>
      <c r="BD60" s="120">
        <v>6.4</v>
      </c>
      <c r="BH60" s="16">
        <v>2.2200000000000002</v>
      </c>
    </row>
    <row r="61" spans="1:60">
      <c r="A61" s="87"/>
      <c r="B61" s="87"/>
      <c r="C61" s="87">
        <v>4</v>
      </c>
      <c r="D61" s="87" t="s">
        <v>79</v>
      </c>
      <c r="E61" s="21">
        <v>95.28</v>
      </c>
      <c r="F61" s="21" t="s">
        <v>276</v>
      </c>
      <c r="G61">
        <f>E61-VLOOKUP(F61,'Bag weights'!A:B,2,FALSE)</f>
        <v>74.33</v>
      </c>
      <c r="J61">
        <f>H61-VLOOKUP(I61,'Bag weights'!A:B,2,FALSE)</f>
        <v>0</v>
      </c>
      <c r="M61">
        <f>K61-VLOOKUP(L61,'Bag weights'!A$1:B$20,2,FALSE)</f>
        <v>0</v>
      </c>
      <c r="O61" s="122"/>
      <c r="P61">
        <f>N61-VLOOKUP(O61,'Bag weights'!A$1:B$20,2,FALSE)</f>
        <v>0</v>
      </c>
      <c r="S61">
        <f>Q61-VLOOKUP(R61,'Bag weights'!A$1:B$20,2,FALSE)</f>
        <v>0</v>
      </c>
      <c r="V61">
        <f>T61-VLOOKUP(U61,'Bag weights'!A$1:B$20,2,FALSE)</f>
        <v>0</v>
      </c>
      <c r="Y61">
        <f>W61-VLOOKUP(X61,'Bag weights'!A$1:B$20,2,FALSE)</f>
        <v>0</v>
      </c>
      <c r="AB61">
        <f>Z61-VLOOKUP(AA61,'Bag weights'!A$1:B$20,2,FALSE)</f>
        <v>0</v>
      </c>
      <c r="AE61">
        <f>AC61-VLOOKUP(AD61,'Bag weights'!A$1:B$20,2,FALSE)</f>
        <v>0</v>
      </c>
      <c r="AH61">
        <f>AF61-VLOOKUP(AG61,'Bag weights'!A$1:B$20,2,FALSE)</f>
        <v>0</v>
      </c>
      <c r="AK61">
        <f>AI61-VLOOKUP(AJ61,'Bag weights'!A$1:B$20,2,FALSE)</f>
        <v>0</v>
      </c>
      <c r="AN61">
        <f>AL61-VLOOKUP(AM61,'Bag weights'!A$1:B$20,2,FALSE)</f>
        <v>0</v>
      </c>
      <c r="AQ61">
        <f>AO61-VLOOKUP(AP61,'Bag weights'!A$1:B$20,2,FALSE)</f>
        <v>0</v>
      </c>
      <c r="AT61">
        <f>AR61-VLOOKUP(AS61,'Bag weights'!A$1:B$20,2,FALSE)</f>
        <v>0</v>
      </c>
      <c r="AW61">
        <f>AU61-VLOOKUP(AV61,'Bag weights'!A$1:B$20,2,FALSE)</f>
        <v>0</v>
      </c>
      <c r="AX61">
        <f t="shared" si="0"/>
        <v>74.33</v>
      </c>
      <c r="BD61" s="120">
        <v>10.1</v>
      </c>
      <c r="BH61" s="16">
        <v>3.51</v>
      </c>
    </row>
    <row r="62" spans="1:60">
      <c r="A62" s="87"/>
      <c r="B62" s="87"/>
      <c r="C62" s="87">
        <v>4</v>
      </c>
      <c r="D62" s="87" t="s">
        <v>88</v>
      </c>
      <c r="E62" s="21">
        <v>104.36</v>
      </c>
      <c r="F62" s="21" t="s">
        <v>276</v>
      </c>
      <c r="G62">
        <f>E62-VLOOKUP(F62,'Bag weights'!A:B,2,FALSE)</f>
        <v>83.41</v>
      </c>
      <c r="J62">
        <f>H62-VLOOKUP(I62,'Bag weights'!A:B,2,FALSE)</f>
        <v>0</v>
      </c>
      <c r="M62">
        <f>K62-VLOOKUP(L62,'Bag weights'!A$1:B$20,2,FALSE)</f>
        <v>0</v>
      </c>
      <c r="O62" s="122"/>
      <c r="P62">
        <f>N62-VLOOKUP(O62,'Bag weights'!A$1:B$20,2,FALSE)</f>
        <v>0</v>
      </c>
      <c r="S62">
        <f>Q62-VLOOKUP(R62,'Bag weights'!A$1:B$20,2,FALSE)</f>
        <v>0</v>
      </c>
      <c r="V62">
        <f>T62-VLOOKUP(U62,'Bag weights'!A$1:B$20,2,FALSE)</f>
        <v>0</v>
      </c>
      <c r="Y62">
        <f>W62-VLOOKUP(X62,'Bag weights'!A$1:B$20,2,FALSE)</f>
        <v>0</v>
      </c>
      <c r="AB62">
        <f>Z62-VLOOKUP(AA62,'Bag weights'!A$1:B$20,2,FALSE)</f>
        <v>0</v>
      </c>
      <c r="AE62">
        <f>AC62-VLOOKUP(AD62,'Bag weights'!A$1:B$20,2,FALSE)</f>
        <v>0</v>
      </c>
      <c r="AH62">
        <f>AF62-VLOOKUP(AG62,'Bag weights'!A$1:B$20,2,FALSE)</f>
        <v>0</v>
      </c>
      <c r="AK62">
        <f>AI62-VLOOKUP(AJ62,'Bag weights'!A$1:B$20,2,FALSE)</f>
        <v>0</v>
      </c>
      <c r="AN62">
        <f>AL62-VLOOKUP(AM62,'Bag weights'!A$1:B$20,2,FALSE)</f>
        <v>0</v>
      </c>
      <c r="AQ62">
        <f>AO62-VLOOKUP(AP62,'Bag weights'!A$1:B$20,2,FALSE)</f>
        <v>0</v>
      </c>
      <c r="AT62">
        <f>AR62-VLOOKUP(AS62,'Bag weights'!A$1:B$20,2,FALSE)</f>
        <v>0</v>
      </c>
      <c r="AW62">
        <f>AU62-VLOOKUP(AV62,'Bag weights'!A$1:B$20,2,FALSE)</f>
        <v>0</v>
      </c>
      <c r="AX62">
        <f t="shared" si="0"/>
        <v>83.41</v>
      </c>
      <c r="BD62" s="120">
        <v>6.5</v>
      </c>
      <c r="BG62" s="16" t="s">
        <v>303</v>
      </c>
      <c r="BH62" s="16">
        <v>2.91</v>
      </c>
    </row>
    <row r="63" spans="1:60">
      <c r="A63" s="87" t="s">
        <v>78</v>
      </c>
      <c r="B63" s="87" t="s">
        <v>101</v>
      </c>
      <c r="C63" s="87">
        <v>1</v>
      </c>
      <c r="D63" s="87" t="s">
        <v>83</v>
      </c>
      <c r="E63" s="2"/>
      <c r="F63" s="2"/>
      <c r="G63" s="2"/>
      <c r="J63">
        <f>H63-VLOOKUP(I63,'Bag weights'!A:B,2,FALSE)</f>
        <v>0</v>
      </c>
      <c r="M63">
        <f>K63-VLOOKUP(L63,'Bag weights'!A$1:B$20,2,FALSE)</f>
        <v>0</v>
      </c>
      <c r="O63" s="122"/>
      <c r="P63">
        <f>N63-VLOOKUP(O63,'Bag weights'!A$1:B$20,2,FALSE)</f>
        <v>0</v>
      </c>
      <c r="Q63" s="16"/>
      <c r="R63" s="16"/>
      <c r="S63">
        <f>Q63-VLOOKUP(R63,'Bag weights'!A$1:B$20,2,FALSE)</f>
        <v>0</v>
      </c>
      <c r="T63" s="16">
        <v>34.520000000000003</v>
      </c>
      <c r="U63" s="16" t="s">
        <v>294</v>
      </c>
      <c r="V63">
        <f>T63-VLOOKUP(U63,'Bag weights'!A$1:B$20,2,FALSE)</f>
        <v>20.14</v>
      </c>
      <c r="Y63">
        <f>W63-VLOOKUP(X63,'Bag weights'!A$1:B$20,2,FALSE)</f>
        <v>0</v>
      </c>
      <c r="Z63" s="16">
        <v>21.24</v>
      </c>
      <c r="AA63" s="16" t="s">
        <v>295</v>
      </c>
      <c r="AB63">
        <f>Z63-VLOOKUP(AA63,'Bag weights'!A$1:B$20,2,FALSE)</f>
        <v>13.409999999999998</v>
      </c>
      <c r="AC63" s="16">
        <v>12.05</v>
      </c>
      <c r="AD63" s="16" t="s">
        <v>295</v>
      </c>
      <c r="AE63">
        <f>AC63-VLOOKUP(AD63,'Bag weights'!A$1:B$20,2,FALSE)</f>
        <v>4.2200000000000006</v>
      </c>
      <c r="AH63">
        <f>AF63-VLOOKUP(AG63,'Bag weights'!A$1:B$20,2,FALSE)</f>
        <v>0</v>
      </c>
      <c r="AI63" s="16">
        <v>13.43</v>
      </c>
      <c r="AJ63" s="16" t="s">
        <v>295</v>
      </c>
      <c r="AK63">
        <f>AI63-VLOOKUP(AJ63,'Bag weights'!A$1:B$20,2,FALSE)</f>
        <v>5.6</v>
      </c>
      <c r="AL63" s="16">
        <v>39.229999999999997</v>
      </c>
      <c r="AM63" s="16" t="s">
        <v>294</v>
      </c>
      <c r="AN63">
        <f>AL63-VLOOKUP(AM63,'Bag weights'!A$1:B$20,2,FALSE)</f>
        <v>24.849999999999994</v>
      </c>
      <c r="AO63" s="16">
        <v>48.65</v>
      </c>
      <c r="AP63" s="16" t="s">
        <v>290</v>
      </c>
      <c r="AQ63">
        <f>AO63-VLOOKUP(AP63,'Bag weights'!A$1:B$20,2,FALSE)</f>
        <v>21.15</v>
      </c>
      <c r="AT63">
        <f>AR63-VLOOKUP(AS63,'Bag weights'!A$1:B$20,2,FALSE)</f>
        <v>0</v>
      </c>
      <c r="AU63" s="141">
        <v>4.04</v>
      </c>
      <c r="AV63" s="142" t="s">
        <v>296</v>
      </c>
      <c r="AW63" s="143">
        <f>AU63-VLOOKUP(AV63,'Bag weights'!A$1:B$20,2,FALSE)</f>
        <v>1.5499999999999998</v>
      </c>
      <c r="AX63">
        <f t="shared" ref="AX63:AX178" si="1">SUM(AT63+AQ63+AN63+AK63+AH63+AE63+AB63+Y63+V63+S63+J63+P63+M63)</f>
        <v>89.36999999999999</v>
      </c>
      <c r="BD63" s="120">
        <v>6.8</v>
      </c>
      <c r="BH63" s="16">
        <v>4.7699999999999996</v>
      </c>
    </row>
    <row r="64" spans="1:60">
      <c r="A64" s="86" t="s">
        <v>289</v>
      </c>
      <c r="B64" s="87"/>
      <c r="C64" s="87">
        <v>1</v>
      </c>
      <c r="D64" s="87" t="s">
        <v>85</v>
      </c>
      <c r="E64" s="2"/>
      <c r="F64" s="2"/>
      <c r="G64" s="2"/>
      <c r="J64">
        <f>H64-VLOOKUP(I64,'Bag weights'!A:B,2,FALSE)</f>
        <v>0</v>
      </c>
      <c r="M64">
        <f>K64-VLOOKUP(L64,'Bag weights'!A$1:B$20,2,FALSE)</f>
        <v>0</v>
      </c>
      <c r="O64" s="122"/>
      <c r="P64">
        <f>N64-VLOOKUP(O64,'Bag weights'!A$1:B$20,2,FALSE)</f>
        <v>0</v>
      </c>
      <c r="S64">
        <f>Q64-VLOOKUP(R64,'Bag weights'!A$1:B$20,2,FALSE)</f>
        <v>0</v>
      </c>
      <c r="V64">
        <f>T64-VLOOKUP(U64,'Bag weights'!A$1:B$20,2,FALSE)</f>
        <v>0</v>
      </c>
      <c r="Y64">
        <f>W64-VLOOKUP(X64,'Bag weights'!A$1:B$20,2,FALSE)</f>
        <v>0</v>
      </c>
      <c r="AB64">
        <f>Z64-VLOOKUP(AA64,'Bag weights'!A$1:B$20,2,FALSE)</f>
        <v>0</v>
      </c>
      <c r="AE64">
        <f>AC64-VLOOKUP(AD64,'Bag weights'!A$1:B$20,2,FALSE)</f>
        <v>0</v>
      </c>
      <c r="AH64">
        <f>AF64-VLOOKUP(AG64,'Bag weights'!A$1:B$20,2,FALSE)</f>
        <v>0</v>
      </c>
      <c r="AK64">
        <f>AI64-VLOOKUP(AJ64,'Bag weights'!A$1:B$20,2,FALSE)</f>
        <v>0</v>
      </c>
      <c r="AN64">
        <f>AL64-VLOOKUP(AM64,'Bag weights'!A$1:B$20,2,FALSE)</f>
        <v>0</v>
      </c>
      <c r="AQ64">
        <f>AO64-VLOOKUP(AP64,'Bag weights'!A$1:B$20,2,FALSE)</f>
        <v>0</v>
      </c>
      <c r="AT64">
        <f>AR64-VLOOKUP(AS64,'Bag weights'!A$1:B$20,2,FALSE)</f>
        <v>0</v>
      </c>
      <c r="AW64">
        <f>AU64-VLOOKUP(AV64,'Bag weights'!A$1:B$20,2,FALSE)</f>
        <v>0</v>
      </c>
      <c r="AX64">
        <f t="shared" si="1"/>
        <v>0</v>
      </c>
      <c r="BD64" s="120">
        <v>5.6</v>
      </c>
      <c r="BH64" s="16">
        <v>6.58</v>
      </c>
    </row>
    <row r="65" spans="1:60">
      <c r="A65" s="171" t="s">
        <v>297</v>
      </c>
      <c r="B65" s="172"/>
      <c r="C65" s="87">
        <v>1</v>
      </c>
      <c r="D65" s="87" t="s">
        <v>87</v>
      </c>
      <c r="E65" s="2"/>
      <c r="F65" s="2"/>
      <c r="G65" s="2"/>
      <c r="H65" s="16">
        <v>1.83</v>
      </c>
      <c r="I65" s="16" t="s">
        <v>298</v>
      </c>
      <c r="J65">
        <f>H65-VLOOKUP(I65,'Bag weights'!A:B,2,FALSE)</f>
        <v>0.43000000000000016</v>
      </c>
      <c r="M65">
        <f>K65-VLOOKUP(L65,'Bag weights'!A$1:B$20,2,FALSE)</f>
        <v>0</v>
      </c>
      <c r="O65" s="122"/>
      <c r="P65">
        <f>N65-VLOOKUP(O65,'Bag weights'!A$1:B$20,2,FALSE)</f>
        <v>0</v>
      </c>
      <c r="S65">
        <f>Q65-VLOOKUP(N75,'Bag weights'!A$1:B$20,2,FALSE)</f>
        <v>0</v>
      </c>
      <c r="T65" s="16">
        <v>36.29</v>
      </c>
      <c r="U65" s="16" t="s">
        <v>294</v>
      </c>
      <c r="V65">
        <f>T65-VLOOKUP(U65,'Bag weights'!A$1:B$20,2,FALSE)</f>
        <v>21.909999999999997</v>
      </c>
      <c r="W65" s="16">
        <v>1.47</v>
      </c>
      <c r="X65" s="16" t="s">
        <v>298</v>
      </c>
      <c r="Y65">
        <f>W65-VLOOKUP(X65,'Bag weights'!A$1:B$20,2,FALSE)</f>
        <v>7.0000000000000062E-2</v>
      </c>
      <c r="Z65" s="16">
        <v>45.12</v>
      </c>
      <c r="AA65" s="16" t="s">
        <v>294</v>
      </c>
      <c r="AB65">
        <f>Z65-VLOOKUP(AA65,'Bag weights'!A$1:B$20,2,FALSE)</f>
        <v>30.739999999999995</v>
      </c>
      <c r="AC65" s="16">
        <v>10.27</v>
      </c>
      <c r="AD65" s="16" t="s">
        <v>295</v>
      </c>
      <c r="AE65">
        <f>AC65-VLOOKUP(AD65,'Bag weights'!A$1:B$20,2,FALSE)</f>
        <v>2.4399999999999995</v>
      </c>
      <c r="AF65" s="16">
        <v>2.57</v>
      </c>
      <c r="AG65" s="16" t="s">
        <v>296</v>
      </c>
      <c r="AH65">
        <f>AF65-VLOOKUP(AG65,'Bag weights'!A$1:B$20,2,FALSE)</f>
        <v>7.9999999999999627E-2</v>
      </c>
      <c r="AI65" s="16">
        <v>14.9</v>
      </c>
      <c r="AJ65" s="16" t="s">
        <v>295</v>
      </c>
      <c r="AK65">
        <f>AI65-VLOOKUP(AJ65,'Bag weights'!A$1:B$20,2,FALSE)</f>
        <v>7.07</v>
      </c>
      <c r="AL65" s="16">
        <v>15.33</v>
      </c>
      <c r="AM65" s="16" t="s">
        <v>295</v>
      </c>
      <c r="AN65">
        <f>AL65-VLOOKUP(AM65,'Bag weights'!A$1:B$20,2,FALSE)</f>
        <v>7.5</v>
      </c>
      <c r="AO65" s="16">
        <v>36.72</v>
      </c>
      <c r="AP65" s="16" t="s">
        <v>290</v>
      </c>
      <c r="AQ65">
        <f>AO65-VLOOKUP(AP65,'Bag weights'!A$1:B$20,2,FALSE)</f>
        <v>9.2199999999999989</v>
      </c>
      <c r="AT65">
        <f>AR65-VLOOKUP(AS65,'Bag weights'!A$1:B$20,2,FALSE)</f>
        <v>0</v>
      </c>
      <c r="AU65" s="141">
        <v>3.71</v>
      </c>
      <c r="AV65" s="142" t="s">
        <v>296</v>
      </c>
      <c r="AW65" s="143">
        <f>AU65-VLOOKUP(AV65,'Bag weights'!A$1:B$20,2,FALSE)</f>
        <v>1.2199999999999998</v>
      </c>
      <c r="AX65">
        <f t="shared" si="1"/>
        <v>79.459999999999994</v>
      </c>
      <c r="BD65" s="120">
        <v>7.3</v>
      </c>
      <c r="BH65" s="16">
        <v>8.07</v>
      </c>
    </row>
    <row r="66" spans="1:60">
      <c r="A66" s="173"/>
      <c r="B66" s="174"/>
      <c r="C66" s="87">
        <v>1</v>
      </c>
      <c r="D66" s="87" t="s">
        <v>79</v>
      </c>
      <c r="E66" s="2"/>
      <c r="F66" s="2"/>
      <c r="G66" s="2"/>
      <c r="J66">
        <f>H66-VLOOKUP(I66,'Bag weights'!A:B,2,FALSE)</f>
        <v>0</v>
      </c>
      <c r="M66">
        <f>K66-VLOOKUP(L66,'Bag weights'!A$1:B$20,2,FALSE)</f>
        <v>0</v>
      </c>
      <c r="O66" s="122"/>
      <c r="P66">
        <f>N66-VLOOKUP(O66,'Bag weights'!A$1:B$20,2,FALSE)</f>
        <v>0</v>
      </c>
      <c r="S66">
        <f>Q66-VLOOKUP(R66,'Bag weights'!A$1:B$20,2,FALSE)</f>
        <v>0</v>
      </c>
      <c r="V66">
        <f>T66-VLOOKUP(U66,'Bag weights'!A$1:B$20,2,FALSE)</f>
        <v>0</v>
      </c>
      <c r="Y66">
        <f>W66-VLOOKUP(X66,'Bag weights'!A$1:B$20,2,FALSE)</f>
        <v>0</v>
      </c>
      <c r="AB66">
        <f>Z66-VLOOKUP(AA66,'Bag weights'!A$1:B$20,2,FALSE)</f>
        <v>0</v>
      </c>
      <c r="AE66">
        <f>AC66-VLOOKUP(AD66,'Bag weights'!A$1:B$20,2,FALSE)</f>
        <v>0</v>
      </c>
      <c r="AH66">
        <f>AF66-VLOOKUP(AG66,'Bag weights'!A$1:B$20,2,FALSE)</f>
        <v>0</v>
      </c>
      <c r="AK66">
        <f>AI66-VLOOKUP(AJ66,'Bag weights'!A$1:B$20,2,FALSE)</f>
        <v>0</v>
      </c>
      <c r="AN66">
        <f>AL66-VLOOKUP(AM66,'Bag weights'!A$1:B$20,2,FALSE)</f>
        <v>0</v>
      </c>
      <c r="AQ66">
        <f>AO66-VLOOKUP(AP66,'Bag weights'!A$1:B$20,2,FALSE)</f>
        <v>0</v>
      </c>
      <c r="AT66">
        <f>AR66-VLOOKUP(AS66,'Bag weights'!A$1:B$20,2,FALSE)</f>
        <v>0</v>
      </c>
      <c r="AW66">
        <f>AU66-VLOOKUP(AV66,'Bag weights'!A$1:B$20,2,FALSE)</f>
        <v>0</v>
      </c>
      <c r="AX66">
        <f t="shared" si="1"/>
        <v>0</v>
      </c>
      <c r="BD66" s="120">
        <v>13.4</v>
      </c>
      <c r="BH66" s="16">
        <v>5.08</v>
      </c>
    </row>
    <row r="67" spans="1:60">
      <c r="A67" s="175"/>
      <c r="B67" s="176"/>
      <c r="C67" s="87">
        <v>1</v>
      </c>
      <c r="D67" s="87" t="s">
        <v>88</v>
      </c>
      <c r="E67" s="2"/>
      <c r="F67" s="2"/>
      <c r="G67" s="2"/>
      <c r="H67" s="16">
        <v>4.01</v>
      </c>
      <c r="I67" s="16" t="s">
        <v>296</v>
      </c>
      <c r="J67">
        <f>H67-VLOOKUP(I67,'Bag weights'!A:B,2,FALSE)</f>
        <v>1.5199999999999996</v>
      </c>
      <c r="M67">
        <f>K67-VLOOKUP(L67,'Bag weights'!A$1:B$20,2,FALSE)</f>
        <v>0</v>
      </c>
      <c r="N67" s="141">
        <v>0.3</v>
      </c>
      <c r="O67" s="142" t="s">
        <v>302</v>
      </c>
      <c r="P67" s="143">
        <f>N67-VLOOKUP(O67,'Bag weights'!A$1:B$20,2,FALSE)</f>
        <v>0.3</v>
      </c>
      <c r="S67">
        <f>Q67-VLOOKUP(R67,'Bag weights'!A$1:B$20,2,FALSE)</f>
        <v>0</v>
      </c>
      <c r="T67" s="16">
        <v>30.65</v>
      </c>
      <c r="U67" s="16" t="s">
        <v>294</v>
      </c>
      <c r="V67">
        <f>T67-VLOOKUP(U67,'Bag weights'!A$1:B$20,2,FALSE)</f>
        <v>16.269999999999996</v>
      </c>
      <c r="Y67">
        <f>W67-VLOOKUP(X67,'Bag weights'!A$1:B$20,2,FALSE)</f>
        <v>0</v>
      </c>
      <c r="Z67" s="16">
        <v>31.2</v>
      </c>
      <c r="AA67" s="16" t="s">
        <v>294</v>
      </c>
      <c r="AB67">
        <f>Z67-VLOOKUP(AA67,'Bag weights'!A$1:B$20,2,FALSE)</f>
        <v>16.82</v>
      </c>
      <c r="AC67" s="16">
        <v>29.58</v>
      </c>
      <c r="AD67" s="16" t="s">
        <v>294</v>
      </c>
      <c r="AE67">
        <f>AC67-VLOOKUP(AD67,'Bag weights'!A$1:B$20,2,FALSE)</f>
        <v>15.199999999999998</v>
      </c>
      <c r="AH67">
        <f>AF67-VLOOKUP(AG67,'Bag weights'!A$1:B$20,2,FALSE)</f>
        <v>0</v>
      </c>
      <c r="AI67" s="16">
        <v>13.32</v>
      </c>
      <c r="AJ67" s="16" t="s">
        <v>295</v>
      </c>
      <c r="AK67">
        <f>AI67-VLOOKUP(AJ67,'Bag weights'!A$1:B$20,2,FALSE)</f>
        <v>5.49</v>
      </c>
      <c r="AL67" s="16">
        <v>29.46</v>
      </c>
      <c r="AM67" s="16" t="s">
        <v>294</v>
      </c>
      <c r="AN67">
        <f>AL67-VLOOKUP(AM67,'Bag weights'!A$1:B$20,2,FALSE)</f>
        <v>15.08</v>
      </c>
      <c r="AO67" s="16">
        <v>14.35</v>
      </c>
      <c r="AP67" s="16" t="s">
        <v>295</v>
      </c>
      <c r="AQ67">
        <f>AO67-VLOOKUP(AP67,'Bag weights'!A$1:B$20,2,FALSE)</f>
        <v>6.52</v>
      </c>
      <c r="AT67">
        <f>AR67-VLOOKUP(AS67,'Bag weights'!A$1:B$20,2,FALSE)</f>
        <v>0</v>
      </c>
      <c r="AU67" s="16">
        <v>3.86</v>
      </c>
      <c r="AV67" s="16" t="s">
        <v>296</v>
      </c>
      <c r="AW67">
        <f>AU67-VLOOKUP(AV67,'Bag weights'!A$1:B$20,2,FALSE)</f>
        <v>1.3699999999999997</v>
      </c>
      <c r="AX67">
        <f t="shared" si="1"/>
        <v>77.199999999999989</v>
      </c>
      <c r="BD67" s="120">
        <v>4.7</v>
      </c>
      <c r="BH67" s="16">
        <v>6.03</v>
      </c>
    </row>
    <row r="68" spans="1:60">
      <c r="A68" s="87"/>
      <c r="B68" s="87"/>
      <c r="C68" s="87">
        <v>2</v>
      </c>
      <c r="D68" s="87" t="s">
        <v>83</v>
      </c>
      <c r="E68" s="2"/>
      <c r="F68" s="2"/>
      <c r="G68" s="2"/>
      <c r="H68" s="16">
        <v>4.0599999999999996</v>
      </c>
      <c r="I68" s="16" t="s">
        <v>296</v>
      </c>
      <c r="J68">
        <f>H68-VLOOKUP(I68,'Bag weights'!A:B,2,FALSE)</f>
        <v>1.5699999999999994</v>
      </c>
      <c r="M68">
        <f>K68-VLOOKUP(L68,'Bag weights'!A$1:B$20,2,FALSE)</f>
        <v>0</v>
      </c>
      <c r="N68" s="16">
        <v>3.04</v>
      </c>
      <c r="O68" s="119" t="s">
        <v>296</v>
      </c>
      <c r="P68">
        <f>N68-VLOOKUP(O68,'Bag weights'!A$1:B$20,2,FALSE)</f>
        <v>0.54999999999999982</v>
      </c>
      <c r="Q68" s="16">
        <v>3.2</v>
      </c>
      <c r="R68" s="16" t="s">
        <v>296</v>
      </c>
      <c r="S68">
        <f>Q68-VLOOKUP(R68,'Bag weights'!A$1:B$20,2,FALSE)</f>
        <v>0.71</v>
      </c>
      <c r="T68" s="16">
        <v>21.21</v>
      </c>
      <c r="U68" s="16" t="s">
        <v>295</v>
      </c>
      <c r="V68">
        <f>T68-VLOOKUP(U68,'Bag weights'!A$1:B$20,2,FALSE)</f>
        <v>13.38</v>
      </c>
      <c r="W68" s="16">
        <v>0</v>
      </c>
      <c r="Y68">
        <f>W68-VLOOKUP(X68,'Bag weights'!A$1:B$20,2,FALSE)</f>
        <v>0</v>
      </c>
      <c r="Z68" s="16">
        <v>5.17</v>
      </c>
      <c r="AA68" s="16" t="s">
        <v>296</v>
      </c>
      <c r="AB68">
        <f>Z68-VLOOKUP(AA68,'Bag weights'!A$1:B$20,2,FALSE)</f>
        <v>2.6799999999999997</v>
      </c>
      <c r="AC68" s="16">
        <v>4.93</v>
      </c>
      <c r="AD68" s="16" t="s">
        <v>296</v>
      </c>
      <c r="AE68">
        <f>AC68-VLOOKUP(AD68,'Bag weights'!A$1:B$20,2,FALSE)</f>
        <v>2.4399999999999995</v>
      </c>
      <c r="AF68" s="16">
        <v>2.96</v>
      </c>
      <c r="AG68" s="16" t="s">
        <v>296</v>
      </c>
      <c r="AH68">
        <f>AF68-VLOOKUP(AG68,'Bag weights'!A$1:B$20,2,FALSE)</f>
        <v>0.46999999999999975</v>
      </c>
      <c r="AI68" s="16">
        <v>11.63</v>
      </c>
      <c r="AJ68" s="16" t="s">
        <v>295</v>
      </c>
      <c r="AK68">
        <f>AI68-VLOOKUP(AJ68,'Bag weights'!A$1:B$20,2,FALSE)</f>
        <v>3.8000000000000007</v>
      </c>
      <c r="AL68" s="16">
        <v>14.73</v>
      </c>
      <c r="AM68" s="16" t="s">
        <v>295</v>
      </c>
      <c r="AN68">
        <f>AL68-VLOOKUP(AM68,'Bag weights'!A$1:B$20,2,FALSE)</f>
        <v>6.9</v>
      </c>
      <c r="AO68" s="16">
        <v>4.01</v>
      </c>
      <c r="AP68" s="16" t="s">
        <v>296</v>
      </c>
      <c r="AQ68">
        <f>AO68-VLOOKUP(AP68,'Bag weights'!A$1:B$20,2,FALSE)</f>
        <v>1.5199999999999996</v>
      </c>
      <c r="AT68">
        <f>AR68-VLOOKUP(AS68,'Bag weights'!A$1:B$20,2,FALSE)</f>
        <v>0</v>
      </c>
      <c r="AU68" s="16">
        <v>3.72</v>
      </c>
      <c r="AV68" s="16" t="s">
        <v>296</v>
      </c>
      <c r="AW68">
        <f>AU68-VLOOKUP(AV68,'Bag weights'!A$1:B$20,2,FALSE)</f>
        <v>1.23</v>
      </c>
      <c r="AX68">
        <f t="shared" si="1"/>
        <v>34.020000000000003</v>
      </c>
      <c r="BD68" s="120">
        <v>8.9</v>
      </c>
      <c r="BH68" s="16">
        <v>6.51</v>
      </c>
    </row>
    <row r="69" spans="1:60">
      <c r="A69" s="87"/>
      <c r="B69" s="87"/>
      <c r="C69" s="87">
        <v>2</v>
      </c>
      <c r="D69" s="87" t="s">
        <v>85</v>
      </c>
      <c r="E69" s="21" t="s">
        <v>300</v>
      </c>
      <c r="F69" s="2"/>
      <c r="G69" s="2"/>
      <c r="H69" s="16">
        <v>1.53</v>
      </c>
      <c r="I69" s="16" t="s">
        <v>298</v>
      </c>
      <c r="J69">
        <f>H69-VLOOKUP(I69,'Bag weights'!A:B,2,FALSE)</f>
        <v>0.13000000000000012</v>
      </c>
      <c r="M69">
        <f>K69-VLOOKUP(L69,'Bag weights'!A$1:B$20,2,FALSE)</f>
        <v>0</v>
      </c>
      <c r="O69" s="122"/>
      <c r="P69">
        <f>N69-VLOOKUP(O69,'Bag weights'!A$1:B$20,2,FALSE)</f>
        <v>0</v>
      </c>
      <c r="S69">
        <f>Q69-VLOOKUP(R69,'Bag weights'!A$1:B$20,2,FALSE)</f>
        <v>0</v>
      </c>
      <c r="T69" s="16">
        <v>24.71</v>
      </c>
      <c r="U69" s="16" t="s">
        <v>294</v>
      </c>
      <c r="V69">
        <f>T69-VLOOKUP(U69,'Bag weights'!A$1:B$20,2,FALSE)</f>
        <v>10.33</v>
      </c>
      <c r="W69" s="16">
        <v>1.44</v>
      </c>
      <c r="X69" s="16" t="s">
        <v>298</v>
      </c>
      <c r="Y69">
        <f>W69-VLOOKUP(X69,'Bag weights'!A$1:B$20,2,FALSE)</f>
        <v>4.0000000000000036E-2</v>
      </c>
      <c r="Z69" s="16">
        <v>17.16</v>
      </c>
      <c r="AA69" s="16" t="s">
        <v>295</v>
      </c>
      <c r="AB69">
        <f>Z69-VLOOKUP(AA69,'Bag weights'!A$1:B$20,2,FALSE)</f>
        <v>9.33</v>
      </c>
      <c r="AC69" s="16">
        <v>26.97</v>
      </c>
      <c r="AD69" s="16" t="s">
        <v>294</v>
      </c>
      <c r="AE69">
        <f>AC69-VLOOKUP(AD69,'Bag weights'!A$1:B$20,2,FALSE)</f>
        <v>12.589999999999998</v>
      </c>
      <c r="AF69" s="16">
        <v>1.61</v>
      </c>
      <c r="AG69" s="16" t="s">
        <v>298</v>
      </c>
      <c r="AH69">
        <f>AF69-VLOOKUP(AG69,'Bag weights'!A$1:B$20,2,FALSE)</f>
        <v>0.21000000000000019</v>
      </c>
      <c r="AI69" s="16">
        <v>19.07</v>
      </c>
      <c r="AJ69" s="16" t="s">
        <v>295</v>
      </c>
      <c r="AK69">
        <f>AI69-VLOOKUP(AJ69,'Bag weights'!A$1:B$20,2,FALSE)</f>
        <v>11.24</v>
      </c>
      <c r="AL69" s="16">
        <v>35.19</v>
      </c>
      <c r="AM69" s="16" t="s">
        <v>294</v>
      </c>
      <c r="AN69">
        <f>AL69-VLOOKUP(AM69,'Bag weights'!A$1:B$20,2,FALSE)</f>
        <v>20.809999999999995</v>
      </c>
      <c r="AO69" s="16">
        <v>18.55</v>
      </c>
      <c r="AP69" s="16" t="s">
        <v>295</v>
      </c>
      <c r="AQ69">
        <f>AO69-VLOOKUP(AP69,'Bag weights'!A$1:B$20,2,FALSE)</f>
        <v>10.72</v>
      </c>
      <c r="AT69">
        <f>AR69-VLOOKUP(AS69,'Bag weights'!A$1:B$20,2,FALSE)</f>
        <v>0</v>
      </c>
      <c r="AU69" s="16">
        <v>3.23</v>
      </c>
      <c r="AV69" s="16" t="s">
        <v>296</v>
      </c>
      <c r="AW69">
        <f>AU69-VLOOKUP(AV69,'Bag weights'!A$1:B$20,2,FALSE)</f>
        <v>0.73999999999999977</v>
      </c>
      <c r="AX69">
        <f t="shared" si="1"/>
        <v>75.399999999999991</v>
      </c>
      <c r="BD69" s="120">
        <v>9.6</v>
      </c>
      <c r="BH69" s="16">
        <v>3.72</v>
      </c>
    </row>
    <row r="70" spans="1:60">
      <c r="A70" s="87"/>
      <c r="B70" s="87"/>
      <c r="C70" s="87">
        <v>2</v>
      </c>
      <c r="D70" s="87" t="s">
        <v>87</v>
      </c>
      <c r="E70" s="2"/>
      <c r="F70" s="2"/>
      <c r="G70" s="2"/>
      <c r="H70" s="16">
        <v>7.88</v>
      </c>
      <c r="I70" s="16" t="s">
        <v>295</v>
      </c>
      <c r="J70">
        <f>H70-VLOOKUP(I70,'Bag weights'!A:B,2,FALSE)</f>
        <v>4.9999999999999822E-2</v>
      </c>
      <c r="M70">
        <f>K70-VLOOKUP(L70,'Bag weights'!A$1:B$20,2,FALSE)</f>
        <v>0</v>
      </c>
      <c r="N70" s="16">
        <v>7.62</v>
      </c>
      <c r="O70" s="119" t="s">
        <v>295</v>
      </c>
      <c r="P70">
        <f>N70-VLOOKUP(O70,'Bag weights'!A$1:B$20,2,FALSE)</f>
        <v>-0.20999999999999996</v>
      </c>
      <c r="S70">
        <f>Q70-VLOOKUP(R70,'Bag weights'!A$1:B$20,2,FALSE)</f>
        <v>0</v>
      </c>
      <c r="T70" s="16">
        <v>26.69</v>
      </c>
      <c r="U70" s="16" t="s">
        <v>294</v>
      </c>
      <c r="V70">
        <f>T70-VLOOKUP(U70,'Bag weights'!A$1:B$20,2,FALSE)</f>
        <v>12.31</v>
      </c>
      <c r="Y70">
        <f>W70-VLOOKUP(X70,'Bag weights'!A$1:B$20,2,FALSE)</f>
        <v>0</v>
      </c>
      <c r="Z70" s="16">
        <v>31.27</v>
      </c>
      <c r="AA70" s="16" t="s">
        <v>294</v>
      </c>
      <c r="AB70">
        <f>Z70-VLOOKUP(AA70,'Bag weights'!A$1:B$20,2,FALSE)</f>
        <v>16.89</v>
      </c>
      <c r="AC70" s="16">
        <v>19.29</v>
      </c>
      <c r="AD70" s="16" t="s">
        <v>294</v>
      </c>
      <c r="AE70">
        <f>AC70-VLOOKUP(AD70,'Bag weights'!A$1:B$20,2,FALSE)</f>
        <v>4.9099999999999984</v>
      </c>
      <c r="AF70" s="141">
        <v>0.17</v>
      </c>
      <c r="AG70" s="142" t="s">
        <v>302</v>
      </c>
      <c r="AH70" s="143">
        <f>AF70-VLOOKUP(AG70,'Bag weights'!A$1:B$20,2,FALSE)</f>
        <v>0.17</v>
      </c>
      <c r="AI70" s="16">
        <v>24.79</v>
      </c>
      <c r="AJ70" s="16" t="s">
        <v>295</v>
      </c>
      <c r="AK70">
        <f>AI70-VLOOKUP(AJ70,'Bag weights'!A$1:B$20,2,FALSE)</f>
        <v>16.96</v>
      </c>
      <c r="AL70" s="16">
        <v>24.65</v>
      </c>
      <c r="AM70" s="16" t="s">
        <v>295</v>
      </c>
      <c r="AN70">
        <f>AL70-VLOOKUP(AM70,'Bag weights'!A$1:B$20,2,FALSE)</f>
        <v>16.82</v>
      </c>
      <c r="AO70" s="16">
        <v>39.979999999999997</v>
      </c>
      <c r="AP70" s="16" t="s">
        <v>290</v>
      </c>
      <c r="AQ70">
        <f>AO70-VLOOKUP(AP70,'Bag weights'!A$1:B$20,2,FALSE)</f>
        <v>12.479999999999997</v>
      </c>
      <c r="AT70">
        <f>AR70-VLOOKUP(AS70,'Bag weights'!A$1:B$20,2,FALSE)</f>
        <v>0</v>
      </c>
      <c r="AU70" s="16">
        <v>1.59</v>
      </c>
      <c r="AV70" s="16" t="s">
        <v>298</v>
      </c>
      <c r="AW70">
        <f>AU70-VLOOKUP(AV70,'Bag weights'!A$1:B$20,2,FALSE)</f>
        <v>0.19000000000000017</v>
      </c>
      <c r="AX70">
        <f t="shared" si="1"/>
        <v>80.38</v>
      </c>
      <c r="BD70" s="120">
        <v>6.6</v>
      </c>
      <c r="BG70" s="16" t="s">
        <v>337</v>
      </c>
    </row>
    <row r="71" spans="1:60">
      <c r="A71" s="87"/>
      <c r="B71" s="87"/>
      <c r="C71" s="87">
        <v>2</v>
      </c>
      <c r="D71" s="87" t="s">
        <v>79</v>
      </c>
      <c r="E71" s="2"/>
      <c r="F71" s="2"/>
      <c r="G71" s="2"/>
      <c r="J71">
        <f>H71-VLOOKUP(I71,'Bag weights'!A:B,2,FALSE)</f>
        <v>0</v>
      </c>
      <c r="M71">
        <f>K71-VLOOKUP(L71,'Bag weights'!A$1:B$20,2,FALSE)</f>
        <v>0</v>
      </c>
      <c r="O71" s="119"/>
      <c r="P71">
        <f>N71-VLOOKUP(O71,'Bag weights'!A$1:B$20,2,FALSE)</f>
        <v>0</v>
      </c>
      <c r="Q71" s="16">
        <v>9.8699999999999992</v>
      </c>
      <c r="R71" s="16" t="s">
        <v>295</v>
      </c>
      <c r="S71">
        <f>Q71-VLOOKUP(R71,'Bag weights'!A$1:B$20,2,FALSE)</f>
        <v>2.0399999999999991</v>
      </c>
      <c r="T71" s="16">
        <v>36.68</v>
      </c>
      <c r="U71" s="16" t="s">
        <v>294</v>
      </c>
      <c r="V71">
        <f>T71-VLOOKUP(U71,'Bag weights'!A$1:B$20,2,FALSE)</f>
        <v>22.299999999999997</v>
      </c>
      <c r="Y71">
        <f>W71-VLOOKUP(X71,'Bag weights'!A$1:B$20,2,FALSE)</f>
        <v>0</v>
      </c>
      <c r="Z71" s="16">
        <v>12.84</v>
      </c>
      <c r="AA71" s="16" t="s">
        <v>295</v>
      </c>
      <c r="AB71">
        <f>Z71-VLOOKUP(AA71,'Bag weights'!A$1:B$20,2,FALSE)</f>
        <v>5.01</v>
      </c>
      <c r="AC71" s="16">
        <v>12.54</v>
      </c>
      <c r="AD71" s="16" t="s">
        <v>295</v>
      </c>
      <c r="AE71">
        <f>AC71-VLOOKUP(AD71,'Bag weights'!A$1:B$20,2,FALSE)</f>
        <v>4.7099999999999991</v>
      </c>
      <c r="AF71" s="16">
        <v>3.05</v>
      </c>
      <c r="AG71" s="16" t="s">
        <v>296</v>
      </c>
      <c r="AH71">
        <f>AF71-VLOOKUP(AG71,'Bag weights'!A$1:B$20,2,FALSE)</f>
        <v>0.55999999999999961</v>
      </c>
      <c r="AI71" s="16">
        <v>18.71</v>
      </c>
      <c r="AJ71" s="16" t="s">
        <v>295</v>
      </c>
      <c r="AK71">
        <f>AI71-VLOOKUP(AJ71,'Bag weights'!A$1:B$20,2,FALSE)</f>
        <v>10.88</v>
      </c>
      <c r="AL71" s="16">
        <v>21.07</v>
      </c>
      <c r="AM71" s="16" t="s">
        <v>295</v>
      </c>
      <c r="AN71">
        <f>AL71-VLOOKUP(AM71,'Bag weights'!A$1:B$20,2,FALSE)</f>
        <v>13.24</v>
      </c>
      <c r="AO71" s="16">
        <v>25.38</v>
      </c>
      <c r="AP71" s="16" t="s">
        <v>295</v>
      </c>
      <c r="AQ71">
        <f>AO71-VLOOKUP(AP71,'Bag weights'!A$1:B$20,2,FALSE)</f>
        <v>17.549999999999997</v>
      </c>
      <c r="AT71">
        <f>AR71-VLOOKUP(AS71,'Bag weights'!A$1:B$20,2,FALSE)</f>
        <v>0</v>
      </c>
      <c r="AU71" s="16">
        <v>2.83</v>
      </c>
      <c r="AV71" s="16" t="s">
        <v>296</v>
      </c>
      <c r="AW71">
        <f>AU71-VLOOKUP(AV71,'Bag weights'!A$1:B$20,2,FALSE)</f>
        <v>0.33999999999999986</v>
      </c>
      <c r="AX71">
        <f t="shared" si="1"/>
        <v>76.289999999999992</v>
      </c>
      <c r="BD71" s="120">
        <v>7</v>
      </c>
      <c r="BH71" s="16">
        <v>3.94</v>
      </c>
    </row>
    <row r="72" spans="1:60">
      <c r="A72" s="87"/>
      <c r="B72" s="87"/>
      <c r="C72" s="87">
        <v>2</v>
      </c>
      <c r="D72" s="87" t="s">
        <v>88</v>
      </c>
      <c r="E72" s="2"/>
      <c r="F72" s="2"/>
      <c r="G72" s="2"/>
      <c r="J72">
        <f>H72-VLOOKUP(I72,'Bag weights'!A:B,2,FALSE)</f>
        <v>0</v>
      </c>
      <c r="M72">
        <f>K72-VLOOKUP(L72,'Bag weights'!A$1:B$20,2,FALSE)</f>
        <v>0</v>
      </c>
      <c r="N72" s="16">
        <v>10.24</v>
      </c>
      <c r="O72" s="119" t="s">
        <v>295</v>
      </c>
      <c r="P72">
        <f>N72-VLOOKUP(O72,'Bag weights'!A$1:B$20,2,FALSE)</f>
        <v>2.41</v>
      </c>
      <c r="Q72" s="141">
        <v>0.31</v>
      </c>
      <c r="R72" s="142" t="s">
        <v>302</v>
      </c>
      <c r="S72" s="143">
        <f>Q72-VLOOKUP(R72,'Bag weights'!A$1:B$20,2,FALSE)</f>
        <v>0.31</v>
      </c>
      <c r="T72" s="16">
        <v>48.46</v>
      </c>
      <c r="U72" s="16" t="s">
        <v>294</v>
      </c>
      <c r="V72">
        <f>T72-VLOOKUP(U72,'Bag weights'!A$1:B$20,2,FALSE)</f>
        <v>34.08</v>
      </c>
      <c r="Y72">
        <f>W72-VLOOKUP(X72,'Bag weights'!A$1:B$20,2,FALSE)</f>
        <v>0</v>
      </c>
      <c r="Z72" s="16">
        <v>13.67</v>
      </c>
      <c r="AA72" s="16" t="s">
        <v>295</v>
      </c>
      <c r="AB72">
        <f>Z72-VLOOKUP(AA72,'Bag weights'!A$1:B$20,2,FALSE)</f>
        <v>5.84</v>
      </c>
      <c r="AC72" s="16">
        <v>43.57</v>
      </c>
      <c r="AD72" s="16" t="s">
        <v>294</v>
      </c>
      <c r="AE72">
        <f>AC72-VLOOKUP(AD72,'Bag weights'!A$1:B$20,2,FALSE)</f>
        <v>29.189999999999998</v>
      </c>
      <c r="AH72">
        <f>AF72-VLOOKUP(AG72,'Bag weights'!A$1:B$20,2,FALSE)</f>
        <v>0</v>
      </c>
      <c r="AI72" s="16">
        <v>16.22</v>
      </c>
      <c r="AJ72" s="16" t="s">
        <v>295</v>
      </c>
      <c r="AK72">
        <f>AI72-VLOOKUP(AJ72,'Bag weights'!A$1:B$20,2,FALSE)</f>
        <v>8.3899999999999988</v>
      </c>
      <c r="AL72" s="16">
        <v>33.74</v>
      </c>
      <c r="AM72" s="16" t="s">
        <v>295</v>
      </c>
      <c r="AN72">
        <f>AL72-VLOOKUP(AM72,'Bag weights'!A$1:B$20,2,FALSE)</f>
        <v>25.910000000000004</v>
      </c>
      <c r="AO72" s="16">
        <v>32.97</v>
      </c>
      <c r="AP72" s="16" t="s">
        <v>295</v>
      </c>
      <c r="AQ72">
        <f>AO72-VLOOKUP(AP72,'Bag weights'!A$1:B$20,2,FALSE)</f>
        <v>25.14</v>
      </c>
      <c r="AT72">
        <f>AR72-VLOOKUP(AS72,'Bag weights'!A$1:B$20,2,FALSE)</f>
        <v>0</v>
      </c>
      <c r="AU72" s="16">
        <v>3.62</v>
      </c>
      <c r="AV72" s="16" t="s">
        <v>296</v>
      </c>
      <c r="AW72">
        <f>AU72-VLOOKUP(AV72,'Bag weights'!A$1:B$20,2,FALSE)</f>
        <v>1.1299999999999999</v>
      </c>
      <c r="AX72">
        <f t="shared" si="1"/>
        <v>131.27000000000001</v>
      </c>
      <c r="BD72" s="120">
        <v>10</v>
      </c>
      <c r="BH72" s="16">
        <v>3.69</v>
      </c>
    </row>
    <row r="73" spans="1:60">
      <c r="A73" s="87"/>
      <c r="B73" s="87"/>
      <c r="C73" s="87">
        <v>3</v>
      </c>
      <c r="D73" s="87" t="s">
        <v>83</v>
      </c>
      <c r="E73" s="2"/>
      <c r="F73" s="2"/>
      <c r="G73" s="2"/>
      <c r="J73">
        <f>H73-VLOOKUP(I73,'Bag weights'!A:B,2,FALSE)</f>
        <v>0</v>
      </c>
      <c r="M73">
        <f>K73-VLOOKUP(L73,'Bag weights'!A$1:B$20,2,FALSE)</f>
        <v>0</v>
      </c>
      <c r="N73" s="16">
        <v>4.5199999999999996</v>
      </c>
      <c r="O73" s="119" t="s">
        <v>296</v>
      </c>
      <c r="P73">
        <f>N73-VLOOKUP(O73,'Bag weights'!A$1:B$20,2,FALSE)</f>
        <v>2.0299999999999994</v>
      </c>
      <c r="S73">
        <f>Q73-VLOOKUP(R73,'Bag weights'!A$1:B$20,2,FALSE)</f>
        <v>0</v>
      </c>
      <c r="T73" s="16">
        <v>19.88</v>
      </c>
      <c r="U73" s="16" t="s">
        <v>295</v>
      </c>
      <c r="V73">
        <f>T73-VLOOKUP(U73,'Bag weights'!A$1:B$20,2,FALSE)</f>
        <v>12.049999999999999</v>
      </c>
      <c r="Y73">
        <f>W73-VLOOKUP(X73,'Bag weights'!A$1:B$20,2,FALSE)</f>
        <v>0</v>
      </c>
      <c r="Z73" s="16">
        <v>22.48</v>
      </c>
      <c r="AA73" s="16" t="s">
        <v>295</v>
      </c>
      <c r="AB73">
        <f>Z73-VLOOKUP(AA73,'Bag weights'!A$1:B$20,2,FALSE)</f>
        <v>14.65</v>
      </c>
      <c r="AC73" s="16">
        <v>14.2</v>
      </c>
      <c r="AD73" s="16" t="s">
        <v>295</v>
      </c>
      <c r="AE73">
        <f>AC73-VLOOKUP(AD73,'Bag weights'!A$1:B$20,2,FALSE)</f>
        <v>6.3699999999999992</v>
      </c>
      <c r="AF73" s="16">
        <v>3.5</v>
      </c>
      <c r="AG73" s="16" t="s">
        <v>296</v>
      </c>
      <c r="AH73">
        <f>AF73-VLOOKUP(AG73,'Bag weights'!A$1:B$20,2,FALSE)</f>
        <v>1.0099999999999998</v>
      </c>
      <c r="AI73" s="16">
        <v>16.3</v>
      </c>
      <c r="AJ73" s="16" t="s">
        <v>295</v>
      </c>
      <c r="AK73">
        <f>AI73-VLOOKUP(AJ73,'Bag weights'!A$1:B$20,2,FALSE)</f>
        <v>8.4700000000000006</v>
      </c>
      <c r="AL73" s="16">
        <v>33.67</v>
      </c>
      <c r="AM73" s="16" t="s">
        <v>295</v>
      </c>
      <c r="AN73">
        <f>AL73-VLOOKUP(AM73,'Bag weights'!A$1:B$20,2,FALSE)</f>
        <v>25.840000000000003</v>
      </c>
      <c r="AO73" s="16">
        <v>5.64</v>
      </c>
      <c r="AP73" s="16" t="s">
        <v>296</v>
      </c>
      <c r="AQ73">
        <f>AO73-VLOOKUP(AP73,'Bag weights'!A$1:B$20,2,FALSE)</f>
        <v>3.1499999999999995</v>
      </c>
      <c r="AT73">
        <f>AR73-VLOOKUP(AS73,'Bag weights'!A$1:B$20,2,FALSE)</f>
        <v>0</v>
      </c>
      <c r="AU73" s="16">
        <v>2.02</v>
      </c>
      <c r="AV73" s="16" t="s">
        <v>298</v>
      </c>
      <c r="AW73">
        <f>AU73-VLOOKUP(AV73,'Bag weights'!A$1:B$20,2,FALSE)</f>
        <v>0.62000000000000011</v>
      </c>
      <c r="AX73">
        <f t="shared" si="1"/>
        <v>73.569999999999993</v>
      </c>
      <c r="BD73" s="120">
        <v>5.9</v>
      </c>
      <c r="BG73" s="16" t="s">
        <v>337</v>
      </c>
    </row>
    <row r="74" spans="1:60">
      <c r="A74" s="87"/>
      <c r="B74" s="87"/>
      <c r="C74" s="87">
        <v>3</v>
      </c>
      <c r="D74" s="87" t="s">
        <v>85</v>
      </c>
      <c r="E74" s="2"/>
      <c r="F74" s="2"/>
      <c r="G74" s="2"/>
      <c r="J74">
        <f>H74-VLOOKUP(I74,'Bag weights'!A:B,2,FALSE)</f>
        <v>0</v>
      </c>
      <c r="M74">
        <f>K74-VLOOKUP(L74,'Bag weights'!A$1:B$20,2,FALSE)</f>
        <v>0</v>
      </c>
      <c r="N74" s="16">
        <v>3.07</v>
      </c>
      <c r="O74" s="119" t="s">
        <v>296</v>
      </c>
      <c r="P74">
        <f>N74-VLOOKUP(O74,'Bag weights'!A$1:B$20,2,FALSE)</f>
        <v>0.57999999999999963</v>
      </c>
      <c r="S74">
        <f>Q74-VLOOKUP(R74,'Bag weights'!A$1:B$20,2,FALSE)</f>
        <v>0</v>
      </c>
      <c r="T74" s="16">
        <v>51.78</v>
      </c>
      <c r="U74" s="16" t="s">
        <v>276</v>
      </c>
      <c r="V74">
        <f>T74-VLOOKUP(U74,'Bag weights'!A$1:B$20,2,FALSE)</f>
        <v>30.830000000000002</v>
      </c>
      <c r="Y74">
        <f>W74-VLOOKUP(X74,'Bag weights'!A$1:B$20,2,FALSE)</f>
        <v>0</v>
      </c>
      <c r="Z74" s="16">
        <v>20.89</v>
      </c>
      <c r="AA74" s="16" t="s">
        <v>295</v>
      </c>
      <c r="AB74">
        <f>Z74-VLOOKUP(AA74,'Bag weights'!A$1:B$20,2,FALSE)</f>
        <v>13.06</v>
      </c>
      <c r="AC74" s="16">
        <v>10.43</v>
      </c>
      <c r="AD74" s="16" t="s">
        <v>295</v>
      </c>
      <c r="AE74">
        <f>AC74-VLOOKUP(AD74,'Bag weights'!A$1:B$20,2,FALSE)</f>
        <v>2.5999999999999996</v>
      </c>
      <c r="AF74" s="16">
        <v>3.61</v>
      </c>
      <c r="AG74" s="16" t="s">
        <v>296</v>
      </c>
      <c r="AH74">
        <f>AF74-VLOOKUP(AG74,'Bag weights'!A$1:B$20,2,FALSE)</f>
        <v>1.1199999999999997</v>
      </c>
      <c r="AI74" s="16">
        <v>14.21</v>
      </c>
      <c r="AJ74" s="16" t="s">
        <v>295</v>
      </c>
      <c r="AK74">
        <f>AI74-VLOOKUP(AJ74,'Bag weights'!A$1:B$20,2,FALSE)</f>
        <v>6.3800000000000008</v>
      </c>
      <c r="AL74" s="16">
        <v>28.47</v>
      </c>
      <c r="AM74" s="16" t="s">
        <v>295</v>
      </c>
      <c r="AN74">
        <f>AL74-VLOOKUP(AM74,'Bag weights'!A$1:B$20,2,FALSE)</f>
        <v>20.64</v>
      </c>
      <c r="AO74" s="16">
        <v>5.56</v>
      </c>
      <c r="AP74" s="16" t="s">
        <v>296</v>
      </c>
      <c r="AQ74">
        <f>AO74-VLOOKUP(AP74,'Bag weights'!A$1:B$20,2,FALSE)</f>
        <v>3.0699999999999994</v>
      </c>
      <c r="AT74">
        <f>AR74-VLOOKUP(AS74,'Bag weights'!A$1:B$20,2,FALSE)</f>
        <v>0</v>
      </c>
      <c r="AU74" s="16">
        <v>4.6399999999999997</v>
      </c>
      <c r="AV74" s="16" t="s">
        <v>296</v>
      </c>
      <c r="AW74">
        <f>AU74-VLOOKUP(AV74,'Bag weights'!A$1:B$20,2,FALSE)</f>
        <v>2.1499999999999995</v>
      </c>
      <c r="AX74">
        <f t="shared" si="1"/>
        <v>78.28</v>
      </c>
      <c r="BD74" s="120">
        <v>17.600000000000001</v>
      </c>
      <c r="BH74" s="16">
        <v>3.2</v>
      </c>
    </row>
    <row r="75" spans="1:60">
      <c r="A75" s="87"/>
      <c r="B75" s="87"/>
      <c r="C75" s="87">
        <v>3</v>
      </c>
      <c r="D75" s="87" t="s">
        <v>87</v>
      </c>
      <c r="E75" s="21" t="s">
        <v>300</v>
      </c>
      <c r="F75" s="2"/>
      <c r="G75" s="2"/>
      <c r="J75">
        <f>H75-VLOOKUP(I75,'Bag weights'!A:B,2,FALSE)</f>
        <v>0</v>
      </c>
      <c r="M75">
        <f>K75-VLOOKUP(L75,'Bag weights'!A$1:B$20,2,FALSE)</f>
        <v>0</v>
      </c>
      <c r="O75" s="122"/>
      <c r="P75">
        <f>N75-VLOOKUP(O75,'Bag weights'!A$1:B$20,2,FALSE)</f>
        <v>0</v>
      </c>
      <c r="S75">
        <f>Q75-VLOOKUP(R75,'Bag weights'!A$1:B$20,2,FALSE)</f>
        <v>0</v>
      </c>
      <c r="T75" s="16">
        <v>37.15</v>
      </c>
      <c r="U75" s="16" t="s">
        <v>276</v>
      </c>
      <c r="V75">
        <f>T75-VLOOKUP(U75,'Bag weights'!A$1:B$20,2,FALSE)</f>
        <v>16.2</v>
      </c>
      <c r="Y75">
        <f>W75-VLOOKUP(X75,'Bag weights'!A$1:B$20,2,FALSE)</f>
        <v>0</v>
      </c>
      <c r="Z75" s="16">
        <v>52.22</v>
      </c>
      <c r="AA75" s="16" t="s">
        <v>276</v>
      </c>
      <c r="AB75">
        <f>Z75-VLOOKUP(AA75,'Bag weights'!A$1:B$20,2,FALSE)</f>
        <v>31.27</v>
      </c>
      <c r="AC75" s="16">
        <v>8.91</v>
      </c>
      <c r="AD75" s="16" t="s">
        <v>295</v>
      </c>
      <c r="AE75">
        <f>AC75-VLOOKUP(AD75,'Bag weights'!A$1:B$20,2,FALSE)</f>
        <v>1.08</v>
      </c>
      <c r="AF75" s="16">
        <v>10.1</v>
      </c>
      <c r="AG75" s="16" t="s">
        <v>295</v>
      </c>
      <c r="AH75">
        <f>AF75-VLOOKUP(AG75,'Bag weights'!A$1:B$20,2,FALSE)</f>
        <v>2.2699999999999996</v>
      </c>
      <c r="AI75" s="16">
        <v>15.31</v>
      </c>
      <c r="AJ75" s="16" t="s">
        <v>295</v>
      </c>
      <c r="AK75">
        <f>AI75-VLOOKUP(AJ75,'Bag weights'!A$1:B$20,2,FALSE)</f>
        <v>7.48</v>
      </c>
      <c r="AL75" s="16">
        <v>25.71</v>
      </c>
      <c r="AM75" s="16" t="s">
        <v>295</v>
      </c>
      <c r="AN75">
        <f>AL75-VLOOKUP(AM75,'Bag weights'!A$1:B$20,2,FALSE)</f>
        <v>17.880000000000003</v>
      </c>
      <c r="AO75" s="16">
        <v>16.3</v>
      </c>
      <c r="AP75" s="16" t="s">
        <v>295</v>
      </c>
      <c r="AQ75">
        <f>AO75-VLOOKUP(AP75,'Bag weights'!A$1:B$20,2,FALSE)</f>
        <v>8.4700000000000006</v>
      </c>
      <c r="AT75">
        <f>AR75-VLOOKUP(AS75,'Bag weights'!A$1:B$20,2,FALSE)</f>
        <v>0</v>
      </c>
      <c r="AU75" s="141">
        <v>2.62</v>
      </c>
      <c r="AV75" s="142" t="s">
        <v>298</v>
      </c>
      <c r="AW75" s="143">
        <f>AU75-VLOOKUP(AV75,'Bag weights'!A$1:B$20,2,FALSE)</f>
        <v>1.2200000000000002</v>
      </c>
      <c r="AX75">
        <f t="shared" si="1"/>
        <v>84.649999999999991</v>
      </c>
      <c r="AY75" s="16">
        <v>0.01</v>
      </c>
      <c r="BD75" s="120">
        <v>9.8000000000000007</v>
      </c>
      <c r="BH75" s="16">
        <v>5.59</v>
      </c>
    </row>
    <row r="76" spans="1:60">
      <c r="A76" s="87"/>
      <c r="B76" s="87"/>
      <c r="C76" s="87">
        <v>3</v>
      </c>
      <c r="D76" s="87" t="s">
        <v>79</v>
      </c>
      <c r="E76" s="2"/>
      <c r="F76" s="2"/>
      <c r="G76" s="2"/>
      <c r="J76">
        <f>H76-VLOOKUP(I76,'Bag weights'!A:B,2,FALSE)</f>
        <v>0</v>
      </c>
      <c r="M76">
        <f>K76-VLOOKUP(L76,'Bag weights'!A$1:B$20,2,FALSE)</f>
        <v>0</v>
      </c>
      <c r="O76" s="122"/>
      <c r="P76">
        <f>N76-VLOOKUP(O76,'Bag weights'!A$1:B$20,2,FALSE)</f>
        <v>0</v>
      </c>
      <c r="S76">
        <f>Q76-VLOOKUP(R76,'Bag weights'!A$1:B$20,2,FALSE)</f>
        <v>0</v>
      </c>
      <c r="V76">
        <f>T76-VLOOKUP(U76,'Bag weights'!A$1:B$20,2,FALSE)</f>
        <v>0</v>
      </c>
      <c r="Y76">
        <f>W76-VLOOKUP(X76,'Bag weights'!A$1:B$20,2,FALSE)</f>
        <v>0</v>
      </c>
      <c r="AB76">
        <f>Z76-VLOOKUP(AA76,'Bag weights'!A$1:B$20,2,FALSE)</f>
        <v>0</v>
      </c>
      <c r="AE76">
        <f>AC76-VLOOKUP(AD76,'Bag weights'!A$1:B$20,2,FALSE)</f>
        <v>0</v>
      </c>
      <c r="AH76">
        <f>AF76-VLOOKUP(AG76,'Bag weights'!A$1:B$20,2,FALSE)</f>
        <v>0</v>
      </c>
      <c r="AK76">
        <f>AI76-VLOOKUP(AJ76,'Bag weights'!A$1:B$20,2,FALSE)</f>
        <v>0</v>
      </c>
      <c r="AN76">
        <f>AL76-VLOOKUP(AM76,'Bag weights'!A$1:B$20,2,FALSE)</f>
        <v>0</v>
      </c>
      <c r="AQ76">
        <f>AO76-VLOOKUP(AP76,'Bag weights'!A$1:B$20,2,FALSE)</f>
        <v>0</v>
      </c>
      <c r="AT76">
        <f>AR76-VLOOKUP(AS76,'Bag weights'!A$1:B$20,2,FALSE)</f>
        <v>0</v>
      </c>
      <c r="AW76">
        <f>AU76-VLOOKUP(AV76,'Bag weights'!A$1:B$20,2,FALSE)</f>
        <v>0</v>
      </c>
      <c r="AX76">
        <f t="shared" si="1"/>
        <v>0</v>
      </c>
      <c r="BD76" s="120">
        <v>26.3</v>
      </c>
      <c r="BH76" s="16">
        <v>4.5599999999999996</v>
      </c>
    </row>
    <row r="77" spans="1:60">
      <c r="A77" s="87"/>
      <c r="B77" s="87"/>
      <c r="C77" s="87">
        <v>3</v>
      </c>
      <c r="D77" s="87" t="s">
        <v>88</v>
      </c>
      <c r="E77" s="2"/>
      <c r="F77" s="2"/>
      <c r="G77" s="2"/>
      <c r="H77" s="16">
        <v>3.64</v>
      </c>
      <c r="I77" s="16" t="s">
        <v>296</v>
      </c>
      <c r="J77">
        <f>H77-VLOOKUP(I77,'Bag weights'!A:B,2,FALSE)</f>
        <v>1.1499999999999999</v>
      </c>
      <c r="M77">
        <f>K77-VLOOKUP(L77,'Bag weights'!A$1:B$20,2,FALSE)</f>
        <v>0</v>
      </c>
      <c r="N77" s="16">
        <v>3.84</v>
      </c>
      <c r="O77" s="119" t="s">
        <v>296</v>
      </c>
      <c r="P77">
        <f>N77-VLOOKUP(O77,'Bag weights'!A$1:B$20,2,FALSE)</f>
        <v>1.3499999999999996</v>
      </c>
      <c r="S77">
        <f>Q77-VLOOKUP(R77,'Bag weights'!A$1:B$20,2,FALSE)</f>
        <v>0</v>
      </c>
      <c r="T77" s="16">
        <v>24.16</v>
      </c>
      <c r="U77" s="16" t="s">
        <v>302</v>
      </c>
      <c r="V77">
        <f>T77-VLOOKUP(U77,'Bag weights'!A$1:B$20,2,FALSE)</f>
        <v>24.16</v>
      </c>
      <c r="W77" s="16">
        <v>0.23</v>
      </c>
      <c r="X77" s="16" t="s">
        <v>302</v>
      </c>
      <c r="Y77">
        <f>W77-VLOOKUP(X77,'Bag weights'!A$1:B$20,2,FALSE)</f>
        <v>0.23</v>
      </c>
      <c r="Z77" s="16">
        <v>29.83</v>
      </c>
      <c r="AA77" s="16" t="s">
        <v>295</v>
      </c>
      <c r="AB77">
        <f>Z77-VLOOKUP(AA77,'Bag weights'!A$1:B$20,2,FALSE)</f>
        <v>22</v>
      </c>
      <c r="AC77" s="16">
        <v>13.41</v>
      </c>
      <c r="AD77" s="16" t="s">
        <v>295</v>
      </c>
      <c r="AE77">
        <f>AC77-VLOOKUP(AD77,'Bag weights'!A$1:B$20,2,FALSE)</f>
        <v>5.58</v>
      </c>
      <c r="AF77" s="16">
        <v>3.59</v>
      </c>
      <c r="AG77" s="16" t="s">
        <v>296</v>
      </c>
      <c r="AH77">
        <f>AF77-VLOOKUP(AG77,'Bag weights'!A$1:B$20,2,FALSE)</f>
        <v>1.0999999999999996</v>
      </c>
      <c r="AI77" s="16">
        <v>18.149999999999999</v>
      </c>
      <c r="AJ77" s="16" t="s">
        <v>295</v>
      </c>
      <c r="AK77">
        <f>AI77-VLOOKUP(AJ77,'Bag weights'!A$1:B$20,2,FALSE)</f>
        <v>10.319999999999999</v>
      </c>
      <c r="AL77" s="16">
        <v>19.27</v>
      </c>
      <c r="AM77" s="16" t="s">
        <v>295</v>
      </c>
      <c r="AN77">
        <f>AL77-VLOOKUP(AM77,'Bag weights'!A$1:B$20,2,FALSE)</f>
        <v>11.44</v>
      </c>
      <c r="AO77" s="16">
        <v>4.82</v>
      </c>
      <c r="AP77" s="16" t="s">
        <v>296</v>
      </c>
      <c r="AQ77">
        <f>AO77-VLOOKUP(AP77,'Bag weights'!A$1:B$20,2,FALSE)</f>
        <v>2.33</v>
      </c>
      <c r="AT77">
        <f>AR77-VLOOKUP(AS77,'Bag weights'!A$1:B$20,2,FALSE)</f>
        <v>0</v>
      </c>
      <c r="AU77" s="16">
        <v>4.22</v>
      </c>
      <c r="AV77" s="16" t="s">
        <v>296</v>
      </c>
      <c r="AW77">
        <f>AU77-VLOOKUP(AV77,'Bag weights'!A$1:B$20,2,FALSE)</f>
        <v>1.7299999999999995</v>
      </c>
      <c r="AX77">
        <f t="shared" si="1"/>
        <v>79.66</v>
      </c>
      <c r="BD77" s="120">
        <v>11.2</v>
      </c>
      <c r="BH77" s="16">
        <v>4.5</v>
      </c>
    </row>
    <row r="78" spans="1:60">
      <c r="A78" s="87"/>
      <c r="B78" s="87"/>
      <c r="C78" s="87">
        <v>4</v>
      </c>
      <c r="D78" s="87" t="s">
        <v>83</v>
      </c>
      <c r="E78" s="2"/>
      <c r="F78" s="2"/>
      <c r="G78" s="2"/>
      <c r="J78">
        <f>H78-VLOOKUP(I78,'Bag weights'!A:B,2,FALSE)</f>
        <v>0</v>
      </c>
      <c r="M78">
        <f>K78-VLOOKUP(L78,'Bag weights'!A$1:B$20,2,FALSE)</f>
        <v>0</v>
      </c>
      <c r="N78" s="16">
        <v>10.18</v>
      </c>
      <c r="O78" s="119" t="s">
        <v>295</v>
      </c>
      <c r="P78">
        <f>N78-VLOOKUP(O78,'Bag weights'!A$1:B$20,2,FALSE)</f>
        <v>2.3499999999999996</v>
      </c>
      <c r="S78">
        <f>Q78-VLOOKUP(R78,'Bag weights'!A$1:B$20,2,FALSE)</f>
        <v>0</v>
      </c>
      <c r="T78" s="16">
        <v>47.39</v>
      </c>
      <c r="U78" s="16" t="s">
        <v>276</v>
      </c>
      <c r="V78">
        <f>T78-VLOOKUP(U78,'Bag weights'!A$1:B$20,2,FALSE)</f>
        <v>26.44</v>
      </c>
      <c r="Y78">
        <f>W78-VLOOKUP(X78,'Bag weights'!A$1:B$20,2,FALSE)</f>
        <v>0</v>
      </c>
      <c r="Z78" s="16">
        <v>10.27</v>
      </c>
      <c r="AA78" s="16" t="s">
        <v>295</v>
      </c>
      <c r="AB78">
        <f>Z78-VLOOKUP(AA78,'Bag weights'!A$1:B$20,2,FALSE)</f>
        <v>2.4399999999999995</v>
      </c>
      <c r="AC78" s="16">
        <v>11.15</v>
      </c>
      <c r="AD78" s="16" t="s">
        <v>295</v>
      </c>
      <c r="AE78">
        <f>AC78-VLOOKUP(AD78,'Bag weights'!A$1:B$20,2,FALSE)</f>
        <v>3.3200000000000003</v>
      </c>
      <c r="AH78">
        <f>AF78-VLOOKUP(AG78,'Bag weights'!A$1:B$20,2,FALSE)</f>
        <v>0</v>
      </c>
      <c r="AI78" s="16">
        <v>13.61</v>
      </c>
      <c r="AJ78" s="16" t="s">
        <v>295</v>
      </c>
      <c r="AK78">
        <f>AI78-VLOOKUP(AJ78,'Bag weights'!A$1:B$20,2,FALSE)</f>
        <v>5.7799999999999994</v>
      </c>
      <c r="AL78" s="16">
        <v>37.270000000000003</v>
      </c>
      <c r="AM78" s="16" t="s">
        <v>276</v>
      </c>
      <c r="AN78">
        <f>AL78-VLOOKUP(AM78,'Bag weights'!A$1:B$20,2,FALSE)</f>
        <v>16.320000000000004</v>
      </c>
      <c r="AQ78">
        <f>AO78-VLOOKUP(AP78,'Bag weights'!A$1:B$20,2,FALSE)</f>
        <v>0</v>
      </c>
      <c r="AT78">
        <f>AR78-VLOOKUP(AS78,'Bag weights'!A$1:B$20,2,FALSE)</f>
        <v>0</v>
      </c>
      <c r="AW78">
        <f>AU78-VLOOKUP(AV78,'Bag weights'!A$1:B$20,2,FALSE)</f>
        <v>0</v>
      </c>
      <c r="AX78">
        <f t="shared" si="1"/>
        <v>56.65</v>
      </c>
      <c r="BD78" s="120">
        <v>9.1</v>
      </c>
      <c r="BG78" s="16" t="s">
        <v>337</v>
      </c>
    </row>
    <row r="79" spans="1:60">
      <c r="A79" s="87"/>
      <c r="B79" s="87"/>
      <c r="C79" s="87">
        <v>4</v>
      </c>
      <c r="D79" s="87" t="s">
        <v>85</v>
      </c>
      <c r="E79" s="2"/>
      <c r="F79" s="2"/>
      <c r="G79" s="2"/>
      <c r="J79">
        <f>H79-VLOOKUP(I79,'Bag weights'!A:B,2,FALSE)</f>
        <v>0</v>
      </c>
      <c r="M79">
        <f>K79-VLOOKUP(L79,'Bag weights'!A$1:B$20,2,FALSE)</f>
        <v>0</v>
      </c>
      <c r="O79" s="122"/>
      <c r="P79">
        <f>N79-VLOOKUP(O79,'Bag weights'!A$1:B$20,2,FALSE)</f>
        <v>0</v>
      </c>
      <c r="S79">
        <f>Q79-VLOOKUP(R79,'Bag weights'!A$1:B$20,2,FALSE)</f>
        <v>0</v>
      </c>
      <c r="T79" s="16">
        <v>32.299999999999997</v>
      </c>
      <c r="U79" s="16" t="s">
        <v>276</v>
      </c>
      <c r="V79">
        <f>T79-VLOOKUP(U79,'Bag weights'!A$1:B$20,2,FALSE)</f>
        <v>11.349999999999998</v>
      </c>
      <c r="W79" s="16">
        <v>2.96</v>
      </c>
      <c r="X79" s="16" t="s">
        <v>296</v>
      </c>
      <c r="Y79">
        <f>W79-VLOOKUP(X79,'Bag weights'!A$1:B$20,2,FALSE)</f>
        <v>0.46999999999999975</v>
      </c>
      <c r="Z79" s="16">
        <v>39.26</v>
      </c>
      <c r="AA79" s="16" t="s">
        <v>276</v>
      </c>
      <c r="AB79">
        <f>Z79-VLOOKUP(AA79,'Bag weights'!A$1:B$20,2,FALSE)</f>
        <v>18.309999999999999</v>
      </c>
      <c r="AC79" s="16">
        <v>9.61</v>
      </c>
      <c r="AD79" s="16" t="s">
        <v>295</v>
      </c>
      <c r="AE79">
        <f>AC79-VLOOKUP(AD79,'Bag weights'!A$1:B$20,2,FALSE)</f>
        <v>1.7799999999999994</v>
      </c>
      <c r="AF79" s="16">
        <v>3.03</v>
      </c>
      <c r="AG79" s="16" t="s">
        <v>296</v>
      </c>
      <c r="AH79">
        <f>AF79-VLOOKUP(AG79,'Bag weights'!A$1:B$20,2,FALSE)</f>
        <v>0.53999999999999959</v>
      </c>
      <c r="AI79" s="16">
        <v>36.5</v>
      </c>
      <c r="AJ79" s="16" t="s">
        <v>276</v>
      </c>
      <c r="AK79">
        <f>AI79-VLOOKUP(AJ79,'Bag weights'!A$1:B$20,2,FALSE)</f>
        <v>15.55</v>
      </c>
      <c r="AL79" s="16">
        <v>41</v>
      </c>
      <c r="AM79" s="16" t="s">
        <v>276</v>
      </c>
      <c r="AN79">
        <f>AL79-VLOOKUP(AM79,'Bag weights'!A$1:B$20,2,FALSE)</f>
        <v>20.05</v>
      </c>
      <c r="AO79" s="16">
        <v>14.6</v>
      </c>
      <c r="AP79" s="16" t="s">
        <v>295</v>
      </c>
      <c r="AQ79">
        <f>AO79-VLOOKUP(AP79,'Bag weights'!A$1:B$20,2,FALSE)</f>
        <v>6.77</v>
      </c>
      <c r="AT79">
        <f>AR79-VLOOKUP(AS79,'Bag weights'!A$1:B$20,2,FALSE)</f>
        <v>0</v>
      </c>
      <c r="AU79" s="141">
        <v>0.18</v>
      </c>
      <c r="AV79" s="142" t="s">
        <v>302</v>
      </c>
      <c r="AW79" s="143">
        <f>AU79-VLOOKUP(AV79,'Bag weights'!A$1:B$20,2,FALSE)</f>
        <v>0.18</v>
      </c>
      <c r="AX79">
        <f t="shared" si="1"/>
        <v>74.819999999999993</v>
      </c>
      <c r="BD79" s="120">
        <v>16.399999999999999</v>
      </c>
      <c r="BH79" s="16">
        <v>7.88</v>
      </c>
    </row>
    <row r="80" spans="1:60">
      <c r="A80" s="87"/>
      <c r="B80" s="87"/>
      <c r="C80" s="87">
        <v>4</v>
      </c>
      <c r="D80" s="87" t="s">
        <v>87</v>
      </c>
      <c r="E80" s="21" t="s">
        <v>300</v>
      </c>
      <c r="F80" s="2"/>
      <c r="G80" s="2"/>
      <c r="H80" s="16">
        <v>1.5</v>
      </c>
      <c r="I80" s="16" t="s">
        <v>298</v>
      </c>
      <c r="J80">
        <f>H80-VLOOKUP(I80,'Bag weights'!A:B,2,FALSE)</f>
        <v>0.10000000000000009</v>
      </c>
      <c r="M80">
        <f>K80-VLOOKUP(L80,'Bag weights'!A$1:B$20,2,FALSE)</f>
        <v>0</v>
      </c>
      <c r="N80" s="16">
        <v>1.64</v>
      </c>
      <c r="O80" s="119" t="s">
        <v>298</v>
      </c>
      <c r="P80">
        <f>N80-VLOOKUP(O80,'Bag weights'!A$1:B$20,2,FALSE)</f>
        <v>0.24</v>
      </c>
      <c r="S80">
        <f>Q80-VLOOKUP(R80,'Bag weights'!A$1:B$20,2,FALSE)</f>
        <v>0</v>
      </c>
      <c r="T80" s="16">
        <v>36.520000000000003</v>
      </c>
      <c r="U80" s="16" t="s">
        <v>276</v>
      </c>
      <c r="V80">
        <f>T80-VLOOKUP(U80,'Bag weights'!A$1:B$20,2,FALSE)</f>
        <v>15.570000000000004</v>
      </c>
      <c r="W80" s="16">
        <v>1.76</v>
      </c>
      <c r="X80" s="16" t="s">
        <v>298</v>
      </c>
      <c r="Y80">
        <f>W80-VLOOKUP(X80,'Bag weights'!A$1:B$20,2,FALSE)</f>
        <v>0.3600000000000001</v>
      </c>
      <c r="Z80" s="16">
        <v>34.19</v>
      </c>
      <c r="AA80" s="16" t="s">
        <v>276</v>
      </c>
      <c r="AB80">
        <f>Z80-VLOOKUP(AA80,'Bag weights'!A$1:B$20,2,FALSE)</f>
        <v>13.239999999999998</v>
      </c>
      <c r="AC80" s="16">
        <v>9.7200000000000006</v>
      </c>
      <c r="AD80" s="16" t="s">
        <v>295</v>
      </c>
      <c r="AE80">
        <f>AC80-VLOOKUP(AD80,'Bag weights'!A$1:B$20,2,FALSE)</f>
        <v>1.8900000000000006</v>
      </c>
      <c r="AF80" s="16">
        <v>15.24</v>
      </c>
      <c r="AG80" s="16" t="s">
        <v>295</v>
      </c>
      <c r="AH80">
        <f>AF80-VLOOKUP(AG80,'Bag weights'!A$1:B$20,2,FALSE)</f>
        <v>7.41</v>
      </c>
      <c r="AI80" s="16">
        <v>15.28</v>
      </c>
      <c r="AJ80" s="16" t="s">
        <v>295</v>
      </c>
      <c r="AK80">
        <f>AI80-VLOOKUP(AJ80,'Bag weights'!A$1:B$20,2,FALSE)</f>
        <v>7.4499999999999993</v>
      </c>
      <c r="AL80" s="16">
        <v>47.1</v>
      </c>
      <c r="AM80" s="16" t="s">
        <v>276</v>
      </c>
      <c r="AN80">
        <f>AL80-VLOOKUP(AM80,'Bag weights'!A$1:B$20,2,FALSE)</f>
        <v>26.150000000000002</v>
      </c>
      <c r="AO80" s="141">
        <v>7.98</v>
      </c>
      <c r="AP80" s="142" t="s">
        <v>296</v>
      </c>
      <c r="AQ80" s="143">
        <f>AO80-VLOOKUP(AP80,'Bag weights'!A$1:B$20,2,FALSE)</f>
        <v>5.49</v>
      </c>
      <c r="AT80">
        <f>AR80-VLOOKUP(AS80,'Bag weights'!A$1:B$20,2,FALSE)</f>
        <v>0</v>
      </c>
      <c r="AU80" s="16">
        <v>2.09</v>
      </c>
      <c r="AV80" s="16" t="s">
        <v>298</v>
      </c>
      <c r="AW80">
        <f>AU80-VLOOKUP(AV80,'Bag weights'!A$1:B$20,2,FALSE)</f>
        <v>0.69</v>
      </c>
      <c r="AX80">
        <f t="shared" si="1"/>
        <v>77.899999999999991</v>
      </c>
      <c r="BD80" s="120">
        <v>10.6</v>
      </c>
      <c r="BH80" s="16">
        <v>6.68</v>
      </c>
    </row>
    <row r="81" spans="1:60">
      <c r="A81" s="87"/>
      <c r="B81" s="87"/>
      <c r="C81" s="87">
        <v>4</v>
      </c>
      <c r="D81" s="87" t="s">
        <v>79</v>
      </c>
      <c r="E81" s="2"/>
      <c r="F81" s="2"/>
      <c r="G81" s="2"/>
      <c r="J81">
        <f>H81-VLOOKUP(I81,'Bag weights'!A:B,2,FALSE)</f>
        <v>0</v>
      </c>
      <c r="M81">
        <f>K81-VLOOKUP(L81,'Bag weights'!A$1:B$20,2,FALSE)</f>
        <v>0</v>
      </c>
      <c r="O81" s="122"/>
      <c r="P81">
        <f>N81-VLOOKUP(O81,'Bag weights'!A$1:B$20,2,FALSE)</f>
        <v>0</v>
      </c>
      <c r="S81">
        <f>Q81-VLOOKUP(R81,'Bag weights'!A$1:B$20,2,FALSE)</f>
        <v>0</v>
      </c>
      <c r="V81">
        <f>T81-VLOOKUP(U81,'Bag weights'!A$1:B$20,2,FALSE)</f>
        <v>0</v>
      </c>
      <c r="Y81">
        <f>W81-VLOOKUP(X81,'Bag weights'!A$1:B$20,2,FALSE)</f>
        <v>0</v>
      </c>
      <c r="AB81">
        <f>Z81-VLOOKUP(AA81,'Bag weights'!A$1:B$20,2,FALSE)</f>
        <v>0</v>
      </c>
      <c r="AE81">
        <f>AC81-VLOOKUP(AD81,'Bag weights'!A$1:B$20,2,FALSE)</f>
        <v>0</v>
      </c>
      <c r="AH81">
        <f>AF81-VLOOKUP(AG81,'Bag weights'!A$1:B$20,2,FALSE)</f>
        <v>0</v>
      </c>
      <c r="AK81">
        <f>AI81-VLOOKUP(AJ81,'Bag weights'!A$1:B$20,2,FALSE)</f>
        <v>0</v>
      </c>
      <c r="AN81">
        <f>AL81-VLOOKUP(AM81,'Bag weights'!A$1:B$20,2,FALSE)</f>
        <v>0</v>
      </c>
      <c r="AQ81">
        <f>AO81-VLOOKUP(AP81,'Bag weights'!A$1:B$20,2,FALSE)</f>
        <v>0</v>
      </c>
      <c r="AT81">
        <f>AR81-VLOOKUP(AS81,'Bag weights'!A$1:B$20,2,FALSE)</f>
        <v>0</v>
      </c>
      <c r="AW81">
        <f>AU81-VLOOKUP(AV81,'Bag weights'!A$1:B$20,2,FALSE)</f>
        <v>0</v>
      </c>
      <c r="AX81">
        <f t="shared" si="1"/>
        <v>0</v>
      </c>
      <c r="BD81" s="120">
        <v>5.7</v>
      </c>
      <c r="BH81" s="16">
        <v>8.35</v>
      </c>
    </row>
    <row r="82" spans="1:60">
      <c r="A82" s="87"/>
      <c r="B82" s="87"/>
      <c r="C82" s="87">
        <v>4</v>
      </c>
      <c r="D82" s="87" t="s">
        <v>88</v>
      </c>
      <c r="E82" s="2"/>
      <c r="F82" s="2"/>
      <c r="G82" s="2"/>
      <c r="H82" s="16">
        <v>3.81</v>
      </c>
      <c r="I82" s="16" t="s">
        <v>296</v>
      </c>
      <c r="J82">
        <f>H82-VLOOKUP(I82,'Bag weights'!A:B,2,FALSE)</f>
        <v>1.3199999999999998</v>
      </c>
      <c r="M82">
        <f>K82-VLOOKUP(L82,'Bag weights'!A$1:B$20,2,FALSE)</f>
        <v>0</v>
      </c>
      <c r="O82" s="119"/>
      <c r="P82">
        <f>N82-VLOOKUP(O82,'Bag weights'!A$1:B$20,2,FALSE)</f>
        <v>0</v>
      </c>
      <c r="S82">
        <f>Q82-VLOOKUP(R82,'Bag weights'!A$1:B$20,2,FALSE)</f>
        <v>0</v>
      </c>
      <c r="T82" s="16">
        <v>36</v>
      </c>
      <c r="U82" s="16" t="s">
        <v>294</v>
      </c>
      <c r="V82">
        <f>T82-VLOOKUP(U82,'Bag weights'!A$1:B$20,2,FALSE)</f>
        <v>21.619999999999997</v>
      </c>
      <c r="Y82">
        <f>W82-VLOOKUP(X82,'Bag weights'!A$1:B$20,2,FALSE)</f>
        <v>0</v>
      </c>
      <c r="Z82" s="16">
        <v>25.33</v>
      </c>
      <c r="AA82" s="16" t="s">
        <v>295</v>
      </c>
      <c r="AB82">
        <f>Z82-VLOOKUP(AA82,'Bag weights'!A$1:B$20,2,FALSE)</f>
        <v>17.5</v>
      </c>
      <c r="AC82" s="16">
        <v>12.63</v>
      </c>
      <c r="AD82" s="16" t="s">
        <v>295</v>
      </c>
      <c r="AE82">
        <f>AC82-VLOOKUP(AD82,'Bag weights'!A$1:B$20,2,FALSE)</f>
        <v>4.8000000000000007</v>
      </c>
      <c r="AF82" s="16">
        <v>1.82</v>
      </c>
      <c r="AG82" s="16" t="s">
        <v>298</v>
      </c>
      <c r="AH82">
        <f>AF82-VLOOKUP(AG82,'Bag weights'!A$1:B$20,2,FALSE)</f>
        <v>0.42000000000000015</v>
      </c>
      <c r="AI82" s="16">
        <v>12.36</v>
      </c>
      <c r="AJ82" s="16" t="s">
        <v>295</v>
      </c>
      <c r="AK82">
        <f>AI82-VLOOKUP(AJ82,'Bag weights'!A$1:B$20,2,FALSE)</f>
        <v>4.5299999999999994</v>
      </c>
      <c r="AL82" s="16">
        <v>23.66</v>
      </c>
      <c r="AM82" s="16" t="s">
        <v>295</v>
      </c>
      <c r="AN82">
        <f>AL82-VLOOKUP(AM82,'Bag weights'!A$1:B$20,2,FALSE)</f>
        <v>15.83</v>
      </c>
      <c r="AO82" s="16">
        <v>22.47</v>
      </c>
      <c r="AP82" s="16" t="s">
        <v>295</v>
      </c>
      <c r="AQ82">
        <f>AO82-VLOOKUP(AP82,'Bag weights'!A$1:B$20,2,FALSE)</f>
        <v>14.639999999999999</v>
      </c>
      <c r="AR82" s="16">
        <v>1.76</v>
      </c>
      <c r="AS82" s="16" t="s">
        <v>298</v>
      </c>
      <c r="AT82">
        <f>AR82-VLOOKUP(AS82,'Bag weights'!A$1:B$20,2,FALSE)</f>
        <v>0.3600000000000001</v>
      </c>
      <c r="AU82" s="16">
        <v>4.5599999999999996</v>
      </c>
      <c r="AV82" s="16" t="s">
        <v>296</v>
      </c>
      <c r="AW82">
        <f>AU82-VLOOKUP(AV82,'Bag weights'!A$1:B$20,2,FALSE)</f>
        <v>2.0699999999999994</v>
      </c>
      <c r="AX82">
        <f t="shared" si="1"/>
        <v>81.019999999999982</v>
      </c>
      <c r="BD82" s="120">
        <v>5.8</v>
      </c>
      <c r="BH82" s="16">
        <v>5.69</v>
      </c>
    </row>
    <row r="83" spans="1:60">
      <c r="A83" s="87"/>
      <c r="B83" s="87"/>
      <c r="C83" s="118">
        <v>5</v>
      </c>
      <c r="D83" s="118" t="s">
        <v>83</v>
      </c>
      <c r="E83" s="21"/>
      <c r="F83" s="2"/>
      <c r="G83" s="2"/>
      <c r="H83" s="16"/>
      <c r="I83" s="16"/>
      <c r="J83">
        <f>H83-VLOOKUP(I83,'Bag weights'!A:B,2,FALSE)</f>
        <v>0</v>
      </c>
      <c r="M83">
        <f>K83-VLOOKUP(L83,'Bag weights'!A$1:B$20,2,FALSE)</f>
        <v>0</v>
      </c>
      <c r="N83" s="141">
        <v>0.33</v>
      </c>
      <c r="O83" s="142" t="s">
        <v>302</v>
      </c>
      <c r="P83" s="143">
        <f>N83-VLOOKUP(O83,'Bag weights'!A$1:B$20,2,FALSE)</f>
        <v>0.33</v>
      </c>
      <c r="S83">
        <f>Q83-VLOOKUP(R83,'Bag weights'!A$1:B$20,2,FALSE)</f>
        <v>0</v>
      </c>
      <c r="T83" s="16"/>
      <c r="U83" s="16"/>
      <c r="V83">
        <f>T83-VLOOKUP(U83,'Bag weights'!A$1:B$20,2,FALSE)</f>
        <v>0</v>
      </c>
      <c r="Y83">
        <f>W83-VLOOKUP(X83,'Bag weights'!A$1:B$20,2,FALSE)</f>
        <v>0</v>
      </c>
      <c r="Z83" s="16"/>
      <c r="AA83" s="16"/>
      <c r="AB83">
        <f>Z83-VLOOKUP(AA83,'Bag weights'!A$1:B$20,2,FALSE)</f>
        <v>0</v>
      </c>
      <c r="AC83" s="16"/>
      <c r="AD83" s="16"/>
      <c r="AE83">
        <f>AC83-VLOOKUP(AD83,'Bag weights'!A$1:B$20,2,FALSE)</f>
        <v>0</v>
      </c>
      <c r="AF83" s="141">
        <v>3.66</v>
      </c>
      <c r="AG83" s="142" t="s">
        <v>296</v>
      </c>
      <c r="AH83" s="143">
        <f>AF83-VLOOKUP(AG83,'Bag weights'!A$1:B$20,2,FALSE)</f>
        <v>1.17</v>
      </c>
      <c r="AI83" s="16"/>
      <c r="AJ83" s="16"/>
      <c r="AK83">
        <f>AI83-VLOOKUP(AJ83,'Bag weights'!A$1:B$20,2,FALSE)</f>
        <v>0</v>
      </c>
      <c r="AL83" s="16"/>
      <c r="AM83" s="16"/>
      <c r="AN83">
        <f>AL83-VLOOKUP(AM83,'Bag weights'!A$1:B$20,2,FALSE)</f>
        <v>0</v>
      </c>
      <c r="AO83" s="16"/>
      <c r="AP83" s="16"/>
      <c r="AQ83">
        <f>AO83-VLOOKUP(AP83,'Bag weights'!A$1:B$20,2,FALSE)</f>
        <v>0</v>
      </c>
      <c r="AT83">
        <f>AR83-VLOOKUP(AS83,'Bag weights'!A$1:B$20,2,FALSE)</f>
        <v>0</v>
      </c>
      <c r="AU83" s="141">
        <v>4.37</v>
      </c>
      <c r="AV83" s="142" t="s">
        <v>298</v>
      </c>
      <c r="AW83" s="143">
        <f>AU83-VLOOKUP(AV83,'Bag weights'!A$1:B$20,2,FALSE)</f>
        <v>2.97</v>
      </c>
      <c r="AX83">
        <f t="shared" si="1"/>
        <v>1.5</v>
      </c>
      <c r="BD83" s="120"/>
      <c r="BH83" s="16"/>
    </row>
    <row r="84" spans="1:60">
      <c r="A84" s="87"/>
      <c r="B84" s="87"/>
      <c r="C84" s="86">
        <v>5</v>
      </c>
      <c r="D84" s="86" t="s">
        <v>85</v>
      </c>
      <c r="E84" s="21" t="s">
        <v>300</v>
      </c>
      <c r="F84" s="2"/>
      <c r="G84" s="2"/>
      <c r="H84" s="16">
        <v>24.85</v>
      </c>
      <c r="I84" s="16" t="s">
        <v>295</v>
      </c>
      <c r="J84">
        <f>H84-VLOOKUP(I84,'Bag weights'!A:B,2,FALSE)</f>
        <v>17.020000000000003</v>
      </c>
      <c r="M84">
        <f>K84-VLOOKUP(L84,'Bag weights'!A$1:B$20,2,FALSE)</f>
        <v>0</v>
      </c>
      <c r="N84" s="141">
        <v>0.18</v>
      </c>
      <c r="O84" s="142" t="s">
        <v>302</v>
      </c>
      <c r="P84" s="143">
        <f>N84-VLOOKUP(O84,'Bag weights'!A$1:B$20,2,FALSE)</f>
        <v>0.18</v>
      </c>
      <c r="S84">
        <f>Q84-VLOOKUP(R84,'Bag weights'!A$1:B$20,2,FALSE)</f>
        <v>0</v>
      </c>
      <c r="T84" s="16">
        <v>21.77</v>
      </c>
      <c r="U84" s="16" t="s">
        <v>295</v>
      </c>
      <c r="V84">
        <f>T84-VLOOKUP(U84,'Bag weights'!A$1:B$20,2,FALSE)</f>
        <v>13.94</v>
      </c>
      <c r="W84" s="141">
        <v>0.09</v>
      </c>
      <c r="X84" s="142" t="s">
        <v>302</v>
      </c>
      <c r="Y84" s="143">
        <f>W84-VLOOKUP(X84,'Bag weights'!A$1:B$20,2,FALSE)</f>
        <v>0.09</v>
      </c>
      <c r="Z84" s="16">
        <v>15.13</v>
      </c>
      <c r="AA84" s="16" t="s">
        <v>295</v>
      </c>
      <c r="AB84">
        <f>Z84-VLOOKUP(AA84,'Bag weights'!A$1:B$20,2,FALSE)</f>
        <v>7.3000000000000007</v>
      </c>
      <c r="AC84" s="16">
        <v>45.61</v>
      </c>
      <c r="AD84" s="16" t="s">
        <v>276</v>
      </c>
      <c r="AE84">
        <f>AC84-VLOOKUP(AD84,'Bag weights'!A$1:B$20,2,FALSE)</f>
        <v>24.66</v>
      </c>
      <c r="AF84" s="16">
        <v>9.1199999999999992</v>
      </c>
      <c r="AG84" s="16" t="s">
        <v>295</v>
      </c>
      <c r="AH84">
        <f>AF84-VLOOKUP(AG84,'Bag weights'!A$1:B$20,2,FALSE)</f>
        <v>1.2899999999999991</v>
      </c>
      <c r="AI84" s="16">
        <v>12.29</v>
      </c>
      <c r="AJ84" s="16" t="s">
        <v>295</v>
      </c>
      <c r="AK84">
        <f>AI84-VLOOKUP(AJ84,'Bag weights'!A$1:B$20,2,FALSE)</f>
        <v>4.4599999999999991</v>
      </c>
      <c r="AL84" s="16">
        <v>20.67</v>
      </c>
      <c r="AM84" s="16" t="s">
        <v>295</v>
      </c>
      <c r="AN84">
        <f>AL84-VLOOKUP(AM84,'Bag weights'!A$1:B$20,2,FALSE)</f>
        <v>12.840000000000002</v>
      </c>
      <c r="AO84" s="16">
        <v>15.79</v>
      </c>
      <c r="AP84" s="16" t="s">
        <v>295</v>
      </c>
      <c r="AQ84">
        <f>AO84-VLOOKUP(AP84,'Bag weights'!A$1:B$20,2,FALSE)</f>
        <v>7.9599999999999991</v>
      </c>
      <c r="AT84">
        <f>AR84-VLOOKUP(AS84,'Bag weights'!A$1:B$20,2,FALSE)</f>
        <v>0</v>
      </c>
      <c r="AU84" s="141">
        <v>3.55</v>
      </c>
      <c r="AV84" s="142" t="s">
        <v>298</v>
      </c>
      <c r="AW84" s="143">
        <f>AU84-VLOOKUP(AV84,'Bag weights'!A$1:B$20,2,FALSE)</f>
        <v>2.15</v>
      </c>
      <c r="AX84">
        <f t="shared" si="1"/>
        <v>89.740000000000009</v>
      </c>
      <c r="BD84" s="120"/>
      <c r="BH84" s="16"/>
    </row>
    <row r="85" spans="1:60">
      <c r="A85" s="87"/>
      <c r="B85" s="87"/>
      <c r="C85" s="118">
        <v>5</v>
      </c>
      <c r="D85" s="118" t="s">
        <v>87</v>
      </c>
      <c r="E85" s="21"/>
      <c r="F85" s="2"/>
      <c r="G85" s="2"/>
      <c r="J85">
        <f>H85-VLOOKUP(I85,'Bag weights'!A:B,2,FALSE)</f>
        <v>0</v>
      </c>
      <c r="K85" s="141">
        <v>3.32</v>
      </c>
      <c r="L85" s="142" t="s">
        <v>296</v>
      </c>
      <c r="M85" s="143">
        <f>K85-VLOOKUP(L85,'Bag weights'!A$1:B$20,2,FALSE)</f>
        <v>0.82999999999999963</v>
      </c>
      <c r="O85" s="122"/>
      <c r="P85">
        <f>N85-VLOOKUP(O85,'Bag weights'!A$1:B$20,2,FALSE)</f>
        <v>0</v>
      </c>
      <c r="S85">
        <f>Q85-VLOOKUP(R85,'Bag weights'!A$1:B$20,2,FALSE)</f>
        <v>0</v>
      </c>
      <c r="T85" s="16"/>
      <c r="U85" s="16"/>
      <c r="V85">
        <f>T85-VLOOKUP(U85,'Bag weights'!A$1:B$20,2,FALSE)</f>
        <v>0</v>
      </c>
      <c r="Y85">
        <f>W85-VLOOKUP(X85,'Bag weights'!A$1:B$20,2,FALSE)</f>
        <v>0</v>
      </c>
      <c r="Z85" s="16"/>
      <c r="AA85" s="16"/>
      <c r="AB85">
        <f>Z85-VLOOKUP(AA85,'Bag weights'!A$1:B$20,2,FALSE)</f>
        <v>0</v>
      </c>
      <c r="AC85" s="16"/>
      <c r="AD85" s="16"/>
      <c r="AE85">
        <f>AC85-VLOOKUP(AD85,'Bag weights'!A$1:B$20,2,FALSE)</f>
        <v>0</v>
      </c>
      <c r="AF85" s="141">
        <v>3.92</v>
      </c>
      <c r="AG85" s="142" t="s">
        <v>296</v>
      </c>
      <c r="AH85" s="143">
        <f>AF85-VLOOKUP(AG85,'Bag weights'!A$1:B$20,2,FALSE)</f>
        <v>1.4299999999999997</v>
      </c>
      <c r="AI85" s="16"/>
      <c r="AJ85" s="16"/>
      <c r="AK85">
        <f>AI85-VLOOKUP(AJ85,'Bag weights'!A$1:B$20,2,FALSE)</f>
        <v>0</v>
      </c>
      <c r="AL85" s="16"/>
      <c r="AM85" s="16"/>
      <c r="AN85">
        <f>AL85-VLOOKUP(AM85,'Bag weights'!A$1:B$20,2,FALSE)</f>
        <v>0</v>
      </c>
      <c r="AO85" s="16"/>
      <c r="AP85" s="16"/>
      <c r="AQ85">
        <f>AO85-VLOOKUP(AP85,'Bag weights'!A$1:B$20,2,FALSE)</f>
        <v>0</v>
      </c>
      <c r="AT85">
        <f>AR85-VLOOKUP(AS85,'Bag weights'!A$1:B$20,2,FALSE)</f>
        <v>0</v>
      </c>
      <c r="AU85" s="141">
        <v>3.95</v>
      </c>
      <c r="AV85" s="142" t="s">
        <v>296</v>
      </c>
      <c r="AW85" s="143">
        <f>AU85-VLOOKUP(AV85,'Bag weights'!A$1:B$20,2,FALSE)</f>
        <v>1.46</v>
      </c>
      <c r="AX85">
        <f t="shared" si="1"/>
        <v>2.2599999999999993</v>
      </c>
      <c r="BD85" s="120"/>
      <c r="BH85" s="16"/>
    </row>
    <row r="86" spans="1:60">
      <c r="A86" s="87"/>
      <c r="B86" s="87"/>
      <c r="C86" s="86">
        <v>5</v>
      </c>
      <c r="D86" s="86" t="s">
        <v>79</v>
      </c>
      <c r="E86" s="21" t="s">
        <v>300</v>
      </c>
      <c r="F86" s="2"/>
      <c r="G86" s="2"/>
      <c r="J86">
        <f>H86-VLOOKUP(I86,'Bag weights'!A:B,2,FALSE)</f>
        <v>0</v>
      </c>
      <c r="K86" s="141">
        <v>7.0000000000000007E-2</v>
      </c>
      <c r="L86" s="142" t="s">
        <v>302</v>
      </c>
      <c r="M86" s="143">
        <f>K86-VLOOKUP(L86,'Bag weights'!A$1:B$20,2,FALSE)</f>
        <v>7.0000000000000007E-2</v>
      </c>
      <c r="O86" s="122"/>
      <c r="P86">
        <f>N86-VLOOKUP(O86,'Bag weights'!A$1:B$20,2,FALSE)</f>
        <v>0</v>
      </c>
      <c r="S86">
        <f>Q86-VLOOKUP(R86,'Bag weights'!A$1:B$20,2,FALSE)</f>
        <v>0</v>
      </c>
      <c r="T86" s="16">
        <v>52.54</v>
      </c>
      <c r="U86" s="16" t="s">
        <v>276</v>
      </c>
      <c r="V86">
        <f>T86-VLOOKUP(U86,'Bag weights'!A$1:B$20,2,FALSE)</f>
        <v>31.59</v>
      </c>
      <c r="Y86">
        <f>W86-VLOOKUP(X86,'Bag weights'!A$1:B$20,2,FALSE)</f>
        <v>0</v>
      </c>
      <c r="Z86" s="16">
        <v>9.02</v>
      </c>
      <c r="AA86" s="16" t="s">
        <v>295</v>
      </c>
      <c r="AB86">
        <f>Z86-VLOOKUP(AA86,'Bag weights'!A$1:B$20,2,FALSE)</f>
        <v>1.1899999999999995</v>
      </c>
      <c r="AC86" s="16">
        <v>12.97</v>
      </c>
      <c r="AD86" s="16" t="s">
        <v>295</v>
      </c>
      <c r="AE86">
        <f>AC86-VLOOKUP(AD86,'Bag weights'!A$1:B$20,2,FALSE)</f>
        <v>5.1400000000000006</v>
      </c>
      <c r="AF86" s="16">
        <v>8.6999999999999993</v>
      </c>
      <c r="AG86" s="16" t="s">
        <v>295</v>
      </c>
      <c r="AH86">
        <f>AF86-VLOOKUP(AG86,'Bag weights'!A$1:B$20,2,FALSE)</f>
        <v>0.86999999999999922</v>
      </c>
      <c r="AI86" s="16">
        <v>13.73</v>
      </c>
      <c r="AJ86" s="16" t="s">
        <v>295</v>
      </c>
      <c r="AK86">
        <f>AI86-VLOOKUP(AJ86,'Bag weights'!A$1:B$20,2,FALSE)</f>
        <v>5.9</v>
      </c>
      <c r="AL86" s="16">
        <v>26.08</v>
      </c>
      <c r="AM86" s="16" t="s">
        <v>295</v>
      </c>
      <c r="AN86">
        <f>AL86-VLOOKUP(AM86,'Bag weights'!A$1:B$20,2,FALSE)</f>
        <v>18.25</v>
      </c>
      <c r="AO86" s="141">
        <v>6.62</v>
      </c>
      <c r="AP86" s="142" t="s">
        <v>296</v>
      </c>
      <c r="AQ86" s="143">
        <f>AO86-VLOOKUP(AP86,'Bag weights'!A$1:B$20,2,FALSE)</f>
        <v>4.13</v>
      </c>
      <c r="AT86">
        <f>AR86-VLOOKUP(AS86,'Bag weights'!A$1:B$20,2,FALSE)</f>
        <v>0</v>
      </c>
      <c r="AU86" s="16">
        <v>3.28</v>
      </c>
      <c r="AV86" s="16" t="s">
        <v>298</v>
      </c>
      <c r="AW86">
        <f>AU86-VLOOKUP(AV86,'Bag weights'!A$1:B$20,2,FALSE)</f>
        <v>1.88</v>
      </c>
      <c r="AX86">
        <f t="shared" si="1"/>
        <v>67.139999999999986</v>
      </c>
      <c r="BD86" s="120"/>
      <c r="BH86" s="16"/>
    </row>
    <row r="87" spans="1:60">
      <c r="A87" s="87"/>
      <c r="B87" s="87"/>
      <c r="C87" s="118">
        <v>5</v>
      </c>
      <c r="D87" s="118" t="s">
        <v>88</v>
      </c>
      <c r="E87" s="21"/>
      <c r="F87" s="21"/>
      <c r="H87" s="16">
        <v>11.01</v>
      </c>
      <c r="I87" s="16" t="s">
        <v>295</v>
      </c>
      <c r="J87">
        <f>H87-VLOOKUP(I87,'Bag weights'!A:B,2,FALSE)</f>
        <v>3.1799999999999997</v>
      </c>
      <c r="M87">
        <f>K87-VLOOKUP(L87,'Bag weights'!A$1:B$20,2,FALSE)</f>
        <v>0</v>
      </c>
      <c r="O87" s="122"/>
      <c r="P87">
        <f>N87-VLOOKUP(O87,'Bag weights'!A$1:B$20,2,FALSE)</f>
        <v>0</v>
      </c>
      <c r="S87">
        <f>Q87-VLOOKUP(R87,'Bag weights'!A$1:B$20,2,FALSE)</f>
        <v>0</v>
      </c>
      <c r="T87" s="16">
        <v>22.65</v>
      </c>
      <c r="U87" s="16" t="s">
        <v>295</v>
      </c>
      <c r="V87">
        <f>T87-VLOOKUP(U87,'Bag weights'!A$1:B$20,2,FALSE)</f>
        <v>14.819999999999999</v>
      </c>
      <c r="Y87">
        <f>W87-VLOOKUP(X87,'Bag weights'!A$1:B$20,2,FALSE)</f>
        <v>0</v>
      </c>
      <c r="Z87" s="16">
        <v>12.14</v>
      </c>
      <c r="AA87" s="16" t="s">
        <v>295</v>
      </c>
      <c r="AB87">
        <f>Z87-VLOOKUP(AA87,'Bag weights'!A$1:B$20,2,FALSE)</f>
        <v>4.3100000000000005</v>
      </c>
      <c r="AC87" s="16">
        <v>20.81</v>
      </c>
      <c r="AD87" s="16" t="s">
        <v>295</v>
      </c>
      <c r="AE87">
        <f>AC87-VLOOKUP(AD87,'Bag weights'!A$1:B$20,2,FALSE)</f>
        <v>12.979999999999999</v>
      </c>
      <c r="AH87">
        <f>AF87-VLOOKUP(AG87,'Bag weights'!A$1:B$20,2,FALSE)</f>
        <v>0</v>
      </c>
      <c r="AI87" s="16">
        <v>4.29</v>
      </c>
      <c r="AJ87" s="16" t="s">
        <v>296</v>
      </c>
      <c r="AK87">
        <f>AI87-VLOOKUP(AJ87,'Bag weights'!A$1:B$20,2,FALSE)</f>
        <v>1.7999999999999998</v>
      </c>
      <c r="AL87" s="16">
        <v>22.92</v>
      </c>
      <c r="AM87" s="16" t="s">
        <v>295</v>
      </c>
      <c r="AN87">
        <f>AL87-VLOOKUP(AM87,'Bag weights'!A$1:B$20,2,FALSE)</f>
        <v>15.090000000000002</v>
      </c>
      <c r="AO87" s="16">
        <v>8.3800000000000008</v>
      </c>
      <c r="AP87" s="16" t="s">
        <v>296</v>
      </c>
      <c r="AQ87">
        <f>AO87-VLOOKUP(AP87,'Bag weights'!A$1:B$20,2,FALSE)</f>
        <v>5.8900000000000006</v>
      </c>
      <c r="AT87">
        <f>AR87-VLOOKUP(AS87,'Bag weights'!A$1:B$20,2,FALSE)</f>
        <v>0</v>
      </c>
      <c r="AU87" s="16">
        <v>2.3199999999999998</v>
      </c>
      <c r="AV87" s="16" t="s">
        <v>298</v>
      </c>
      <c r="AW87">
        <f>AU87-VLOOKUP(AV87,'Bag weights'!A$1:B$20,2,FALSE)</f>
        <v>0.91999999999999993</v>
      </c>
      <c r="AX87">
        <f t="shared" si="1"/>
        <v>58.070000000000007</v>
      </c>
      <c r="BD87" s="120"/>
      <c r="BH87" s="16"/>
    </row>
    <row r="88" spans="1:60">
      <c r="A88" s="87" t="s">
        <v>78</v>
      </c>
      <c r="B88" s="87" t="s">
        <v>102</v>
      </c>
      <c r="C88" s="87">
        <v>1</v>
      </c>
      <c r="D88" s="87" t="s">
        <v>83</v>
      </c>
      <c r="E88" s="21">
        <v>136.66</v>
      </c>
      <c r="F88" s="21" t="s">
        <v>290</v>
      </c>
      <c r="G88">
        <f>E88-VLOOKUP(F88,'Bag weights'!A:B,2,FALSE)</f>
        <v>109.16</v>
      </c>
      <c r="J88">
        <f>H88-VLOOKUP(I88,'Bag weights'!A:B,2,FALSE)</f>
        <v>0</v>
      </c>
      <c r="M88">
        <f>K88-VLOOKUP(L88,'Bag weights'!A$1:B$20,2,FALSE)</f>
        <v>0</v>
      </c>
      <c r="O88" s="122"/>
      <c r="P88">
        <f>N88-VLOOKUP(O88,'Bag weights'!A$1:B$20,2,FALSE)</f>
        <v>0</v>
      </c>
      <c r="S88">
        <f>Q88-VLOOKUP(R88,'Bag weights'!A$1:B$20,2,FALSE)</f>
        <v>0</v>
      </c>
      <c r="V88">
        <f>T88-VLOOKUP(U88,'Bag weights'!A$1:B$20,2,FALSE)</f>
        <v>0</v>
      </c>
      <c r="Y88">
        <f>W88-VLOOKUP(X88,'Bag weights'!A$1:B$20,2,FALSE)</f>
        <v>0</v>
      </c>
      <c r="AB88">
        <f>Z88-VLOOKUP(AA88,'Bag weights'!A$1:B$20,2,FALSE)</f>
        <v>0</v>
      </c>
      <c r="AE88">
        <f>AC88-VLOOKUP(AD88,'Bag weights'!A$1:B$20,2,FALSE)</f>
        <v>0</v>
      </c>
      <c r="AH88">
        <f>AF88-VLOOKUP(AG88,'Bag weights'!A$1:B$20,2,FALSE)</f>
        <v>0</v>
      </c>
      <c r="AK88">
        <f>AI88-VLOOKUP(AJ88,'Bag weights'!A$1:B$20,2,FALSE)</f>
        <v>0</v>
      </c>
      <c r="AN88">
        <f>AL88-VLOOKUP(AM88,'Bag weights'!A$1:B$20,2,FALSE)</f>
        <v>0</v>
      </c>
      <c r="AQ88">
        <f>AO88-VLOOKUP(AP88,'Bag weights'!A$1:B$20,2,FALSE)</f>
        <v>0</v>
      </c>
      <c r="AT88">
        <f>AR88-VLOOKUP(AS88,'Bag weights'!A$1:B$20,2,FALSE)</f>
        <v>0</v>
      </c>
      <c r="AW88">
        <f>AU88-VLOOKUP(AV88,'Bag weights'!A$1:B$20,2,FALSE)</f>
        <v>0</v>
      </c>
      <c r="AX88">
        <f t="shared" si="1"/>
        <v>0</v>
      </c>
      <c r="BD88" s="120">
        <v>12.4</v>
      </c>
      <c r="BH88" s="16">
        <v>2.5499999999999998</v>
      </c>
    </row>
    <row r="89" spans="1:60">
      <c r="A89" s="86" t="s">
        <v>338</v>
      </c>
      <c r="B89" s="87"/>
      <c r="C89" s="87">
        <v>1</v>
      </c>
      <c r="D89" s="87" t="s">
        <v>85</v>
      </c>
      <c r="E89" s="21">
        <v>139.62</v>
      </c>
      <c r="F89" s="21" t="s">
        <v>290</v>
      </c>
      <c r="G89">
        <f>E89-VLOOKUP(F89,'Bag weights'!A:B,2,FALSE)</f>
        <v>112.12</v>
      </c>
      <c r="J89">
        <f>H89-VLOOKUP(I89,'Bag weights'!A:B,2,FALSE)</f>
        <v>0</v>
      </c>
      <c r="M89">
        <f>K89-VLOOKUP(L89,'Bag weights'!A$1:B$20,2,FALSE)</f>
        <v>0</v>
      </c>
      <c r="O89" s="122"/>
      <c r="P89">
        <f>N89-VLOOKUP(O89,'Bag weights'!A$1:B$20,2,FALSE)</f>
        <v>0</v>
      </c>
      <c r="S89">
        <f>Q89-VLOOKUP(R89,'Bag weights'!A$1:B$20,2,FALSE)</f>
        <v>0</v>
      </c>
      <c r="V89">
        <f>T89-VLOOKUP(U89,'Bag weights'!A$1:B$20,2,FALSE)</f>
        <v>0</v>
      </c>
      <c r="Y89">
        <f>W89-VLOOKUP(X89,'Bag weights'!A$1:B$20,2,FALSE)</f>
        <v>0</v>
      </c>
      <c r="AB89">
        <f>Z89-VLOOKUP(AA89,'Bag weights'!A$1:B$20,2,FALSE)</f>
        <v>0</v>
      </c>
      <c r="AE89">
        <f>AC89-VLOOKUP(AD89,'Bag weights'!A$1:B$20,2,FALSE)</f>
        <v>0</v>
      </c>
      <c r="AH89">
        <f>AF89-VLOOKUP(AG89,'Bag weights'!A$1:B$20,2,FALSE)</f>
        <v>0</v>
      </c>
      <c r="AK89">
        <f>AI89-VLOOKUP(AJ89,'Bag weights'!A$1:B$20,2,FALSE)</f>
        <v>0</v>
      </c>
      <c r="AN89">
        <f>AL89-VLOOKUP(AM89,'Bag weights'!A$1:B$20,2,FALSE)</f>
        <v>0</v>
      </c>
      <c r="AQ89">
        <f>AO89-VLOOKUP(AP89,'Bag weights'!A$1:B$20,2,FALSE)</f>
        <v>0</v>
      </c>
      <c r="AT89">
        <f>AR89-VLOOKUP(AS89,'Bag weights'!A$1:B$20,2,FALSE)</f>
        <v>0</v>
      </c>
      <c r="AW89">
        <f>AU89-VLOOKUP(AV89,'Bag weights'!A$1:B$20,2,FALSE)</f>
        <v>0</v>
      </c>
      <c r="AX89">
        <f t="shared" si="1"/>
        <v>0</v>
      </c>
      <c r="BD89" s="120">
        <v>11.2</v>
      </c>
      <c r="BH89" s="16">
        <v>2.41</v>
      </c>
    </row>
    <row r="90" spans="1:60">
      <c r="A90" s="87"/>
      <c r="B90" s="87"/>
      <c r="C90" s="87">
        <v>1</v>
      </c>
      <c r="D90" s="87" t="s">
        <v>87</v>
      </c>
      <c r="E90" s="21">
        <v>132.03</v>
      </c>
      <c r="F90" s="21" t="s">
        <v>290</v>
      </c>
      <c r="G90">
        <f>E90-VLOOKUP(F90,'Bag weights'!A:B,2,FALSE)</f>
        <v>104.53</v>
      </c>
      <c r="J90">
        <f>H90-VLOOKUP(I90,'Bag weights'!A:B,2,FALSE)</f>
        <v>0</v>
      </c>
      <c r="M90">
        <f>K90-VLOOKUP(L90,'Bag weights'!A$1:B$20,2,FALSE)</f>
        <v>0</v>
      </c>
      <c r="O90" s="122"/>
      <c r="P90">
        <f>N90-VLOOKUP(O90,'Bag weights'!A$1:B$20,2,FALSE)</f>
        <v>0</v>
      </c>
      <c r="S90">
        <f>Q90-VLOOKUP(R90,'Bag weights'!A$1:B$20,2,FALSE)</f>
        <v>0</v>
      </c>
      <c r="V90">
        <f>T90-VLOOKUP(U90,'Bag weights'!A$1:B$20,2,FALSE)</f>
        <v>0</v>
      </c>
      <c r="Y90">
        <f>W90-VLOOKUP(X90,'Bag weights'!A$1:B$20,2,FALSE)</f>
        <v>0</v>
      </c>
      <c r="AB90">
        <f>Z90-VLOOKUP(AA90,'Bag weights'!A$1:B$20,2,FALSE)</f>
        <v>0</v>
      </c>
      <c r="AE90">
        <f>AC90-VLOOKUP(AD90,'Bag weights'!A$1:B$20,2,FALSE)</f>
        <v>0</v>
      </c>
      <c r="AH90">
        <f>AF90-VLOOKUP(AG90,'Bag weights'!A$1:B$20,2,FALSE)</f>
        <v>0</v>
      </c>
      <c r="AK90">
        <f>AI90-VLOOKUP(AJ90,'Bag weights'!A$1:B$20,2,FALSE)</f>
        <v>0</v>
      </c>
      <c r="AN90">
        <f>AL90-VLOOKUP(AM90,'Bag weights'!A$1:B$20,2,FALSE)</f>
        <v>0</v>
      </c>
      <c r="AQ90">
        <f>AO90-VLOOKUP(AP90,'Bag weights'!A$1:B$20,2,FALSE)</f>
        <v>0</v>
      </c>
      <c r="AT90">
        <f>AR90-VLOOKUP(AS90,'Bag weights'!A$1:B$20,2,FALSE)</f>
        <v>0</v>
      </c>
      <c r="AW90">
        <f>AU90-VLOOKUP(AV90,'Bag weights'!A$1:B$20,2,FALSE)</f>
        <v>0</v>
      </c>
      <c r="AX90">
        <f t="shared" si="1"/>
        <v>0</v>
      </c>
      <c r="BD90" s="120">
        <v>13.3</v>
      </c>
      <c r="BH90" s="16">
        <v>1.81</v>
      </c>
    </row>
    <row r="91" spans="1:60">
      <c r="A91" s="87"/>
      <c r="B91" s="87"/>
      <c r="C91" s="87">
        <v>1</v>
      </c>
      <c r="D91" s="87" t="s">
        <v>79</v>
      </c>
      <c r="E91" s="21">
        <v>116.97</v>
      </c>
      <c r="F91" s="21" t="s">
        <v>290</v>
      </c>
      <c r="G91">
        <f>E91-VLOOKUP(F91,'Bag weights'!A:B,2,FALSE)</f>
        <v>89.47</v>
      </c>
      <c r="J91">
        <f>H91-VLOOKUP(I91,'Bag weights'!A:B,2,FALSE)</f>
        <v>0</v>
      </c>
      <c r="M91">
        <f>K91-VLOOKUP(L91,'Bag weights'!A$1:B$20,2,FALSE)</f>
        <v>0</v>
      </c>
      <c r="O91" s="122"/>
      <c r="P91">
        <f>N91-VLOOKUP(O91,'Bag weights'!A$1:B$20,2,FALSE)</f>
        <v>0</v>
      </c>
      <c r="S91">
        <f>Q91-VLOOKUP(R91,'Bag weights'!A$1:B$20,2,FALSE)</f>
        <v>0</v>
      </c>
      <c r="V91">
        <f>T91-VLOOKUP(U91,'Bag weights'!A$1:B$20,2,FALSE)</f>
        <v>0</v>
      </c>
      <c r="Y91">
        <f>W91-VLOOKUP(X91,'Bag weights'!A$1:B$20,2,FALSE)</f>
        <v>0</v>
      </c>
      <c r="AB91">
        <f>Z91-VLOOKUP(AA91,'Bag weights'!A$1:B$20,2,FALSE)</f>
        <v>0</v>
      </c>
      <c r="AE91">
        <f>AC91-VLOOKUP(AD91,'Bag weights'!A$1:B$20,2,FALSE)</f>
        <v>0</v>
      </c>
      <c r="AH91">
        <f>AF91-VLOOKUP(AG91,'Bag weights'!A$1:B$20,2,FALSE)</f>
        <v>0</v>
      </c>
      <c r="AK91">
        <f>AI91-VLOOKUP(AJ91,'Bag weights'!A$1:B$20,2,FALSE)</f>
        <v>0</v>
      </c>
      <c r="AN91">
        <f>AL91-VLOOKUP(AM91,'Bag weights'!A$1:B$20,2,FALSE)</f>
        <v>0</v>
      </c>
      <c r="AQ91">
        <f>AO91-VLOOKUP(AP91,'Bag weights'!A$1:B$20,2,FALSE)</f>
        <v>0</v>
      </c>
      <c r="AT91">
        <f>AR91-VLOOKUP(AS91,'Bag weights'!A$1:B$20,2,FALSE)</f>
        <v>0</v>
      </c>
      <c r="AW91">
        <f>AU91-VLOOKUP(AV91,'Bag weights'!A$1:B$20,2,FALSE)</f>
        <v>0</v>
      </c>
      <c r="AX91">
        <f t="shared" si="1"/>
        <v>0</v>
      </c>
      <c r="BD91" s="120">
        <v>15.9</v>
      </c>
      <c r="BH91" s="16">
        <v>3.96</v>
      </c>
    </row>
    <row r="92" spans="1:60">
      <c r="A92" s="87"/>
      <c r="B92" s="87"/>
      <c r="C92" s="87">
        <v>1</v>
      </c>
      <c r="D92" s="87" t="s">
        <v>88</v>
      </c>
      <c r="E92" s="21">
        <v>118.93</v>
      </c>
      <c r="F92" s="21" t="s">
        <v>290</v>
      </c>
      <c r="G92">
        <f>E92-VLOOKUP(F92,'Bag weights'!A:B,2,FALSE)</f>
        <v>91.43</v>
      </c>
      <c r="J92">
        <f>H92-VLOOKUP(I92,'Bag weights'!A:B,2,FALSE)</f>
        <v>0</v>
      </c>
      <c r="M92">
        <f>K92-VLOOKUP(L92,'Bag weights'!A$1:B$20,2,FALSE)</f>
        <v>0</v>
      </c>
      <c r="O92" s="122"/>
      <c r="P92">
        <f>N92-VLOOKUP(O92,'Bag weights'!A$1:B$20,2,FALSE)</f>
        <v>0</v>
      </c>
      <c r="S92">
        <f>Q92-VLOOKUP(R92,'Bag weights'!A$1:B$20,2,FALSE)</f>
        <v>0</v>
      </c>
      <c r="V92">
        <f>T92-VLOOKUP(U92,'Bag weights'!A$1:B$20,2,FALSE)</f>
        <v>0</v>
      </c>
      <c r="Y92">
        <f>W92-VLOOKUP(X92,'Bag weights'!A$1:B$20,2,FALSE)</f>
        <v>0</v>
      </c>
      <c r="AB92">
        <f>Z92-VLOOKUP(AA92,'Bag weights'!A$1:B$20,2,FALSE)</f>
        <v>0</v>
      </c>
      <c r="AE92">
        <f>AC92-VLOOKUP(AD92,'Bag weights'!A$1:B$20,2,FALSE)</f>
        <v>0</v>
      </c>
      <c r="AH92">
        <f>AF92-VLOOKUP(AG92,'Bag weights'!A$1:B$20,2,FALSE)</f>
        <v>0</v>
      </c>
      <c r="AK92">
        <f>AI92-VLOOKUP(AJ92,'Bag weights'!A$1:B$20,2,FALSE)</f>
        <v>0</v>
      </c>
      <c r="AN92">
        <f>AL92-VLOOKUP(AM92,'Bag weights'!A$1:B$20,2,FALSE)</f>
        <v>0</v>
      </c>
      <c r="AQ92">
        <f>AO92-VLOOKUP(AP92,'Bag weights'!A$1:B$20,2,FALSE)</f>
        <v>0</v>
      </c>
      <c r="AT92">
        <f>AR92-VLOOKUP(AS92,'Bag weights'!A$1:B$20,2,FALSE)</f>
        <v>0</v>
      </c>
      <c r="AW92">
        <f>AU92-VLOOKUP(AV92,'Bag weights'!A$1:B$20,2,FALSE)</f>
        <v>0</v>
      </c>
      <c r="AX92">
        <f t="shared" si="1"/>
        <v>0</v>
      </c>
      <c r="BD92" s="120">
        <v>3.1</v>
      </c>
      <c r="BH92" s="16">
        <v>2.6</v>
      </c>
    </row>
    <row r="93" spans="1:60">
      <c r="A93" s="87"/>
      <c r="B93" s="87"/>
      <c r="C93" s="87">
        <v>2</v>
      </c>
      <c r="D93" s="87" t="s">
        <v>83</v>
      </c>
      <c r="E93" s="21">
        <v>109.71</v>
      </c>
      <c r="F93" s="21" t="s">
        <v>290</v>
      </c>
      <c r="G93">
        <f>E93-VLOOKUP(F93,'Bag weights'!A:B,2,FALSE)</f>
        <v>82.21</v>
      </c>
      <c r="J93">
        <f>H93-VLOOKUP(I93,'Bag weights'!A:B,2,FALSE)</f>
        <v>0</v>
      </c>
      <c r="M93">
        <f>K93-VLOOKUP(L93,'Bag weights'!A$1:B$20,2,FALSE)</f>
        <v>0</v>
      </c>
      <c r="O93" s="122"/>
      <c r="P93">
        <f>N93-VLOOKUP(O93,'Bag weights'!A$1:B$20,2,FALSE)</f>
        <v>0</v>
      </c>
      <c r="S93">
        <f>Q93-VLOOKUP(R93,'Bag weights'!A$1:B$20,2,FALSE)</f>
        <v>0</v>
      </c>
      <c r="V93">
        <f>T93-VLOOKUP(U93,'Bag weights'!A$1:B$20,2,FALSE)</f>
        <v>0</v>
      </c>
      <c r="Y93">
        <f>W93-VLOOKUP(X93,'Bag weights'!A$1:B$20,2,FALSE)</f>
        <v>0</v>
      </c>
      <c r="AB93">
        <f>Z93-VLOOKUP(AA93,'Bag weights'!A$1:B$20,2,FALSE)</f>
        <v>0</v>
      </c>
      <c r="AE93">
        <f>AC93-VLOOKUP(AD93,'Bag weights'!A$1:B$20,2,FALSE)</f>
        <v>0</v>
      </c>
      <c r="AH93">
        <f>AF93-VLOOKUP(AG93,'Bag weights'!A$1:B$20,2,FALSE)</f>
        <v>0</v>
      </c>
      <c r="AK93">
        <f>AI93-VLOOKUP(AJ93,'Bag weights'!A$1:B$20,2,FALSE)</f>
        <v>0</v>
      </c>
      <c r="AN93">
        <f>AL93-VLOOKUP(AM93,'Bag weights'!A$1:B$20,2,FALSE)</f>
        <v>0</v>
      </c>
      <c r="AQ93">
        <f>AO93-VLOOKUP(AP93,'Bag weights'!A$1:B$20,2,FALSE)</f>
        <v>0</v>
      </c>
      <c r="AT93">
        <f>AR93-VLOOKUP(AS93,'Bag weights'!A$1:B$20,2,FALSE)</f>
        <v>0</v>
      </c>
      <c r="AW93">
        <f>AU93-VLOOKUP(AV93,'Bag weights'!A$1:B$20,2,FALSE)</f>
        <v>0</v>
      </c>
      <c r="AX93">
        <f t="shared" si="1"/>
        <v>0</v>
      </c>
      <c r="BD93" s="120">
        <v>9.1</v>
      </c>
      <c r="BH93" s="16">
        <v>1.47</v>
      </c>
    </row>
    <row r="94" spans="1:60">
      <c r="A94" s="87"/>
      <c r="B94" s="87"/>
      <c r="C94" s="87">
        <v>2</v>
      </c>
      <c r="D94" s="87" t="s">
        <v>85</v>
      </c>
      <c r="E94" s="21">
        <v>126.73</v>
      </c>
      <c r="F94" s="21" t="s">
        <v>290</v>
      </c>
      <c r="G94">
        <f>E94-VLOOKUP(F94,'Bag weights'!A:B,2,FALSE)</f>
        <v>99.23</v>
      </c>
      <c r="J94">
        <f>H94-VLOOKUP(I94,'Bag weights'!A:B,2,FALSE)</f>
        <v>0</v>
      </c>
      <c r="M94">
        <f>K94-VLOOKUP(L94,'Bag weights'!A$1:B$20,2,FALSE)</f>
        <v>0</v>
      </c>
      <c r="O94" s="122"/>
      <c r="P94">
        <f>N94-VLOOKUP(O94,'Bag weights'!A$1:B$20,2,FALSE)</f>
        <v>0</v>
      </c>
      <c r="S94">
        <f>Q94-VLOOKUP(R94,'Bag weights'!A$1:B$20,2,FALSE)</f>
        <v>0</v>
      </c>
      <c r="V94">
        <f>T94-VLOOKUP(U94,'Bag weights'!A$1:B$20,2,FALSE)</f>
        <v>0</v>
      </c>
      <c r="Y94">
        <f>W94-VLOOKUP(X94,'Bag weights'!A$1:B$20,2,FALSE)</f>
        <v>0</v>
      </c>
      <c r="AB94">
        <f>Z94-VLOOKUP(AA94,'Bag weights'!A$1:B$20,2,FALSE)</f>
        <v>0</v>
      </c>
      <c r="AE94">
        <f>AC94-VLOOKUP(AD94,'Bag weights'!A$1:B$20,2,FALSE)</f>
        <v>0</v>
      </c>
      <c r="AH94">
        <f>AF94-VLOOKUP(AG94,'Bag weights'!A$1:B$20,2,FALSE)</f>
        <v>0</v>
      </c>
      <c r="AK94">
        <f>AI94-VLOOKUP(AJ94,'Bag weights'!A$1:B$20,2,FALSE)</f>
        <v>0</v>
      </c>
      <c r="AN94">
        <f>AL94-VLOOKUP(AM94,'Bag weights'!A$1:B$20,2,FALSE)</f>
        <v>0</v>
      </c>
      <c r="AQ94">
        <f>AO94-VLOOKUP(AP94,'Bag weights'!A$1:B$20,2,FALSE)</f>
        <v>0</v>
      </c>
      <c r="AT94">
        <f>AR94-VLOOKUP(AS94,'Bag weights'!A$1:B$20,2,FALSE)</f>
        <v>0</v>
      </c>
      <c r="AW94">
        <f>AU94-VLOOKUP(AV94,'Bag weights'!A$1:B$20,2,FALSE)</f>
        <v>0</v>
      </c>
      <c r="AX94">
        <f t="shared" si="1"/>
        <v>0</v>
      </c>
      <c r="BD94" s="120">
        <v>5.7</v>
      </c>
      <c r="BH94" s="16">
        <v>3.22</v>
      </c>
    </row>
    <row r="95" spans="1:60">
      <c r="A95" s="87"/>
      <c r="B95" s="87"/>
      <c r="C95" s="87">
        <v>2</v>
      </c>
      <c r="D95" s="87" t="s">
        <v>87</v>
      </c>
      <c r="E95" s="21">
        <v>123.78</v>
      </c>
      <c r="F95" s="21" t="s">
        <v>290</v>
      </c>
      <c r="G95">
        <f>E95-VLOOKUP(F95,'Bag weights'!A:B,2,FALSE)</f>
        <v>96.28</v>
      </c>
      <c r="J95">
        <f>H95-VLOOKUP(I95,'Bag weights'!A:B,2,FALSE)</f>
        <v>0</v>
      </c>
      <c r="M95">
        <f>K95-VLOOKUP(L95,'Bag weights'!A$1:B$20,2,FALSE)</f>
        <v>0</v>
      </c>
      <c r="O95" s="122"/>
      <c r="P95">
        <f>N95-VLOOKUP(O95,'Bag weights'!A$1:B$20,2,FALSE)</f>
        <v>0</v>
      </c>
      <c r="S95">
        <f>Q95-VLOOKUP(R95,'Bag weights'!A$1:B$20,2,FALSE)</f>
        <v>0</v>
      </c>
      <c r="V95">
        <f>T95-VLOOKUP(U95,'Bag weights'!A$1:B$20,2,FALSE)</f>
        <v>0</v>
      </c>
      <c r="Y95">
        <f>W95-VLOOKUP(X95,'Bag weights'!A$1:B$20,2,FALSE)</f>
        <v>0</v>
      </c>
      <c r="AB95">
        <f>Z95-VLOOKUP(AA95,'Bag weights'!A$1:B$20,2,FALSE)</f>
        <v>0</v>
      </c>
      <c r="AE95">
        <f>AC95-VLOOKUP(AD95,'Bag weights'!A$1:B$20,2,FALSE)</f>
        <v>0</v>
      </c>
      <c r="AH95">
        <f>AF95-VLOOKUP(AG95,'Bag weights'!A$1:B$20,2,FALSE)</f>
        <v>0</v>
      </c>
      <c r="AK95">
        <f>AI95-VLOOKUP(AJ95,'Bag weights'!A$1:B$20,2,FALSE)</f>
        <v>0</v>
      </c>
      <c r="AN95">
        <f>AL95-VLOOKUP(AM95,'Bag weights'!A$1:B$20,2,FALSE)</f>
        <v>0</v>
      </c>
      <c r="AQ95">
        <f>AO95-VLOOKUP(AP95,'Bag weights'!A$1:B$20,2,FALSE)</f>
        <v>0</v>
      </c>
      <c r="AT95">
        <f>AR95-VLOOKUP(AS95,'Bag weights'!A$1:B$20,2,FALSE)</f>
        <v>0</v>
      </c>
      <c r="AW95">
        <f>AU95-VLOOKUP(AV95,'Bag weights'!A$1:B$20,2,FALSE)</f>
        <v>0</v>
      </c>
      <c r="AX95">
        <f t="shared" si="1"/>
        <v>0</v>
      </c>
      <c r="BD95" s="120">
        <v>17</v>
      </c>
      <c r="BH95" s="16">
        <v>0.71</v>
      </c>
    </row>
    <row r="96" spans="1:60">
      <c r="A96" s="87"/>
      <c r="B96" s="87"/>
      <c r="C96" s="87">
        <v>2</v>
      </c>
      <c r="D96" s="87" t="s">
        <v>79</v>
      </c>
      <c r="E96" s="21">
        <v>128.75</v>
      </c>
      <c r="F96" s="21" t="s">
        <v>290</v>
      </c>
      <c r="G96">
        <f>E96-VLOOKUP(F96,'Bag weights'!A:B,2,FALSE)</f>
        <v>101.25</v>
      </c>
      <c r="J96">
        <f>H96-VLOOKUP(I96,'Bag weights'!A:B,2,FALSE)</f>
        <v>0</v>
      </c>
      <c r="M96">
        <f>K96-VLOOKUP(L96,'Bag weights'!A$1:B$20,2,FALSE)</f>
        <v>0</v>
      </c>
      <c r="O96" s="122"/>
      <c r="P96">
        <f>N96-VLOOKUP(O96,'Bag weights'!A$1:B$20,2,FALSE)</f>
        <v>0</v>
      </c>
      <c r="S96">
        <f>Q96-VLOOKUP(R96,'Bag weights'!A$1:B$20,2,FALSE)</f>
        <v>0</v>
      </c>
      <c r="V96">
        <f>T96-VLOOKUP(U96,'Bag weights'!A$1:B$20,2,FALSE)</f>
        <v>0</v>
      </c>
      <c r="Y96">
        <f>W96-VLOOKUP(X96,'Bag weights'!A$1:B$20,2,FALSE)</f>
        <v>0</v>
      </c>
      <c r="AB96">
        <f>Z96-VLOOKUP(AA96,'Bag weights'!A$1:B$20,2,FALSE)</f>
        <v>0</v>
      </c>
      <c r="AE96">
        <f>AC96-VLOOKUP(AD96,'Bag weights'!A$1:B$20,2,FALSE)</f>
        <v>0</v>
      </c>
      <c r="AH96">
        <f>AF96-VLOOKUP(AG96,'Bag weights'!A$1:B$20,2,FALSE)</f>
        <v>0</v>
      </c>
      <c r="AK96">
        <f>AI96-VLOOKUP(AJ96,'Bag weights'!A$1:B$20,2,FALSE)</f>
        <v>0</v>
      </c>
      <c r="AN96">
        <f>AL96-VLOOKUP(AM96,'Bag weights'!A$1:B$20,2,FALSE)</f>
        <v>0</v>
      </c>
      <c r="AQ96">
        <f>AO96-VLOOKUP(AP96,'Bag weights'!A$1:B$20,2,FALSE)</f>
        <v>0</v>
      </c>
      <c r="AT96">
        <f>AR96-VLOOKUP(AS96,'Bag weights'!A$1:B$20,2,FALSE)</f>
        <v>0</v>
      </c>
      <c r="AW96">
        <f>AU96-VLOOKUP(AV96,'Bag weights'!A$1:B$20,2,FALSE)</f>
        <v>0</v>
      </c>
      <c r="AX96">
        <f t="shared" si="1"/>
        <v>0</v>
      </c>
      <c r="BD96" s="120">
        <v>9.8000000000000007</v>
      </c>
      <c r="BH96" s="16">
        <v>1.99</v>
      </c>
    </row>
    <row r="97" spans="1:60">
      <c r="A97" s="87"/>
      <c r="B97" s="87"/>
      <c r="C97" s="87">
        <v>2</v>
      </c>
      <c r="D97" s="87" t="s">
        <v>88</v>
      </c>
      <c r="E97" s="21">
        <v>111.45</v>
      </c>
      <c r="F97" s="21" t="s">
        <v>290</v>
      </c>
      <c r="G97">
        <f>E97-VLOOKUP(F97,'Bag weights'!A:B,2,FALSE)</f>
        <v>83.95</v>
      </c>
      <c r="J97">
        <f>H97-VLOOKUP(I97,'Bag weights'!A:B,2,FALSE)</f>
        <v>0</v>
      </c>
      <c r="M97">
        <f>K97-VLOOKUP(L97,'Bag weights'!A$1:B$20,2,FALSE)</f>
        <v>0</v>
      </c>
      <c r="O97" s="122"/>
      <c r="P97">
        <f>N97-VLOOKUP(O97,'Bag weights'!A$1:B$20,2,FALSE)</f>
        <v>0</v>
      </c>
      <c r="S97">
        <f>Q97-VLOOKUP(R97,'Bag weights'!A$1:B$20,2,FALSE)</f>
        <v>0</v>
      </c>
      <c r="V97">
        <f>T97-VLOOKUP(U97,'Bag weights'!A$1:B$20,2,FALSE)</f>
        <v>0</v>
      </c>
      <c r="Y97">
        <f>W97-VLOOKUP(X97,'Bag weights'!A$1:B$20,2,FALSE)</f>
        <v>0</v>
      </c>
      <c r="AB97">
        <f>Z97-VLOOKUP(AA97,'Bag weights'!A$1:B$20,2,FALSE)</f>
        <v>0</v>
      </c>
      <c r="AE97">
        <f>AC97-VLOOKUP(AD97,'Bag weights'!A$1:B$20,2,FALSE)</f>
        <v>0</v>
      </c>
      <c r="AH97">
        <f>AF97-VLOOKUP(AG97,'Bag weights'!A$1:B$20,2,FALSE)</f>
        <v>0</v>
      </c>
      <c r="AK97">
        <f>AI97-VLOOKUP(AJ97,'Bag weights'!A$1:B$20,2,FALSE)</f>
        <v>0</v>
      </c>
      <c r="AN97">
        <f>AL97-VLOOKUP(AM97,'Bag weights'!A$1:B$20,2,FALSE)</f>
        <v>0</v>
      </c>
      <c r="AQ97">
        <f>AO97-VLOOKUP(AP97,'Bag weights'!A$1:B$20,2,FALSE)</f>
        <v>0</v>
      </c>
      <c r="AT97">
        <f>AR97-VLOOKUP(AS97,'Bag weights'!A$1:B$20,2,FALSE)</f>
        <v>0</v>
      </c>
      <c r="AW97">
        <f>AU97-VLOOKUP(AV97,'Bag weights'!A$1:B$20,2,FALSE)</f>
        <v>0</v>
      </c>
      <c r="AX97">
        <f t="shared" si="1"/>
        <v>0</v>
      </c>
      <c r="BD97" s="120">
        <v>4.2</v>
      </c>
      <c r="BH97" s="16">
        <v>3.26</v>
      </c>
    </row>
    <row r="98" spans="1:60">
      <c r="A98" s="87"/>
      <c r="B98" s="87"/>
      <c r="C98" s="87">
        <v>3</v>
      </c>
      <c r="D98" s="87" t="s">
        <v>83</v>
      </c>
      <c r="E98" s="21">
        <v>122.08</v>
      </c>
      <c r="F98" s="21" t="s">
        <v>290</v>
      </c>
      <c r="G98">
        <f>E98-VLOOKUP(F98,'Bag weights'!A:B,2,FALSE)</f>
        <v>94.58</v>
      </c>
      <c r="J98">
        <f>H98-VLOOKUP(I98,'Bag weights'!A:B,2,FALSE)</f>
        <v>0</v>
      </c>
      <c r="M98">
        <f>K98-VLOOKUP(L98,'Bag weights'!A$1:B$20,2,FALSE)</f>
        <v>0</v>
      </c>
      <c r="O98" s="122"/>
      <c r="P98">
        <f>N98-VLOOKUP(O98,'Bag weights'!A$1:B$20,2,FALSE)</f>
        <v>0</v>
      </c>
      <c r="S98">
        <f>Q98-VLOOKUP(R98,'Bag weights'!A$1:B$20,2,FALSE)</f>
        <v>0</v>
      </c>
      <c r="V98">
        <f>T98-VLOOKUP(U98,'Bag weights'!A$1:B$20,2,FALSE)</f>
        <v>0</v>
      </c>
      <c r="Y98">
        <f>W98-VLOOKUP(X98,'Bag weights'!A$1:B$20,2,FALSE)</f>
        <v>0</v>
      </c>
      <c r="AB98">
        <f>Z98-VLOOKUP(AA98,'Bag weights'!A$1:B$20,2,FALSE)</f>
        <v>0</v>
      </c>
      <c r="AE98">
        <f>AC98-VLOOKUP(AD98,'Bag weights'!A$1:B$20,2,FALSE)</f>
        <v>0</v>
      </c>
      <c r="AH98">
        <f>AF98-VLOOKUP(AG98,'Bag weights'!A$1:B$20,2,FALSE)</f>
        <v>0</v>
      </c>
      <c r="AK98">
        <f>AI98-VLOOKUP(AJ98,'Bag weights'!A$1:B$20,2,FALSE)</f>
        <v>0</v>
      </c>
      <c r="AN98">
        <f>AL98-VLOOKUP(AM98,'Bag weights'!A$1:B$20,2,FALSE)</f>
        <v>0</v>
      </c>
      <c r="AQ98">
        <f>AO98-VLOOKUP(AP98,'Bag weights'!A$1:B$20,2,FALSE)</f>
        <v>0</v>
      </c>
      <c r="AT98">
        <f>AR98-VLOOKUP(AS98,'Bag weights'!A$1:B$20,2,FALSE)</f>
        <v>0</v>
      </c>
      <c r="AW98">
        <f>AU98-VLOOKUP(AV98,'Bag weights'!A$1:B$20,2,FALSE)</f>
        <v>0</v>
      </c>
      <c r="AX98">
        <f t="shared" si="1"/>
        <v>0</v>
      </c>
      <c r="BD98" s="120">
        <v>110.3</v>
      </c>
      <c r="BH98" s="16">
        <v>3.09</v>
      </c>
    </row>
    <row r="99" spans="1:60">
      <c r="A99" s="87"/>
      <c r="B99" s="87"/>
      <c r="C99" s="87">
        <v>3</v>
      </c>
      <c r="D99" s="87" t="s">
        <v>85</v>
      </c>
      <c r="E99" s="21">
        <v>112.11</v>
      </c>
      <c r="F99" s="21" t="s">
        <v>290</v>
      </c>
      <c r="G99">
        <f>E99-VLOOKUP(F99,'Bag weights'!A:B,2,FALSE)</f>
        <v>84.61</v>
      </c>
      <c r="J99">
        <f>H99-VLOOKUP(I99,'Bag weights'!A:B,2,FALSE)</f>
        <v>0</v>
      </c>
      <c r="M99">
        <f>K99-VLOOKUP(L99,'Bag weights'!A$1:B$20,2,FALSE)</f>
        <v>0</v>
      </c>
      <c r="O99" s="122"/>
      <c r="P99">
        <f>N99-VLOOKUP(O99,'Bag weights'!A$1:B$20,2,FALSE)</f>
        <v>0</v>
      </c>
      <c r="S99">
        <f>Q99-VLOOKUP(R99,'Bag weights'!A$1:B$20,2,FALSE)</f>
        <v>0</v>
      </c>
      <c r="V99">
        <f>T99-VLOOKUP(U99,'Bag weights'!A$1:B$20,2,FALSE)</f>
        <v>0</v>
      </c>
      <c r="Y99">
        <f>W99-VLOOKUP(X99,'Bag weights'!A$1:B$20,2,FALSE)</f>
        <v>0</v>
      </c>
      <c r="AB99">
        <f>Z99-VLOOKUP(AA99,'Bag weights'!A$1:B$20,2,FALSE)</f>
        <v>0</v>
      </c>
      <c r="AE99">
        <f>AC99-VLOOKUP(AD99,'Bag weights'!A$1:B$20,2,FALSE)</f>
        <v>0</v>
      </c>
      <c r="AH99">
        <f>AF99-VLOOKUP(AG99,'Bag weights'!A$1:B$20,2,FALSE)</f>
        <v>0</v>
      </c>
      <c r="AK99">
        <f>AI99-VLOOKUP(AJ99,'Bag weights'!A$1:B$20,2,FALSE)</f>
        <v>0</v>
      </c>
      <c r="AN99">
        <f>AL99-VLOOKUP(AM99,'Bag weights'!A$1:B$20,2,FALSE)</f>
        <v>0</v>
      </c>
      <c r="AQ99">
        <f>AO99-VLOOKUP(AP99,'Bag weights'!A$1:B$20,2,FALSE)</f>
        <v>0</v>
      </c>
      <c r="AT99">
        <f>AR99-VLOOKUP(AS99,'Bag weights'!A$1:B$20,2,FALSE)</f>
        <v>0</v>
      </c>
      <c r="AW99">
        <f>AU99-VLOOKUP(AV99,'Bag weights'!A$1:B$20,2,FALSE)</f>
        <v>0</v>
      </c>
      <c r="AX99">
        <f t="shared" si="1"/>
        <v>0</v>
      </c>
      <c r="BD99" s="120">
        <v>49.2</v>
      </c>
      <c r="BH99" s="16">
        <v>1.76</v>
      </c>
    </row>
    <row r="100" spans="1:60">
      <c r="A100" s="87"/>
      <c r="B100" s="87"/>
      <c r="C100" s="87">
        <v>3</v>
      </c>
      <c r="D100" s="87" t="s">
        <v>87</v>
      </c>
      <c r="E100" s="21">
        <v>101.21</v>
      </c>
      <c r="F100" s="21" t="s">
        <v>290</v>
      </c>
      <c r="G100">
        <f>E100-VLOOKUP(F100,'Bag weights'!A:B,2,FALSE)</f>
        <v>73.709999999999994</v>
      </c>
      <c r="J100">
        <f>H100-VLOOKUP(I100,'Bag weights'!A:B,2,FALSE)</f>
        <v>0</v>
      </c>
      <c r="M100">
        <f>K100-VLOOKUP(L100,'Bag weights'!A$1:B$20,2,FALSE)</f>
        <v>0</v>
      </c>
      <c r="O100" s="122"/>
      <c r="P100">
        <f>N100-VLOOKUP(O100,'Bag weights'!A$1:B$20,2,FALSE)</f>
        <v>0</v>
      </c>
      <c r="S100">
        <f>Q100-VLOOKUP(R100,'Bag weights'!A$1:B$20,2,FALSE)</f>
        <v>0</v>
      </c>
      <c r="V100">
        <f>T100-VLOOKUP(U100,'Bag weights'!A$1:B$20,2,FALSE)</f>
        <v>0</v>
      </c>
      <c r="Y100">
        <f>W100-VLOOKUP(X100,'Bag weights'!A$1:B$20,2,FALSE)</f>
        <v>0</v>
      </c>
      <c r="AB100">
        <f>Z100-VLOOKUP(AA100,'Bag weights'!A$1:B$20,2,FALSE)</f>
        <v>0</v>
      </c>
      <c r="AE100">
        <f>AC100-VLOOKUP(AD100,'Bag weights'!A$1:B$20,2,FALSE)</f>
        <v>0</v>
      </c>
      <c r="AH100">
        <f>AF100-VLOOKUP(AG100,'Bag weights'!A$1:B$20,2,FALSE)</f>
        <v>0</v>
      </c>
      <c r="AK100">
        <f>AI100-VLOOKUP(AJ100,'Bag weights'!A$1:B$20,2,FALSE)</f>
        <v>0</v>
      </c>
      <c r="AN100">
        <f>AL100-VLOOKUP(AM100,'Bag weights'!A$1:B$20,2,FALSE)</f>
        <v>0</v>
      </c>
      <c r="AQ100">
        <f>AO100-VLOOKUP(AP100,'Bag weights'!A$1:B$20,2,FALSE)</f>
        <v>0</v>
      </c>
      <c r="AT100">
        <f>AR100-VLOOKUP(AS100,'Bag weights'!A$1:B$20,2,FALSE)</f>
        <v>0</v>
      </c>
      <c r="AW100">
        <f>AU100-VLOOKUP(AV100,'Bag weights'!A$1:B$20,2,FALSE)</f>
        <v>0</v>
      </c>
      <c r="AX100">
        <f t="shared" si="1"/>
        <v>0</v>
      </c>
      <c r="BD100" s="120">
        <v>10.3</v>
      </c>
      <c r="BH100" s="16">
        <v>2.66</v>
      </c>
    </row>
    <row r="101" spans="1:60">
      <c r="A101" s="87"/>
      <c r="B101" s="87"/>
      <c r="C101" s="87">
        <v>3</v>
      </c>
      <c r="D101" s="87" t="s">
        <v>79</v>
      </c>
      <c r="E101" s="21">
        <v>130.72</v>
      </c>
      <c r="F101" s="21" t="s">
        <v>290</v>
      </c>
      <c r="G101">
        <f>E101-VLOOKUP(F101,'Bag weights'!A:B,2,FALSE)</f>
        <v>103.22</v>
      </c>
      <c r="J101">
        <f>H101-VLOOKUP(I101,'Bag weights'!A:B,2,FALSE)</f>
        <v>0</v>
      </c>
      <c r="M101">
        <f>K101-VLOOKUP(L101,'Bag weights'!A$1:B$20,2,FALSE)</f>
        <v>0</v>
      </c>
      <c r="O101" s="122"/>
      <c r="P101">
        <f>N101-VLOOKUP(O101,'Bag weights'!A$1:B$20,2,FALSE)</f>
        <v>0</v>
      </c>
      <c r="S101">
        <f>Q101-VLOOKUP(R101,'Bag weights'!A$1:B$20,2,FALSE)</f>
        <v>0</v>
      </c>
      <c r="V101">
        <f>T101-VLOOKUP(U101,'Bag weights'!A$1:B$20,2,FALSE)</f>
        <v>0</v>
      </c>
      <c r="Y101">
        <f>W101-VLOOKUP(X101,'Bag weights'!A$1:B$20,2,FALSE)</f>
        <v>0</v>
      </c>
      <c r="AB101">
        <f>Z101-VLOOKUP(AA101,'Bag weights'!A$1:B$20,2,FALSE)</f>
        <v>0</v>
      </c>
      <c r="AE101">
        <f>AC101-VLOOKUP(AD101,'Bag weights'!A$1:B$20,2,FALSE)</f>
        <v>0</v>
      </c>
      <c r="AH101">
        <f>AF101-VLOOKUP(AG101,'Bag weights'!A$1:B$20,2,FALSE)</f>
        <v>0</v>
      </c>
      <c r="AK101">
        <f>AI101-VLOOKUP(AJ101,'Bag weights'!A$1:B$20,2,FALSE)</f>
        <v>0</v>
      </c>
      <c r="AN101">
        <f>AL101-VLOOKUP(AM101,'Bag weights'!A$1:B$20,2,FALSE)</f>
        <v>0</v>
      </c>
      <c r="AQ101">
        <f>AO101-VLOOKUP(AP101,'Bag weights'!A$1:B$20,2,FALSE)</f>
        <v>0</v>
      </c>
      <c r="AT101">
        <f>AR101-VLOOKUP(AS101,'Bag weights'!A$1:B$20,2,FALSE)</f>
        <v>0</v>
      </c>
      <c r="AW101">
        <f>AU101-VLOOKUP(AV101,'Bag weights'!A$1:B$20,2,FALSE)</f>
        <v>0</v>
      </c>
      <c r="AX101">
        <f t="shared" si="1"/>
        <v>0</v>
      </c>
      <c r="BD101" s="120">
        <v>16.8</v>
      </c>
      <c r="BH101" s="16">
        <v>5.74</v>
      </c>
    </row>
    <row r="102" spans="1:60">
      <c r="A102" s="87"/>
      <c r="B102" s="87"/>
      <c r="C102" s="87">
        <v>3</v>
      </c>
      <c r="D102" s="87" t="s">
        <v>88</v>
      </c>
      <c r="E102" s="21">
        <v>133.4</v>
      </c>
      <c r="F102" s="21" t="s">
        <v>290</v>
      </c>
      <c r="G102">
        <f>E102-VLOOKUP(F102,'Bag weights'!A:B,2,FALSE)</f>
        <v>105.9</v>
      </c>
      <c r="J102">
        <f>H102-VLOOKUP(I102,'Bag weights'!A:B,2,FALSE)</f>
        <v>0</v>
      </c>
      <c r="M102">
        <f>K102-VLOOKUP(L102,'Bag weights'!A$1:B$20,2,FALSE)</f>
        <v>0</v>
      </c>
      <c r="O102" s="122"/>
      <c r="P102">
        <f>N102-VLOOKUP(O102,'Bag weights'!A$1:B$20,2,FALSE)</f>
        <v>0</v>
      </c>
      <c r="S102">
        <f>Q102-VLOOKUP(R102,'Bag weights'!A$1:B$20,2,FALSE)</f>
        <v>0</v>
      </c>
      <c r="V102">
        <f>T102-VLOOKUP(U102,'Bag weights'!A$1:B$20,2,FALSE)</f>
        <v>0</v>
      </c>
      <c r="Y102">
        <f>W102-VLOOKUP(X102,'Bag weights'!A$1:B$20,2,FALSE)</f>
        <v>0</v>
      </c>
      <c r="AB102">
        <f>Z102-VLOOKUP(AA102,'Bag weights'!A$1:B$20,2,FALSE)</f>
        <v>0</v>
      </c>
      <c r="AE102">
        <f>AC102-VLOOKUP(AD102,'Bag weights'!A$1:B$20,2,FALSE)</f>
        <v>0</v>
      </c>
      <c r="AH102">
        <f>AF102-VLOOKUP(AG102,'Bag weights'!A$1:B$20,2,FALSE)</f>
        <v>0</v>
      </c>
      <c r="AK102">
        <f>AI102-VLOOKUP(AJ102,'Bag weights'!A$1:B$20,2,FALSE)</f>
        <v>0</v>
      </c>
      <c r="AN102">
        <f>AL102-VLOOKUP(AM102,'Bag weights'!A$1:B$20,2,FALSE)</f>
        <v>0</v>
      </c>
      <c r="AQ102">
        <f>AO102-VLOOKUP(AP102,'Bag weights'!A$1:B$20,2,FALSE)</f>
        <v>0</v>
      </c>
      <c r="AT102">
        <f>AR102-VLOOKUP(AS102,'Bag weights'!A$1:B$20,2,FALSE)</f>
        <v>0</v>
      </c>
      <c r="AW102">
        <f>AU102-VLOOKUP(AV102,'Bag weights'!A$1:B$20,2,FALSE)</f>
        <v>0</v>
      </c>
      <c r="AX102">
        <f t="shared" si="1"/>
        <v>0</v>
      </c>
      <c r="BD102" s="120">
        <v>22</v>
      </c>
      <c r="BH102" s="16">
        <v>2.42</v>
      </c>
    </row>
    <row r="103" spans="1:60">
      <c r="A103" s="87"/>
      <c r="B103" s="87"/>
      <c r="C103" s="86">
        <v>4</v>
      </c>
      <c r="D103" s="16" t="s">
        <v>83</v>
      </c>
      <c r="E103" s="16">
        <v>137.37</v>
      </c>
      <c r="F103" s="16" t="s">
        <v>290</v>
      </c>
      <c r="G103">
        <f>E103-VLOOKUP(F103,'Bag weights'!A:B,2,FALSE)</f>
        <v>109.87</v>
      </c>
      <c r="I103" t="e">
        <f>D103-VLOOKUP(H103,'Bag weights'!A$2:B$6,2,FALSE)</f>
        <v>#VALUE!</v>
      </c>
      <c r="J103" t="e">
        <f>H103-VLOOKUP(I103,'Bag weights'!A:B,2,FALSE)</f>
        <v>#VALUE!</v>
      </c>
      <c r="M103">
        <f>K103-VLOOKUP(L103,'Bag weights'!A$1:B$20,2,FALSE)</f>
        <v>0</v>
      </c>
      <c r="O103" s="122"/>
      <c r="P103">
        <f>N103-VLOOKUP(O103,'Bag weights'!A$1:B$20,2,FALSE)</f>
        <v>0</v>
      </c>
      <c r="S103">
        <f>Q103-VLOOKUP(R103,'Bag weights'!A$1:B$20,2,FALSE)</f>
        <v>0</v>
      </c>
      <c r="V103">
        <f>T103-VLOOKUP(U103,'Bag weights'!A$1:B$20,2,FALSE)</f>
        <v>0</v>
      </c>
      <c r="Y103">
        <f>W103-VLOOKUP(X103,'Bag weights'!A$1:B$20,2,FALSE)</f>
        <v>0</v>
      </c>
      <c r="AB103">
        <f>Z103-VLOOKUP(AA103,'Bag weights'!A$1:B$20,2,FALSE)</f>
        <v>0</v>
      </c>
      <c r="AE103">
        <f>AC103-VLOOKUP(AD103,'Bag weights'!A$1:B$20,2,FALSE)</f>
        <v>0</v>
      </c>
      <c r="AH103">
        <f>AF103-VLOOKUP(AG103,'Bag weights'!A$1:B$20,2,FALSE)</f>
        <v>0</v>
      </c>
      <c r="AK103">
        <f>AI103-VLOOKUP(AJ103,'Bag weights'!A$1:B$20,2,FALSE)</f>
        <v>0</v>
      </c>
      <c r="AN103">
        <f>AL103-VLOOKUP(AM103,'Bag weights'!A$1:B$20,2,FALSE)</f>
        <v>0</v>
      </c>
      <c r="AQ103">
        <f>AO103-VLOOKUP(AP103,'Bag weights'!A$1:B$20,2,FALSE)</f>
        <v>0</v>
      </c>
      <c r="AT103">
        <f>AR103-VLOOKUP(AS103,'Bag weights'!A$1:B$20,2,FALSE)</f>
        <v>0</v>
      </c>
      <c r="AW103">
        <f>AU103-VLOOKUP(AV103,'Bag weights'!A$1:B$20,2,FALSE)</f>
        <v>0</v>
      </c>
      <c r="AX103" t="e">
        <f t="shared" si="1"/>
        <v>#VALUE!</v>
      </c>
      <c r="BD103" s="120">
        <v>29.5</v>
      </c>
      <c r="BH103" s="16">
        <v>5.69</v>
      </c>
    </row>
    <row r="104" spans="1:60">
      <c r="A104" s="87"/>
      <c r="B104" s="87"/>
      <c r="C104" s="86">
        <v>4</v>
      </c>
      <c r="D104" s="16" t="s">
        <v>85</v>
      </c>
      <c r="E104" s="16">
        <v>101.63</v>
      </c>
      <c r="F104" s="16" t="s">
        <v>290</v>
      </c>
      <c r="G104">
        <f>E104-VLOOKUP(F104,'Bag weights'!A:B,2,FALSE)</f>
        <v>74.13</v>
      </c>
      <c r="I104" t="e">
        <f>D104-VLOOKUP(H104,'Bag weights'!A$2:B$6,2,FALSE)</f>
        <v>#VALUE!</v>
      </c>
      <c r="J104" t="e">
        <f>H104-VLOOKUP(I104,'Bag weights'!A:B,2,FALSE)</f>
        <v>#VALUE!</v>
      </c>
      <c r="M104">
        <f>K104-VLOOKUP(L104,'Bag weights'!A$1:B$20,2,FALSE)</f>
        <v>0</v>
      </c>
      <c r="O104" s="122"/>
      <c r="P104">
        <f>N104-VLOOKUP(O104,'Bag weights'!A$1:B$20,2,FALSE)</f>
        <v>0</v>
      </c>
      <c r="S104">
        <f>Q104-VLOOKUP(R104,'Bag weights'!A$1:B$20,2,FALSE)</f>
        <v>0</v>
      </c>
      <c r="V104">
        <f>T104-VLOOKUP(U104,'Bag weights'!A$1:B$20,2,FALSE)</f>
        <v>0</v>
      </c>
      <c r="Y104">
        <f>W104-VLOOKUP(X104,'Bag weights'!A$1:B$20,2,FALSE)</f>
        <v>0</v>
      </c>
      <c r="AB104">
        <f>Z104-VLOOKUP(AA104,'Bag weights'!A$1:B$20,2,FALSE)</f>
        <v>0</v>
      </c>
      <c r="AE104">
        <f>AC104-VLOOKUP(AD104,'Bag weights'!A$1:B$20,2,FALSE)</f>
        <v>0</v>
      </c>
      <c r="AH104">
        <f>AF104-VLOOKUP(AG104,'Bag weights'!A$1:B$20,2,FALSE)</f>
        <v>0</v>
      </c>
      <c r="AK104">
        <f>AI104-VLOOKUP(AJ104,'Bag weights'!A$1:B$20,2,FALSE)</f>
        <v>0</v>
      </c>
      <c r="AN104">
        <f>AL104-VLOOKUP(AM104,'Bag weights'!A$1:B$20,2,FALSE)</f>
        <v>0</v>
      </c>
      <c r="AQ104">
        <f>AO104-VLOOKUP(AP104,'Bag weights'!A$1:B$20,2,FALSE)</f>
        <v>0</v>
      </c>
      <c r="AT104">
        <f>AR104-VLOOKUP(AS104,'Bag weights'!A$1:B$20,2,FALSE)</f>
        <v>0</v>
      </c>
      <c r="AW104">
        <f>AU104-VLOOKUP(AV104,'Bag weights'!A$1:B$20,2,FALSE)</f>
        <v>0</v>
      </c>
      <c r="AX104" t="e">
        <f t="shared" si="1"/>
        <v>#VALUE!</v>
      </c>
      <c r="BD104" s="120">
        <v>6.2</v>
      </c>
      <c r="BH104" s="16">
        <v>6.48</v>
      </c>
    </row>
    <row r="105" spans="1:60">
      <c r="A105" s="87"/>
      <c r="C105" s="16">
        <v>4</v>
      </c>
      <c r="D105" s="16" t="s">
        <v>87</v>
      </c>
      <c r="E105" s="16">
        <v>136.57</v>
      </c>
      <c r="F105" s="16" t="s">
        <v>290</v>
      </c>
      <c r="G105">
        <f>E105-VLOOKUP(F105,'Bag weights'!A:B,2,FALSE)</f>
        <v>109.07</v>
      </c>
      <c r="J105">
        <f>H105-VLOOKUP(I105,'Bag weights'!A:B,2,FALSE)</f>
        <v>0</v>
      </c>
      <c r="M105">
        <f>K105-VLOOKUP(L105,'Bag weights'!A$1:B$20,2,FALSE)</f>
        <v>0</v>
      </c>
      <c r="O105" s="122"/>
      <c r="P105">
        <f>N105-VLOOKUP(O105,'Bag weights'!A$1:B$20,2,FALSE)</f>
        <v>0</v>
      </c>
      <c r="S105">
        <f>Q105-VLOOKUP(R105,'Bag weights'!A$1:B$20,2,FALSE)</f>
        <v>0</v>
      </c>
      <c r="V105">
        <f>T105-VLOOKUP(U105,'Bag weights'!A$1:B$20,2,FALSE)</f>
        <v>0</v>
      </c>
      <c r="Y105">
        <f>W105-VLOOKUP(X105,'Bag weights'!A$1:B$20,2,FALSE)</f>
        <v>0</v>
      </c>
      <c r="AB105">
        <f>Z105-VLOOKUP(AA105,'Bag weights'!A$1:B$20,2,FALSE)</f>
        <v>0</v>
      </c>
      <c r="AE105">
        <f>AC105-VLOOKUP(AD105,'Bag weights'!A$1:B$20,2,FALSE)</f>
        <v>0</v>
      </c>
      <c r="AH105">
        <f>AF105-VLOOKUP(AG105,'Bag weights'!A$1:B$20,2,FALSE)</f>
        <v>0</v>
      </c>
      <c r="AK105">
        <f>AI105-VLOOKUP(AJ105,'Bag weights'!A$1:B$20,2,FALSE)</f>
        <v>0</v>
      </c>
      <c r="AN105">
        <f>AL105-VLOOKUP(AM105,'Bag weights'!A$1:B$20,2,FALSE)</f>
        <v>0</v>
      </c>
      <c r="AQ105">
        <f>AO105-VLOOKUP(AP105,'Bag weights'!A$1:B$20,2,FALSE)</f>
        <v>0</v>
      </c>
      <c r="AT105">
        <f>AR105-VLOOKUP(AS105,'Bag weights'!A$1:B$20,2,FALSE)</f>
        <v>0</v>
      </c>
      <c r="AW105">
        <f>AU105-VLOOKUP(AV105,'Bag weights'!A$1:B$20,2,FALSE)</f>
        <v>0</v>
      </c>
      <c r="AX105">
        <f t="shared" si="1"/>
        <v>0</v>
      </c>
      <c r="BD105" s="120">
        <v>10.9</v>
      </c>
      <c r="BH105" s="16">
        <v>2.57</v>
      </c>
    </row>
    <row r="106" spans="1:60">
      <c r="A106" s="87"/>
      <c r="C106" s="16">
        <v>4</v>
      </c>
      <c r="D106" s="16" t="s">
        <v>79</v>
      </c>
      <c r="E106" s="16">
        <v>98.4</v>
      </c>
      <c r="F106" s="16" t="s">
        <v>290</v>
      </c>
      <c r="G106">
        <f>E106-VLOOKUP(F106,'Bag weights'!A:B,2,FALSE)</f>
        <v>70.900000000000006</v>
      </c>
      <c r="J106">
        <f>H106-VLOOKUP(I106,'Bag weights'!A:B,2,FALSE)</f>
        <v>0</v>
      </c>
      <c r="M106">
        <f>K106-VLOOKUP(L106,'Bag weights'!A$1:B$20,2,FALSE)</f>
        <v>0</v>
      </c>
      <c r="O106" s="122"/>
      <c r="P106">
        <f>N106-VLOOKUP(O106,'Bag weights'!A$1:B$20,2,FALSE)</f>
        <v>0</v>
      </c>
      <c r="S106">
        <f>Q106-VLOOKUP(R106,'Bag weights'!A$1:B$20,2,FALSE)</f>
        <v>0</v>
      </c>
      <c r="V106">
        <f>T106-VLOOKUP(U106,'Bag weights'!A$1:B$20,2,FALSE)</f>
        <v>0</v>
      </c>
      <c r="Y106">
        <f>W106-VLOOKUP(X106,'Bag weights'!A$1:B$20,2,FALSE)</f>
        <v>0</v>
      </c>
      <c r="AB106">
        <f>Z106-VLOOKUP(AA106,'Bag weights'!A$1:B$20,2,FALSE)</f>
        <v>0</v>
      </c>
      <c r="AE106">
        <f>AC106-VLOOKUP(AD106,'Bag weights'!A$1:B$20,2,FALSE)</f>
        <v>0</v>
      </c>
      <c r="AH106">
        <f>AF106-VLOOKUP(AG106,'Bag weights'!A$1:B$20,2,FALSE)</f>
        <v>0</v>
      </c>
      <c r="AK106">
        <f>AI106-VLOOKUP(AJ106,'Bag weights'!A$1:B$20,2,FALSE)</f>
        <v>0</v>
      </c>
      <c r="AN106">
        <f>AL106-VLOOKUP(AM106,'Bag weights'!A$1:B$20,2,FALSE)</f>
        <v>0</v>
      </c>
      <c r="AQ106">
        <f>AO106-VLOOKUP(AP106,'Bag weights'!A$1:B$20,2,FALSE)</f>
        <v>0</v>
      </c>
      <c r="AT106">
        <f>AR106-VLOOKUP(AS106,'Bag weights'!A$1:B$20,2,FALSE)</f>
        <v>0</v>
      </c>
      <c r="AW106">
        <f>AU106-VLOOKUP(AV106,'Bag weights'!A$1:B$20,2,FALSE)</f>
        <v>0</v>
      </c>
      <c r="AX106">
        <f t="shared" si="1"/>
        <v>0</v>
      </c>
      <c r="BD106" s="120">
        <v>8.5</v>
      </c>
      <c r="BH106" s="16">
        <v>3.03</v>
      </c>
    </row>
    <row r="107" spans="1:60">
      <c r="A107" s="87"/>
      <c r="B107" s="87"/>
      <c r="C107" s="87">
        <v>4</v>
      </c>
      <c r="D107" s="87" t="s">
        <v>88</v>
      </c>
      <c r="E107" s="21">
        <v>125.68</v>
      </c>
      <c r="F107" s="21" t="s">
        <v>290</v>
      </c>
      <c r="G107">
        <f>E107-VLOOKUP(F107,'Bag weights'!A:B,2,FALSE)</f>
        <v>98.18</v>
      </c>
      <c r="J107">
        <f>H107-VLOOKUP(I107,'Bag weights'!A:B,2,FALSE)</f>
        <v>0</v>
      </c>
      <c r="M107">
        <f>K107-VLOOKUP(L107,'Bag weights'!A$1:B$20,2,FALSE)</f>
        <v>0</v>
      </c>
      <c r="O107" s="122"/>
      <c r="P107">
        <f>N107-VLOOKUP(O107,'Bag weights'!A$1:B$20,2,FALSE)</f>
        <v>0</v>
      </c>
      <c r="S107">
        <f>Q107-VLOOKUP(R107,'Bag weights'!A$1:B$20,2,FALSE)</f>
        <v>0</v>
      </c>
      <c r="V107">
        <f>T107-VLOOKUP(U107,'Bag weights'!A$1:B$20,2,FALSE)</f>
        <v>0</v>
      </c>
      <c r="Y107">
        <f>W107-VLOOKUP(X107,'Bag weights'!A$1:B$20,2,FALSE)</f>
        <v>0</v>
      </c>
      <c r="AB107">
        <f>Z107-VLOOKUP(AA107,'Bag weights'!A$1:B$20,2,FALSE)</f>
        <v>0</v>
      </c>
      <c r="AE107">
        <f>AC107-VLOOKUP(AD107,'Bag weights'!A$1:B$20,2,FALSE)</f>
        <v>0</v>
      </c>
      <c r="AH107">
        <f>AF107-VLOOKUP(AG107,'Bag weights'!A$1:B$20,2,FALSE)</f>
        <v>0</v>
      </c>
      <c r="AK107">
        <f>AI107-VLOOKUP(AJ107,'Bag weights'!A$1:B$20,2,FALSE)</f>
        <v>0</v>
      </c>
      <c r="AN107">
        <f>AL107-VLOOKUP(AM107,'Bag weights'!A$1:B$20,2,FALSE)</f>
        <v>0</v>
      </c>
      <c r="AQ107">
        <f>AO107-VLOOKUP(AP107,'Bag weights'!A$1:B$20,2,FALSE)</f>
        <v>0</v>
      </c>
      <c r="AT107">
        <f>AR107-VLOOKUP(AS107,'Bag weights'!A$1:B$20,2,FALSE)</f>
        <v>0</v>
      </c>
      <c r="AW107">
        <f>AU107-VLOOKUP(AV107,'Bag weights'!A$1:B$20,2,FALSE)</f>
        <v>0</v>
      </c>
      <c r="AX107">
        <f t="shared" si="1"/>
        <v>0</v>
      </c>
      <c r="BD107" s="120">
        <v>6.6</v>
      </c>
      <c r="BH107" s="16">
        <v>2.4900000000000002</v>
      </c>
    </row>
    <row r="108" spans="1:60">
      <c r="A108" s="87" t="s">
        <v>78</v>
      </c>
      <c r="B108" s="87" t="s">
        <v>104</v>
      </c>
      <c r="C108" s="87">
        <v>1</v>
      </c>
      <c r="D108" s="87" t="s">
        <v>83</v>
      </c>
      <c r="E108" s="2"/>
      <c r="F108" s="2"/>
      <c r="G108" s="2"/>
      <c r="H108" s="16">
        <v>23.61</v>
      </c>
      <c r="I108" s="16" t="s">
        <v>295</v>
      </c>
      <c r="J108">
        <f>H108-VLOOKUP(I108,'Bag weights'!A:B,2,FALSE)</f>
        <v>15.78</v>
      </c>
      <c r="M108">
        <f>K108-VLOOKUP(L108,'Bag weights'!A$1:B$20,2,FALSE)</f>
        <v>0</v>
      </c>
      <c r="N108" s="16">
        <v>11.51</v>
      </c>
      <c r="O108" s="119" t="s">
        <v>295</v>
      </c>
      <c r="P108">
        <f>N108-VLOOKUP(O108,'Bag weights'!A$1:B$20,2,FALSE)</f>
        <v>3.6799999999999997</v>
      </c>
      <c r="S108">
        <f>Q108-VLOOKUP(R108,'Bag weights'!A$1:B$20,2,FALSE)</f>
        <v>0</v>
      </c>
      <c r="T108" s="16">
        <v>42.36</v>
      </c>
      <c r="U108" s="16" t="s">
        <v>294</v>
      </c>
      <c r="V108">
        <f>T108-VLOOKUP(U108,'Bag weights'!A$1:B$20,2,FALSE)</f>
        <v>27.979999999999997</v>
      </c>
      <c r="Y108">
        <f>W108-VLOOKUP(X108,'Bag weights'!A$1:B$20,2,FALSE)</f>
        <v>0</v>
      </c>
      <c r="AB108">
        <f>Z108-VLOOKUP(AA108,'Bag weights'!A$1:B$20,2,FALSE)</f>
        <v>0</v>
      </c>
      <c r="AC108" s="16">
        <v>42.78</v>
      </c>
      <c r="AD108" s="16" t="s">
        <v>294</v>
      </c>
      <c r="AE108">
        <f>AC108-VLOOKUP(AD108,'Bag weights'!A$1:B$20,2,FALSE)</f>
        <v>28.4</v>
      </c>
      <c r="AH108">
        <f>AF108-VLOOKUP(AG108,'Bag weights'!A$1:B$20,2,FALSE)</f>
        <v>0</v>
      </c>
      <c r="AK108">
        <f>AI108-VLOOKUP(AJ108,'Bag weights'!A$1:B$20,2,FALSE)</f>
        <v>0</v>
      </c>
      <c r="AL108" s="146">
        <v>0.59</v>
      </c>
      <c r="AM108" s="146" t="s">
        <v>318</v>
      </c>
      <c r="AN108" s="143">
        <f>AL108-VLOOKUP(AM108,'Bag weights'!A$1:B$20,2,FALSE)</f>
        <v>0.59</v>
      </c>
      <c r="AO108" s="141">
        <v>0.74</v>
      </c>
      <c r="AP108" s="142" t="s">
        <v>302</v>
      </c>
      <c r="AQ108" s="143">
        <f>AO108-VLOOKUP(AP108,'Bag weights'!A$1:B$20,2,FALSE)</f>
        <v>0.74</v>
      </c>
      <c r="AT108">
        <f>AR108-VLOOKUP(AS108,'Bag weights'!A$1:B$20,2,FALSE)</f>
        <v>0</v>
      </c>
      <c r="AU108" s="146">
        <v>4.3600000000000003</v>
      </c>
      <c r="AV108" s="146" t="s">
        <v>302</v>
      </c>
      <c r="AW108" s="143">
        <f>AU108-VLOOKUP(AV108,'Bag weights'!A$1:B$20,2,FALSE)</f>
        <v>4.3600000000000003</v>
      </c>
      <c r="AX108">
        <f t="shared" si="1"/>
        <v>77.169999999999987</v>
      </c>
      <c r="BH108" s="16">
        <v>3.46</v>
      </c>
    </row>
    <row r="109" spans="1:60">
      <c r="A109" s="86" t="s">
        <v>321</v>
      </c>
      <c r="B109" s="87"/>
      <c r="C109" s="87">
        <v>1</v>
      </c>
      <c r="D109" s="87" t="s">
        <v>85</v>
      </c>
      <c r="E109" s="2"/>
      <c r="F109" s="2"/>
      <c r="G109" s="2"/>
      <c r="H109" s="16">
        <v>14.17</v>
      </c>
      <c r="I109" s="16" t="s">
        <v>295</v>
      </c>
      <c r="J109">
        <f>H109-VLOOKUP(I109,'Bag weights'!A:B,2,FALSE)</f>
        <v>6.34</v>
      </c>
      <c r="M109">
        <f>K109-VLOOKUP(L109,'Bag weights'!A$1:B$20,2,FALSE)</f>
        <v>0</v>
      </c>
      <c r="N109" s="141">
        <v>0.33</v>
      </c>
      <c r="O109" s="142" t="s">
        <v>302</v>
      </c>
      <c r="P109" s="143">
        <f>N109-VLOOKUP(O109,'Bag weights'!A$1:B$20,2,FALSE)</f>
        <v>0.33</v>
      </c>
      <c r="S109">
        <f>Q109-VLOOKUP(R109,'Bag weights'!A$1:B$20,2,FALSE)</f>
        <v>0</v>
      </c>
      <c r="T109" s="16">
        <v>34.15</v>
      </c>
      <c r="U109" s="16" t="s">
        <v>295</v>
      </c>
      <c r="V109">
        <f>T109-VLOOKUP(U109,'Bag weights'!A$1:B$20,2,FALSE)</f>
        <v>26.32</v>
      </c>
      <c r="Y109">
        <f>W109-VLOOKUP(X109,'Bag weights'!A$1:B$20,2,FALSE)</f>
        <v>0</v>
      </c>
      <c r="Z109" s="146">
        <v>0.06</v>
      </c>
      <c r="AA109" s="146" t="s">
        <v>318</v>
      </c>
      <c r="AB109" s="143">
        <f>Z109-VLOOKUP(AA109,'Bag weights'!A$1:B$20,2,FALSE)</f>
        <v>0.06</v>
      </c>
      <c r="AC109" s="16">
        <v>74.099999999999994</v>
      </c>
      <c r="AD109" s="16" t="s">
        <v>276</v>
      </c>
      <c r="AE109">
        <f>AC109-VLOOKUP(AD109,'Bag weights'!A$1:B$20,2,FALSE)</f>
        <v>53.149999999999991</v>
      </c>
      <c r="AH109">
        <f>AF109-VLOOKUP(AG109,'Bag weights'!A$1:B$20,2,FALSE)</f>
        <v>0</v>
      </c>
      <c r="AK109">
        <f>AI109-VLOOKUP(AJ109,'Bag weights'!A$1:B$20,2,FALSE)</f>
        <v>0</v>
      </c>
      <c r="AL109" s="141">
        <v>0.11</v>
      </c>
      <c r="AM109" s="142" t="s">
        <v>302</v>
      </c>
      <c r="AN109" s="143">
        <f>AL109-VLOOKUP(AM109,'Bag weights'!A$1:B$20,2,FALSE)</f>
        <v>0.11</v>
      </c>
      <c r="AO109" s="146">
        <v>2.16</v>
      </c>
      <c r="AP109" s="146" t="s">
        <v>302</v>
      </c>
      <c r="AQ109" s="143">
        <f>AO109-VLOOKUP(AP109,'Bag weights'!A$1:B$20,2,FALSE)</f>
        <v>2.16</v>
      </c>
      <c r="AT109">
        <f>AR109-VLOOKUP(AS109,'Bag weights'!A$1:B$20,2,FALSE)</f>
        <v>0</v>
      </c>
      <c r="AU109" s="141">
        <v>2.9</v>
      </c>
      <c r="AV109" s="142" t="s">
        <v>298</v>
      </c>
      <c r="AW109" s="143">
        <f>AU109-VLOOKUP(AV109,'Bag weights'!A$1:B$20,2,FALSE)</f>
        <v>1.5</v>
      </c>
      <c r="AX109">
        <f t="shared" si="1"/>
        <v>88.47</v>
      </c>
      <c r="BG109" s="16" t="s">
        <v>303</v>
      </c>
      <c r="BH109" s="16">
        <v>15.53</v>
      </c>
    </row>
    <row r="110" spans="1:60">
      <c r="A110" s="87"/>
      <c r="B110" s="87"/>
      <c r="C110" s="87">
        <v>1</v>
      </c>
      <c r="D110" s="87" t="s">
        <v>87</v>
      </c>
      <c r="E110" s="2"/>
      <c r="F110" s="2"/>
      <c r="G110" s="2"/>
      <c r="H110" s="16">
        <v>16.27</v>
      </c>
      <c r="I110" s="16" t="s">
        <v>295</v>
      </c>
      <c r="J110">
        <f>H110-VLOOKUP(I110,'Bag weights'!A:B,2,FALSE)</f>
        <v>8.44</v>
      </c>
      <c r="M110">
        <f>K110-VLOOKUP(L110,'Bag weights'!A$1:B$20,2,FALSE)</f>
        <v>0</v>
      </c>
      <c r="N110" s="141">
        <v>0.83</v>
      </c>
      <c r="O110" s="142" t="s">
        <v>302</v>
      </c>
      <c r="P110" s="143">
        <f>N110-VLOOKUP(O110,'Bag weights'!A$1:B$20,2,FALSE)</f>
        <v>0.83</v>
      </c>
      <c r="S110">
        <f>Q110-VLOOKUP(R110,'Bag weights'!A$1:B$20,2,FALSE)</f>
        <v>0</v>
      </c>
      <c r="T110" s="16">
        <v>57.8</v>
      </c>
      <c r="U110" s="16" t="s">
        <v>276</v>
      </c>
      <c r="V110">
        <f>T110-VLOOKUP(U110,'Bag weights'!A$1:B$20,2,FALSE)</f>
        <v>36.849999999999994</v>
      </c>
      <c r="Y110">
        <f>W110-VLOOKUP(X110,'Bag weights'!A$1:B$20,2,FALSE)</f>
        <v>0</v>
      </c>
      <c r="AB110">
        <f>Z110-VLOOKUP(AA110,'Bag weights'!A$1:B$20,2,FALSE)</f>
        <v>0</v>
      </c>
      <c r="AC110" s="16">
        <v>56.99</v>
      </c>
      <c r="AD110" s="16" t="s">
        <v>276</v>
      </c>
      <c r="AE110">
        <f>AC110-VLOOKUP(AD110,'Bag weights'!A$1:B$20,2,FALSE)</f>
        <v>36.040000000000006</v>
      </c>
      <c r="AH110">
        <f>AF110-VLOOKUP(AG110,'Bag weights'!A$1:B$20,2,FALSE)</f>
        <v>0</v>
      </c>
      <c r="AK110">
        <f>AI110-VLOOKUP(AJ110,'Bag weights'!A$1:B$20,2,FALSE)</f>
        <v>0</v>
      </c>
      <c r="AN110">
        <f>AL110-VLOOKUP(AM110,'Bag weights'!A$1:B$20,2,FALSE)</f>
        <v>0</v>
      </c>
      <c r="AO110" s="146">
        <v>0.72</v>
      </c>
      <c r="AP110" s="146" t="s">
        <v>318</v>
      </c>
      <c r="AQ110" s="143">
        <f>AO110-VLOOKUP(AP110,'Bag weights'!A$1:B$20,2,FALSE)</f>
        <v>0.72</v>
      </c>
      <c r="AT110">
        <f>AR110-VLOOKUP(AS110,'Bag weights'!A$1:B$20,2,FALSE)</f>
        <v>0</v>
      </c>
      <c r="AU110" s="146">
        <v>0.68</v>
      </c>
      <c r="AV110" s="146" t="s">
        <v>318</v>
      </c>
      <c r="AW110" s="143">
        <f>AU110-VLOOKUP(AV110,'Bag weights'!A$1:B$20,2,FALSE)</f>
        <v>0.68</v>
      </c>
      <c r="AX110">
        <f t="shared" si="1"/>
        <v>82.88</v>
      </c>
      <c r="BH110" s="16">
        <v>4.96</v>
      </c>
    </row>
    <row r="111" spans="1:60">
      <c r="A111" s="87"/>
      <c r="B111" s="87"/>
      <c r="C111" s="87">
        <v>1</v>
      </c>
      <c r="D111" s="87" t="s">
        <v>79</v>
      </c>
      <c r="E111" s="2"/>
      <c r="F111" s="2"/>
      <c r="G111" s="2"/>
      <c r="H111" s="16">
        <v>11.99</v>
      </c>
      <c r="I111" s="16" t="s">
        <v>295</v>
      </c>
      <c r="J111">
        <f>H111-VLOOKUP(I111,'Bag weights'!A:B,2,FALSE)</f>
        <v>4.16</v>
      </c>
      <c r="M111">
        <f>K111-VLOOKUP(L111,'Bag weights'!A$1:B$20,2,FALSE)</f>
        <v>0</v>
      </c>
      <c r="O111" s="122"/>
      <c r="P111">
        <f>N111-VLOOKUP(O111,'Bag weights'!A$1:B$20,2,FALSE)</f>
        <v>0</v>
      </c>
      <c r="S111">
        <f>Q111-VLOOKUP(R111,'Bag weights'!A$1:B$20,2,FALSE)</f>
        <v>0</v>
      </c>
      <c r="T111" s="16">
        <v>56.02</v>
      </c>
      <c r="U111" s="16" t="s">
        <v>276</v>
      </c>
      <c r="V111">
        <f>T111-VLOOKUP(U111,'Bag weights'!A$1:B$20,2,FALSE)</f>
        <v>35.070000000000007</v>
      </c>
      <c r="Y111">
        <f>W111-VLOOKUP(X111,'Bag weights'!A$1:B$20,2,FALSE)</f>
        <v>0</v>
      </c>
      <c r="AB111">
        <f>Z111-VLOOKUP(AA111,'Bag weights'!A$1:B$20,2,FALSE)</f>
        <v>0</v>
      </c>
      <c r="AC111" s="16">
        <v>47.39</v>
      </c>
      <c r="AD111" s="16" t="s">
        <v>276</v>
      </c>
      <c r="AE111">
        <f>AC111-VLOOKUP(AD111,'Bag weights'!A$1:B$20,2,FALSE)</f>
        <v>26.44</v>
      </c>
      <c r="AH111">
        <f>AF111-VLOOKUP(AG111,'Bag weights'!A$1:B$20,2,FALSE)</f>
        <v>0</v>
      </c>
      <c r="AI111" s="146">
        <v>1.24</v>
      </c>
      <c r="AJ111" s="146" t="s">
        <v>318</v>
      </c>
      <c r="AK111" s="143">
        <f>AI111-VLOOKUP(AJ111,'Bag weights'!A$1:B$20,2,FALSE)</f>
        <v>1.24</v>
      </c>
      <c r="AL111" s="16">
        <v>20.58</v>
      </c>
      <c r="AM111" s="16" t="s">
        <v>295</v>
      </c>
      <c r="AN111">
        <f>AL111-VLOOKUP(AM111,'Bag weights'!A$1:B$20,2,FALSE)</f>
        <v>12.749999999999998</v>
      </c>
      <c r="AO111" s="146">
        <v>0.48</v>
      </c>
      <c r="AP111" s="146" t="s">
        <v>318</v>
      </c>
      <c r="AQ111" s="143">
        <f>AO111-VLOOKUP(AP111,'Bag weights'!A$1:B$20,2,FALSE)</f>
        <v>0.48</v>
      </c>
      <c r="AT111">
        <f>AR111-VLOOKUP(AS111,'Bag weights'!A$1:B$20,2,FALSE)</f>
        <v>0</v>
      </c>
      <c r="AU111" s="146">
        <v>1.07</v>
      </c>
      <c r="AV111" s="146" t="s">
        <v>318</v>
      </c>
      <c r="AW111" s="143">
        <f>AU111-VLOOKUP(AV111,'Bag weights'!A$1:B$20,2,FALSE)</f>
        <v>1.07</v>
      </c>
      <c r="AX111">
        <f t="shared" si="1"/>
        <v>80.14</v>
      </c>
      <c r="BH111" s="16">
        <v>17.170000000000002</v>
      </c>
    </row>
    <row r="112" spans="1:60">
      <c r="A112" s="87"/>
      <c r="B112" s="87"/>
      <c r="C112" s="87">
        <v>1</v>
      </c>
      <c r="D112" s="87" t="s">
        <v>88</v>
      </c>
      <c r="E112" s="2"/>
      <c r="F112" s="2"/>
      <c r="G112" s="2"/>
      <c r="H112" s="16">
        <v>10.27</v>
      </c>
      <c r="I112" s="16" t="s">
        <v>295</v>
      </c>
      <c r="J112">
        <f>H112-VLOOKUP(I112,'Bag weights'!A:B,2,FALSE)</f>
        <v>2.4399999999999995</v>
      </c>
      <c r="M112">
        <f>K112-VLOOKUP(L112,'Bag weights'!A$1:B$20,2,FALSE)</f>
        <v>0</v>
      </c>
      <c r="O112" s="122"/>
      <c r="P112">
        <f>N112-VLOOKUP(O112,'Bag weights'!A$1:B$20,2,FALSE)</f>
        <v>0</v>
      </c>
      <c r="S112">
        <f>Q112-VLOOKUP(R112,'Bag weights'!A$1:B$20,2,FALSE)</f>
        <v>0</v>
      </c>
      <c r="T112" s="16">
        <v>56.63</v>
      </c>
      <c r="U112" s="16" t="s">
        <v>276</v>
      </c>
      <c r="V112">
        <f>T112-VLOOKUP(U112,'Bag weights'!A$1:B$20,2,FALSE)</f>
        <v>35.680000000000007</v>
      </c>
      <c r="Y112">
        <f>W112-VLOOKUP(X112,'Bag weights'!A$1:B$20,2,FALSE)</f>
        <v>0</v>
      </c>
      <c r="AB112">
        <f>Z112-VLOOKUP(AA112,'Bag weights'!A$1:B$20,2,FALSE)</f>
        <v>0</v>
      </c>
      <c r="AC112" s="16">
        <v>56.73</v>
      </c>
      <c r="AD112" s="16" t="s">
        <v>276</v>
      </c>
      <c r="AE112">
        <f>AC112-VLOOKUP(AD112,'Bag weights'!A$1:B$20,2,FALSE)</f>
        <v>35.78</v>
      </c>
      <c r="AH112">
        <f>AF112-VLOOKUP(AG112,'Bag weights'!A$1:B$20,2,FALSE)</f>
        <v>0</v>
      </c>
      <c r="AI112" s="146">
        <v>0.23</v>
      </c>
      <c r="AJ112" s="146" t="s">
        <v>318</v>
      </c>
      <c r="AK112" s="143">
        <f>AI112-VLOOKUP(AJ112,'Bag weights'!A$1:B$20,2,FALSE)</f>
        <v>0.23</v>
      </c>
      <c r="AL112" s="16">
        <v>10.029999999999999</v>
      </c>
      <c r="AM112" s="16" t="s">
        <v>295</v>
      </c>
      <c r="AN112">
        <f>AL112-VLOOKUP(AM112,'Bag weights'!A$1:B$20,2,FALSE)</f>
        <v>2.1999999999999993</v>
      </c>
      <c r="AO112" s="146">
        <v>1.07</v>
      </c>
      <c r="AP112" s="146" t="s">
        <v>318</v>
      </c>
      <c r="AQ112" s="143">
        <f>AO112-VLOOKUP(AP112,'Bag weights'!A$1:B$20,2,FALSE)</f>
        <v>1.07</v>
      </c>
      <c r="AT112">
        <f>AR112-VLOOKUP(AS112,'Bag weights'!A$1:B$20,2,FALSE)</f>
        <v>0</v>
      </c>
      <c r="AU112" s="146">
        <v>1.85</v>
      </c>
      <c r="AV112" s="146" t="s">
        <v>302</v>
      </c>
      <c r="AW112" s="143">
        <f>AU112-VLOOKUP(AV112,'Bag weights'!A$1:B$20,2,FALSE)</f>
        <v>1.85</v>
      </c>
      <c r="AX112">
        <f t="shared" si="1"/>
        <v>77.400000000000006</v>
      </c>
      <c r="BH112" s="16">
        <v>16.13</v>
      </c>
    </row>
    <row r="113" spans="1:60">
      <c r="A113" s="87"/>
      <c r="B113" s="87"/>
      <c r="C113" s="87">
        <v>2</v>
      </c>
      <c r="D113" s="87" t="s">
        <v>83</v>
      </c>
      <c r="E113" s="2"/>
      <c r="F113" s="2"/>
      <c r="G113" s="2"/>
      <c r="H113" s="16">
        <v>18.23</v>
      </c>
      <c r="I113" s="16" t="s">
        <v>295</v>
      </c>
      <c r="J113">
        <f>H113-VLOOKUP(I113,'Bag weights'!A:B,2,FALSE)</f>
        <v>10.4</v>
      </c>
      <c r="M113">
        <f>K113-VLOOKUP(L113,'Bag weights'!A$1:B$20,2,FALSE)</f>
        <v>0</v>
      </c>
      <c r="N113" s="16">
        <v>16.37</v>
      </c>
      <c r="O113" s="119" t="s">
        <v>295</v>
      </c>
      <c r="P113">
        <f>N113-VLOOKUP(O113,'Bag weights'!A$1:B$20,2,FALSE)</f>
        <v>8.5400000000000009</v>
      </c>
      <c r="S113">
        <f>Q113-VLOOKUP(R113,'Bag weights'!A$1:B$20,2,FALSE)</f>
        <v>0</v>
      </c>
      <c r="T113" s="16">
        <v>38.14</v>
      </c>
      <c r="U113" s="16" t="s">
        <v>276</v>
      </c>
      <c r="V113">
        <f>T113-VLOOKUP(U113,'Bag weights'!A$1:B$20,2,FALSE)</f>
        <v>17.190000000000001</v>
      </c>
      <c r="Y113">
        <f>W113-VLOOKUP(X113,'Bag weights'!A$1:B$20,2,FALSE)</f>
        <v>0</v>
      </c>
      <c r="Z113" s="146">
        <v>0.16</v>
      </c>
      <c r="AA113" s="146" t="s">
        <v>330</v>
      </c>
      <c r="AB113" s="143">
        <f>Z113-VLOOKUP(AA113,'Bag weights'!A$1:B$20,2,FALSE)</f>
        <v>0.16</v>
      </c>
      <c r="AC113" s="16">
        <v>61.28</v>
      </c>
      <c r="AD113" s="16" t="s">
        <v>276</v>
      </c>
      <c r="AE113">
        <f>AC113-VLOOKUP(AD113,'Bag weights'!A$1:B$20,2,FALSE)</f>
        <v>40.33</v>
      </c>
      <c r="AH113">
        <f>AF113-VLOOKUP(AG113,'Bag weights'!A$1:B$20,2,FALSE)</f>
        <v>0</v>
      </c>
      <c r="AI113" s="141">
        <v>1</v>
      </c>
      <c r="AJ113" s="142" t="s">
        <v>302</v>
      </c>
      <c r="AK113" s="143">
        <f>AI113-VLOOKUP(AJ113,'Bag weights'!A$1:B$20,2,FALSE)</f>
        <v>1</v>
      </c>
      <c r="AN113">
        <f>AL113-VLOOKUP(AM113,'Bag weights'!A$1:B$20,2,FALSE)</f>
        <v>0</v>
      </c>
      <c r="AO113" s="146">
        <v>1.82</v>
      </c>
      <c r="AP113" s="146" t="s">
        <v>302</v>
      </c>
      <c r="AQ113" s="143">
        <f>AO113-VLOOKUP(AP113,'Bag weights'!A$1:B$20,2,FALSE)</f>
        <v>1.82</v>
      </c>
      <c r="AT113">
        <f>AR113-VLOOKUP(AS113,'Bag weights'!A$1:B$20,2,FALSE)</f>
        <v>0</v>
      </c>
      <c r="AU113" s="146">
        <v>5.42</v>
      </c>
      <c r="AV113" s="146" t="s">
        <v>302</v>
      </c>
      <c r="AW113" s="143">
        <f>AU113-VLOOKUP(AV113,'Bag weights'!A$1:B$20,2,FALSE)</f>
        <v>5.42</v>
      </c>
      <c r="AX113">
        <f t="shared" si="1"/>
        <v>79.440000000000012</v>
      </c>
      <c r="BH113" s="16">
        <v>10.1</v>
      </c>
    </row>
    <row r="114" spans="1:60">
      <c r="A114" s="87"/>
      <c r="B114" s="87"/>
      <c r="C114" s="87">
        <v>2</v>
      </c>
      <c r="D114" s="87" t="s">
        <v>85</v>
      </c>
      <c r="E114" s="2"/>
      <c r="F114" s="2"/>
      <c r="G114" s="2"/>
      <c r="H114" s="16">
        <v>26.43</v>
      </c>
      <c r="I114" s="16" t="s">
        <v>295</v>
      </c>
      <c r="J114">
        <f>H114-VLOOKUP(I114,'Bag weights'!A:B,2,FALSE)</f>
        <v>18.600000000000001</v>
      </c>
      <c r="K114" s="16">
        <v>14.83</v>
      </c>
      <c r="L114" s="16" t="s">
        <v>295</v>
      </c>
      <c r="M114">
        <f>K114-VLOOKUP(L114,'Bag weights'!A$1:B$20,2,FALSE)</f>
        <v>7</v>
      </c>
      <c r="O114" s="122"/>
      <c r="P114">
        <f>N114-VLOOKUP(O114,'Bag weights'!A$1:B$20,2,FALSE)</f>
        <v>0</v>
      </c>
      <c r="S114">
        <f>Q114-VLOOKUP(R114,'Bag weights'!A$1:B$20,2,FALSE)</f>
        <v>0</v>
      </c>
      <c r="T114" s="16">
        <v>39.630000000000003</v>
      </c>
      <c r="U114" s="16" t="s">
        <v>276</v>
      </c>
      <c r="V114">
        <f>T114-VLOOKUP(U114,'Bag weights'!A$1:B$20,2,FALSE)</f>
        <v>18.680000000000003</v>
      </c>
      <c r="Y114">
        <f>W114-VLOOKUP(X114,'Bag weights'!A$1:B$20,2,FALSE)</f>
        <v>0</v>
      </c>
      <c r="AB114">
        <f>Z114-VLOOKUP(AA114,'Bag weights'!A$1:B$20,2,FALSE)</f>
        <v>0</v>
      </c>
      <c r="AC114" s="16">
        <v>65.7</v>
      </c>
      <c r="AD114" s="16" t="s">
        <v>276</v>
      </c>
      <c r="AE114">
        <f>AC114-VLOOKUP(AD114,'Bag weights'!A$1:B$20,2,FALSE)</f>
        <v>44.75</v>
      </c>
      <c r="AH114">
        <f>AF114-VLOOKUP(AG114,'Bag weights'!A$1:B$20,2,FALSE)</f>
        <v>0</v>
      </c>
      <c r="AK114">
        <f>AI114-VLOOKUP(AJ114,'Bag weights'!A$1:B$20,2,FALSE)</f>
        <v>0</v>
      </c>
      <c r="AL114" s="146">
        <v>1.38</v>
      </c>
      <c r="AM114" s="146" t="s">
        <v>302</v>
      </c>
      <c r="AN114" s="143">
        <f>AL114-VLOOKUP(AM114,'Bag weights'!A$1:B$20,2,FALSE)</f>
        <v>1.38</v>
      </c>
      <c r="AO114" s="146">
        <v>0.98</v>
      </c>
      <c r="AP114" s="146" t="s">
        <v>318</v>
      </c>
      <c r="AQ114" s="143">
        <f>AO114-VLOOKUP(AP114,'Bag weights'!A$1:B$20,2,FALSE)</f>
        <v>0.98</v>
      </c>
      <c r="AT114">
        <f>AR114-VLOOKUP(AS114,'Bag weights'!A$1:B$20,2,FALSE)</f>
        <v>0</v>
      </c>
      <c r="AU114" s="146">
        <v>3.65</v>
      </c>
      <c r="AV114" s="146" t="s">
        <v>302</v>
      </c>
      <c r="AW114" s="143">
        <f>AU114-VLOOKUP(AV114,'Bag weights'!A$1:B$20,2,FALSE)</f>
        <v>3.65</v>
      </c>
      <c r="AX114">
        <f t="shared" si="1"/>
        <v>91.390000000000015</v>
      </c>
      <c r="BH114" s="16">
        <v>16.82</v>
      </c>
    </row>
    <row r="115" spans="1:60">
      <c r="A115" s="87"/>
      <c r="B115" s="87"/>
      <c r="C115" s="87">
        <v>2</v>
      </c>
      <c r="D115" s="87" t="s">
        <v>87</v>
      </c>
      <c r="E115" s="2"/>
      <c r="F115" s="2"/>
      <c r="G115" s="2"/>
      <c r="H115" s="16">
        <v>14.33</v>
      </c>
      <c r="I115" s="16" t="s">
        <v>295</v>
      </c>
      <c r="J115">
        <f>H115-VLOOKUP(I115,'Bag weights'!A:B,2,FALSE)</f>
        <v>6.5</v>
      </c>
      <c r="K115" s="16"/>
      <c r="L115" s="16"/>
      <c r="M115">
        <f>K115-VLOOKUP(L115,'Bag weights'!A$1:B$20,2,FALSE)</f>
        <v>0</v>
      </c>
      <c r="N115" s="16">
        <v>12.12</v>
      </c>
      <c r="O115" s="119" t="s">
        <v>295</v>
      </c>
      <c r="P115">
        <f>N115-VLOOKUP(O115,'Bag weights'!A$1:B$20,2,FALSE)</f>
        <v>4.2899999999999991</v>
      </c>
      <c r="S115">
        <f>Q115-VLOOKUP(R115,'Bag weights'!A$1:B$20,2,FALSE)</f>
        <v>0</v>
      </c>
      <c r="T115" s="16">
        <v>46.1</v>
      </c>
      <c r="U115" s="16" t="s">
        <v>276</v>
      </c>
      <c r="V115">
        <f>T115-VLOOKUP(U115,'Bag weights'!A$1:B$20,2,FALSE)</f>
        <v>25.150000000000002</v>
      </c>
      <c r="Y115">
        <f>W115-VLOOKUP(X115,'Bag weights'!A$1:B$20,2,FALSE)</f>
        <v>0</v>
      </c>
      <c r="Z115" s="146">
        <v>0.03</v>
      </c>
      <c r="AA115" s="146" t="s">
        <v>318</v>
      </c>
      <c r="AB115" s="143">
        <f>Z115-VLOOKUP(AA115,'Bag weights'!A$1:B$20,2,FALSE)</f>
        <v>0.03</v>
      </c>
      <c r="AC115" s="16">
        <v>65.540000000000006</v>
      </c>
      <c r="AD115" s="16" t="s">
        <v>276</v>
      </c>
      <c r="AE115">
        <f>AC115-VLOOKUP(AD115,'Bag weights'!A$1:B$20,2,FALSE)</f>
        <v>44.59</v>
      </c>
      <c r="AF115" s="146">
        <v>0.39</v>
      </c>
      <c r="AG115" s="146" t="s">
        <v>318</v>
      </c>
      <c r="AH115" s="143">
        <f>AF115-VLOOKUP(AG115,'Bag weights'!A$1:B$20,2,FALSE)</f>
        <v>0.39</v>
      </c>
      <c r="AK115">
        <f>AI115-VLOOKUP(AJ115,'Bag weights'!A$1:B$20,2,FALSE)</f>
        <v>0</v>
      </c>
      <c r="AL115" s="146">
        <v>1.1599999999999999</v>
      </c>
      <c r="AM115" s="146" t="s">
        <v>318</v>
      </c>
      <c r="AN115" s="143">
        <f>AL115-VLOOKUP(AM115,'Bag weights'!A$1:B$20,2,FALSE)</f>
        <v>1.1599999999999999</v>
      </c>
      <c r="AO115" s="146">
        <v>1.54</v>
      </c>
      <c r="AP115" s="146" t="s">
        <v>302</v>
      </c>
      <c r="AQ115" s="143">
        <f>AO115-VLOOKUP(AP115,'Bag weights'!A$1:B$20,2,FALSE)</f>
        <v>1.54</v>
      </c>
      <c r="AT115">
        <f>AR115-VLOOKUP(AS115,'Bag weights'!A$1:B$20,2,FALSE)</f>
        <v>0</v>
      </c>
      <c r="AU115" s="141">
        <v>5.28</v>
      </c>
      <c r="AV115" s="142" t="s">
        <v>296</v>
      </c>
      <c r="AW115" s="143">
        <f>AU115-VLOOKUP(AV115,'Bag weights'!A$1:B$20,2,FALSE)</f>
        <v>2.79</v>
      </c>
      <c r="AX115">
        <f t="shared" si="1"/>
        <v>83.65</v>
      </c>
      <c r="BH115" s="16">
        <v>6.96</v>
      </c>
    </row>
    <row r="116" spans="1:60">
      <c r="A116" s="87"/>
      <c r="B116" s="87"/>
      <c r="C116" s="87">
        <v>2</v>
      </c>
      <c r="D116" s="87" t="s">
        <v>79</v>
      </c>
      <c r="E116" s="2"/>
      <c r="F116" s="2"/>
      <c r="G116" s="2"/>
      <c r="H116" s="16">
        <v>11.79</v>
      </c>
      <c r="I116" s="16" t="s">
        <v>295</v>
      </c>
      <c r="J116">
        <f>H116-VLOOKUP(I116,'Bag weights'!A:B,2,FALSE)</f>
        <v>3.9599999999999991</v>
      </c>
      <c r="M116">
        <f>K116-VLOOKUP(L116,'Bag weights'!A$1:B$20,2,FALSE)</f>
        <v>0</v>
      </c>
      <c r="O116" s="122"/>
      <c r="P116">
        <f>N116-VLOOKUP(O116,'Bag weights'!A$1:B$20,2,FALSE)</f>
        <v>0</v>
      </c>
      <c r="S116">
        <f>Q116-VLOOKUP(R116,'Bag weights'!A$1:B$20,2,FALSE)</f>
        <v>0</v>
      </c>
      <c r="T116" s="16">
        <v>43.96</v>
      </c>
      <c r="U116" s="16" t="s">
        <v>294</v>
      </c>
      <c r="V116">
        <f>T116-VLOOKUP(U116,'Bag weights'!A$1:B$20,2,FALSE)</f>
        <v>29.58</v>
      </c>
      <c r="Y116">
        <f>W116-VLOOKUP(X116,'Bag weights'!A$1:B$20,2,FALSE)</f>
        <v>0</v>
      </c>
      <c r="AB116">
        <f>Z116-VLOOKUP(AA116,'Bag weights'!A$1:B$20,2,FALSE)</f>
        <v>0</v>
      </c>
      <c r="AC116" s="16">
        <v>34.659999999999997</v>
      </c>
      <c r="AD116" s="16" t="s">
        <v>294</v>
      </c>
      <c r="AE116">
        <f>AC116-VLOOKUP(AD116,'Bag weights'!A$1:B$20,2,FALSE)</f>
        <v>20.279999999999994</v>
      </c>
      <c r="AH116">
        <f>AF116-VLOOKUP(AG116,'Bag weights'!A$1:B$20,2,FALSE)</f>
        <v>0</v>
      </c>
      <c r="AI116" s="141">
        <v>0.39</v>
      </c>
      <c r="AJ116" s="142" t="s">
        <v>302</v>
      </c>
      <c r="AK116" s="143">
        <f>AI116-VLOOKUP(AJ116,'Bag weights'!A$1:B$20,2,FALSE)</f>
        <v>0.39</v>
      </c>
      <c r="AL116" s="16">
        <v>11.25</v>
      </c>
      <c r="AM116" s="16" t="s">
        <v>295</v>
      </c>
      <c r="AN116">
        <f>AL116-VLOOKUP(AM116,'Bag weights'!A$1:B$20,2,FALSE)</f>
        <v>3.42</v>
      </c>
      <c r="AO116" s="141">
        <v>3.74</v>
      </c>
      <c r="AP116" s="142" t="s">
        <v>296</v>
      </c>
      <c r="AQ116" s="143">
        <f>AO116-VLOOKUP(AP116,'Bag weights'!A$1:B$20,2,FALSE)</f>
        <v>1.25</v>
      </c>
      <c r="AT116">
        <f>AR116-VLOOKUP(AS116,'Bag weights'!A$1:B$20,2,FALSE)</f>
        <v>0</v>
      </c>
      <c r="AU116" s="141">
        <v>4</v>
      </c>
      <c r="AV116" s="142" t="s">
        <v>296</v>
      </c>
      <c r="AW116" s="143">
        <f>AU116-VLOOKUP(AV116,'Bag weights'!A$1:B$20,2,FALSE)</f>
        <v>1.5099999999999998</v>
      </c>
      <c r="AX116">
        <f t="shared" si="1"/>
        <v>58.879999999999988</v>
      </c>
      <c r="BH116" s="16">
        <v>4.95</v>
      </c>
    </row>
    <row r="117" spans="1:60">
      <c r="A117" s="87"/>
      <c r="B117" s="87"/>
      <c r="C117" s="87">
        <v>2</v>
      </c>
      <c r="D117" s="87" t="s">
        <v>88</v>
      </c>
      <c r="E117" s="2"/>
      <c r="F117" s="2"/>
      <c r="G117" s="2"/>
      <c r="H117" s="16">
        <v>3.16</v>
      </c>
      <c r="I117" s="16" t="s">
        <v>329</v>
      </c>
      <c r="J117">
        <f>H117-VLOOKUP(I117,'Bag weights'!A:B,2,FALSE)</f>
        <v>3.16</v>
      </c>
      <c r="M117">
        <f>K117-VLOOKUP(L117,'Bag weights'!A$1:B$20,2,FALSE)</f>
        <v>0</v>
      </c>
      <c r="N117" s="141">
        <v>0.73</v>
      </c>
      <c r="O117" s="142" t="s">
        <v>302</v>
      </c>
      <c r="P117" s="143">
        <f>N117-VLOOKUP(O117,'Bag weights'!A$1:B$20,2,FALSE)</f>
        <v>0.73</v>
      </c>
      <c r="S117">
        <f>Q117-VLOOKUP(R117,'Bag weights'!A$1:B$20,2,FALSE)</f>
        <v>0</v>
      </c>
      <c r="T117" s="16">
        <v>53.61</v>
      </c>
      <c r="U117" s="16" t="s">
        <v>276</v>
      </c>
      <c r="V117">
        <f>T117-VLOOKUP(U117,'Bag weights'!A$1:B$20,2,FALSE)</f>
        <v>32.659999999999997</v>
      </c>
      <c r="Y117">
        <f>W117-VLOOKUP(X117,'Bag weights'!A$1:B$20,2,FALSE)</f>
        <v>0</v>
      </c>
      <c r="AB117">
        <f>Z117-VLOOKUP(AA117,'Bag weights'!A$1:B$20,2,FALSE)</f>
        <v>0</v>
      </c>
      <c r="AC117" s="16">
        <v>49.02</v>
      </c>
      <c r="AD117" s="16" t="s">
        <v>276</v>
      </c>
      <c r="AE117">
        <f>AC117-VLOOKUP(AD117,'Bag weights'!A$1:B$20,2,FALSE)</f>
        <v>28.070000000000004</v>
      </c>
      <c r="AF117" s="16"/>
      <c r="AH117">
        <f>AF117-VLOOKUP(AG117,'Bag weights'!A$1:B$20,2,FALSE)</f>
        <v>0</v>
      </c>
      <c r="AI117" s="146">
        <v>0.68</v>
      </c>
      <c r="AJ117" s="146" t="s">
        <v>318</v>
      </c>
      <c r="AK117" s="143">
        <f>AI117-VLOOKUP(AJ117,'Bag weights'!A$1:B$20,2,FALSE)</f>
        <v>0.68</v>
      </c>
      <c r="AL117" s="16">
        <v>24.57</v>
      </c>
      <c r="AM117" s="16" t="s">
        <v>295</v>
      </c>
      <c r="AN117">
        <f>AL117-VLOOKUP(AM117,'Bag weights'!A$1:B$20,2,FALSE)</f>
        <v>16.740000000000002</v>
      </c>
      <c r="AO117" s="146">
        <v>2.97</v>
      </c>
      <c r="AP117" s="146" t="s">
        <v>302</v>
      </c>
      <c r="AQ117" s="143">
        <f>AO117-VLOOKUP(AP117,'Bag weights'!A$1:B$20,2,FALSE)</f>
        <v>2.97</v>
      </c>
      <c r="AT117">
        <f>AR117-VLOOKUP(AS117,'Bag weights'!A$1:B$20,2,FALSE)</f>
        <v>0</v>
      </c>
      <c r="AU117" s="146">
        <v>3.07</v>
      </c>
      <c r="AV117" s="146" t="s">
        <v>302</v>
      </c>
      <c r="AW117" s="143">
        <f>AU117-VLOOKUP(AV117,'Bag weights'!A$1:B$20,2,FALSE)</f>
        <v>3.07</v>
      </c>
      <c r="AX117">
        <f t="shared" si="1"/>
        <v>85.01</v>
      </c>
      <c r="BH117" s="16">
        <v>10.37</v>
      </c>
    </row>
    <row r="118" spans="1:60">
      <c r="A118" s="87"/>
      <c r="B118" s="87"/>
      <c r="C118" s="87">
        <v>3</v>
      </c>
      <c r="D118" s="87" t="s">
        <v>83</v>
      </c>
      <c r="E118" s="2"/>
      <c r="F118" s="2"/>
      <c r="G118" s="2"/>
      <c r="J118">
        <f>H118-VLOOKUP(I118,'Bag weights'!A:B,2,FALSE)</f>
        <v>0</v>
      </c>
      <c r="M118">
        <f>K118-VLOOKUP(L118,'Bag weights'!A$1:B$20,2,FALSE)</f>
        <v>0</v>
      </c>
      <c r="O118" s="122"/>
      <c r="P118">
        <f>N118-VLOOKUP(O118,'Bag weights'!A$1:B$20,2,FALSE)</f>
        <v>0</v>
      </c>
      <c r="S118">
        <f>Q118-VLOOKUP(R118,'Bag weights'!A$1:B$20,2,FALSE)</f>
        <v>0</v>
      </c>
      <c r="T118" s="16">
        <v>57.3</v>
      </c>
      <c r="U118" s="16" t="s">
        <v>276</v>
      </c>
      <c r="V118">
        <f>T118-VLOOKUP(U118,'Bag weights'!A$1:B$20,2,FALSE)</f>
        <v>36.349999999999994</v>
      </c>
      <c r="W118" s="146">
        <v>3.32</v>
      </c>
      <c r="X118" s="146" t="s">
        <v>296</v>
      </c>
      <c r="Y118" s="143">
        <f>W118-VLOOKUP(X118,'Bag weights'!A$1:B$20,2,FALSE)</f>
        <v>0.82999999999999963</v>
      </c>
      <c r="Z118" s="16">
        <v>15.03</v>
      </c>
      <c r="AA118" s="16" t="s">
        <v>295</v>
      </c>
      <c r="AB118">
        <f>Z118-VLOOKUP(AA118,'Bag weights'!A$1:B$20,2,FALSE)</f>
        <v>7.1999999999999993</v>
      </c>
      <c r="AC118" s="16">
        <v>16.14</v>
      </c>
      <c r="AD118" s="16" t="s">
        <v>295</v>
      </c>
      <c r="AE118">
        <f>AC118-VLOOKUP(AD118,'Bag weights'!A$1:B$20,2,FALSE)</f>
        <v>8.31</v>
      </c>
      <c r="AH118">
        <f>AF118-VLOOKUP(AG118,'Bag weights'!A$1:B$20,2,FALSE)</f>
        <v>0</v>
      </c>
      <c r="AI118" s="146">
        <v>1.83</v>
      </c>
      <c r="AJ118" s="146" t="s">
        <v>298</v>
      </c>
      <c r="AK118" s="143">
        <f>AI118-VLOOKUP(AJ118,'Bag weights'!A$1:B$20,2,FALSE)</f>
        <v>0.43000000000000016</v>
      </c>
      <c r="AL118" s="146">
        <v>1.52</v>
      </c>
      <c r="AM118" s="146" t="s">
        <v>298</v>
      </c>
      <c r="AN118" s="143">
        <f>AL118-VLOOKUP(AM118,'Bag weights'!A$1:B$20,2,FALSE)</f>
        <v>0.12000000000000011</v>
      </c>
      <c r="AO118" s="146">
        <v>4.95</v>
      </c>
      <c r="AP118" s="146" t="s">
        <v>296</v>
      </c>
      <c r="AQ118" s="143">
        <f>AO118-VLOOKUP(AP118,'Bag weights'!A$1:B$20,2,FALSE)</f>
        <v>2.46</v>
      </c>
      <c r="AR118" s="16"/>
      <c r="AS118" s="16"/>
      <c r="AT118">
        <f>AR118-VLOOKUP(AS118,'Bag weights'!A$1:B$20,2,FALSE)</f>
        <v>0</v>
      </c>
      <c r="AU118" s="146">
        <v>4.62</v>
      </c>
      <c r="AV118" s="146" t="s">
        <v>296</v>
      </c>
      <c r="AW118" s="143">
        <f>AU118-VLOOKUP(AV118,'Bag weights'!A$1:B$20,2,FALSE)</f>
        <v>2.13</v>
      </c>
      <c r="AX118">
        <f t="shared" si="1"/>
        <v>55.699999999999989</v>
      </c>
      <c r="BH118" s="16">
        <v>14.07</v>
      </c>
    </row>
    <row r="119" spans="1:60">
      <c r="A119" s="87"/>
      <c r="B119" s="87"/>
      <c r="C119" s="87">
        <v>3</v>
      </c>
      <c r="D119" s="87" t="s">
        <v>85</v>
      </c>
      <c r="E119" s="2"/>
      <c r="F119" s="2"/>
      <c r="G119" s="2"/>
      <c r="H119" s="16">
        <v>12.82</v>
      </c>
      <c r="I119" s="16" t="s">
        <v>295</v>
      </c>
      <c r="J119">
        <f>H119-VLOOKUP(I119,'Bag weights'!A:B,2,FALSE)</f>
        <v>4.99</v>
      </c>
      <c r="M119">
        <f>K119-VLOOKUP(L119,'Bag weights'!A$1:B$20,2,FALSE)</f>
        <v>0</v>
      </c>
      <c r="O119" s="122"/>
      <c r="P119">
        <f>N119-VLOOKUP(O119,'Bag weights'!A$1:B$20,2,FALSE)</f>
        <v>0</v>
      </c>
      <c r="S119">
        <f>Q119-VLOOKUP(R119,'Bag weights'!A$1:B$20,2,FALSE)</f>
        <v>0</v>
      </c>
      <c r="T119" s="16">
        <v>49.9</v>
      </c>
      <c r="U119" s="16" t="s">
        <v>276</v>
      </c>
      <c r="V119">
        <f>T119-VLOOKUP(U119,'Bag weights'!A$1:B$20,2,FALSE)</f>
        <v>28.95</v>
      </c>
      <c r="Y119">
        <f>W119-VLOOKUP(X119,'Bag weights'!A$1:B$20,2,FALSE)</f>
        <v>0</v>
      </c>
      <c r="Z119" s="146">
        <v>0.91</v>
      </c>
      <c r="AA119" s="146" t="s">
        <v>318</v>
      </c>
      <c r="AB119" s="143">
        <f>Z119-VLOOKUP(AA119,'Bag weights'!A$1:B$20,2,FALSE)</f>
        <v>0.91</v>
      </c>
      <c r="AC119" s="16">
        <v>58.21</v>
      </c>
      <c r="AD119" s="16" t="s">
        <v>276</v>
      </c>
      <c r="AE119">
        <f>AC119-VLOOKUP(AD119,'Bag weights'!A$1:B$20,2,FALSE)</f>
        <v>37.260000000000005</v>
      </c>
      <c r="AH119">
        <f>AF119-VLOOKUP(AG119,'Bag weights'!A$1:B$20,2,FALSE)</f>
        <v>0</v>
      </c>
      <c r="AI119" s="146">
        <v>3.95</v>
      </c>
      <c r="AJ119" s="146" t="s">
        <v>296</v>
      </c>
      <c r="AK119" s="143">
        <f>AI119-VLOOKUP(AJ119,'Bag weights'!A$1:B$20,2,FALSE)</f>
        <v>1.46</v>
      </c>
      <c r="AN119">
        <f>AL119-VLOOKUP(AM119,'Bag weights'!A$1:B$20,2,FALSE)</f>
        <v>0</v>
      </c>
      <c r="AO119" s="146">
        <v>1.43</v>
      </c>
      <c r="AP119" s="146" t="s">
        <v>302</v>
      </c>
      <c r="AQ119" s="143">
        <f>AO119-VLOOKUP(AP119,'Bag weights'!A$1:B$20,2,FALSE)</f>
        <v>1.43</v>
      </c>
      <c r="AT119">
        <f>AR119-VLOOKUP(AS119,'Bag weights'!A$1:B$20,2,FALSE)</f>
        <v>0</v>
      </c>
      <c r="AU119" s="146">
        <v>4.55</v>
      </c>
      <c r="AV119" s="146" t="s">
        <v>302</v>
      </c>
      <c r="AW119" s="143">
        <f>AU119-VLOOKUP(AV119,'Bag weights'!A$1:B$20,2,FALSE)</f>
        <v>4.55</v>
      </c>
      <c r="AX119">
        <f t="shared" si="1"/>
        <v>75</v>
      </c>
      <c r="BH119" s="16">
        <v>19.940000000000001</v>
      </c>
    </row>
    <row r="120" spans="1:60">
      <c r="A120" s="87"/>
      <c r="B120" s="87"/>
      <c r="C120" s="87">
        <v>3</v>
      </c>
      <c r="D120" s="87" t="s">
        <v>87</v>
      </c>
      <c r="E120" s="2"/>
      <c r="F120" s="2"/>
      <c r="G120" s="2"/>
      <c r="H120" s="146">
        <v>0.22</v>
      </c>
      <c r="I120" s="146" t="s">
        <v>318</v>
      </c>
      <c r="J120" s="143">
        <f>H120-VLOOKUP(I120,'Bag weights'!A:B,2,FALSE)</f>
        <v>0.22</v>
      </c>
      <c r="M120">
        <f>K120-VLOOKUP(L120,'Bag weights'!A$1:B$20,2,FALSE)</f>
        <v>0</v>
      </c>
      <c r="O120" s="122"/>
      <c r="P120">
        <f>N120-VLOOKUP(O120,'Bag weights'!A$1:B$20,2,FALSE)</f>
        <v>0</v>
      </c>
      <c r="S120">
        <f>Q120-VLOOKUP(R120,'Bag weights'!A$1:B$20,2,FALSE)</f>
        <v>0</v>
      </c>
      <c r="T120" s="16">
        <v>37.020000000000003</v>
      </c>
      <c r="U120" s="16" t="s">
        <v>276</v>
      </c>
      <c r="V120">
        <f>T120-VLOOKUP(U120,'Bag weights'!A$1:B$20,2,FALSE)</f>
        <v>16.070000000000004</v>
      </c>
      <c r="Y120">
        <f>W120-VLOOKUP(X120,'Bag weights'!A$1:B$20,2,FALSE)</f>
        <v>0</v>
      </c>
      <c r="Z120" s="16">
        <v>14.45</v>
      </c>
      <c r="AA120" s="16" t="s">
        <v>295</v>
      </c>
      <c r="AB120">
        <f>Z120-VLOOKUP(AA120,'Bag weights'!A$1:B$20,2,FALSE)</f>
        <v>6.6199999999999992</v>
      </c>
      <c r="AC120" s="16">
        <v>61.88</v>
      </c>
      <c r="AD120" s="16" t="s">
        <v>276</v>
      </c>
      <c r="AE120">
        <f>AC120-VLOOKUP(AD120,'Bag weights'!A$1:B$20,2,FALSE)</f>
        <v>40.930000000000007</v>
      </c>
      <c r="AH120">
        <f>AF120-VLOOKUP(AG120,'Bag weights'!A$1:B$20,2,FALSE)</f>
        <v>0</v>
      </c>
      <c r="AI120" s="146">
        <v>0.56000000000000005</v>
      </c>
      <c r="AJ120" s="146" t="s">
        <v>318</v>
      </c>
      <c r="AK120" s="143">
        <f>AI120-VLOOKUP(AJ120,'Bag weights'!A$1:B$20,2,FALSE)</f>
        <v>0.56000000000000005</v>
      </c>
      <c r="AL120" s="16">
        <v>15.17</v>
      </c>
      <c r="AM120" s="16" t="s">
        <v>295</v>
      </c>
      <c r="AN120">
        <f>AL120-VLOOKUP(AM120,'Bag weights'!A$1:B$20,2,FALSE)</f>
        <v>7.34</v>
      </c>
      <c r="AO120" s="141">
        <v>4.63</v>
      </c>
      <c r="AP120" s="142" t="s">
        <v>296</v>
      </c>
      <c r="AQ120" s="143">
        <f>AO120-VLOOKUP(AP120,'Bag weights'!A$1:B$20,2,FALSE)</f>
        <v>2.1399999999999997</v>
      </c>
      <c r="AT120">
        <f>AR120-VLOOKUP(AS120,'Bag weights'!A$1:B$20,2,FALSE)</f>
        <v>0</v>
      </c>
      <c r="AU120" s="141">
        <v>5.83</v>
      </c>
      <c r="AV120" s="142" t="s">
        <v>296</v>
      </c>
      <c r="AW120" s="143">
        <f>AU120-VLOOKUP(AV120,'Bag weights'!A$1:B$20,2,FALSE)</f>
        <v>3.34</v>
      </c>
      <c r="AX120">
        <f t="shared" si="1"/>
        <v>73.88000000000001</v>
      </c>
      <c r="BH120" s="16">
        <v>11.04</v>
      </c>
    </row>
    <row r="121" spans="1:60">
      <c r="A121" s="87"/>
      <c r="B121" s="87"/>
      <c r="C121" s="87">
        <v>3</v>
      </c>
      <c r="D121" s="87" t="s">
        <v>79</v>
      </c>
      <c r="E121" s="2"/>
      <c r="F121" s="2"/>
      <c r="G121" s="2"/>
      <c r="H121" s="16">
        <v>0.89</v>
      </c>
      <c r="I121" s="16" t="s">
        <v>318</v>
      </c>
      <c r="J121">
        <f>H121-VLOOKUP(I121,'Bag weights'!A:B,2,FALSE)</f>
        <v>0.89</v>
      </c>
      <c r="M121">
        <f>K121-VLOOKUP(L121,'Bag weights'!A$1:B$20,2,FALSE)</f>
        <v>0</v>
      </c>
      <c r="O121" s="122"/>
      <c r="P121">
        <f>N121-VLOOKUP(O121,'Bag weights'!A$1:B$20,2,FALSE)</f>
        <v>0</v>
      </c>
      <c r="S121">
        <f>Q121-VLOOKUP(R121,'Bag weights'!A$1:B$20,2,FALSE)</f>
        <v>0</v>
      </c>
      <c r="T121" s="16">
        <v>49.45</v>
      </c>
      <c r="U121" s="16" t="s">
        <v>276</v>
      </c>
      <c r="V121">
        <f>T121-VLOOKUP(U121,'Bag weights'!A$1:B$20,2,FALSE)</f>
        <v>28.500000000000004</v>
      </c>
      <c r="Y121">
        <f>W121-VLOOKUP(X121,'Bag weights'!A$1:B$20,2,FALSE)</f>
        <v>0</v>
      </c>
      <c r="Z121" s="141">
        <v>3.74</v>
      </c>
      <c r="AA121" s="142" t="s">
        <v>296</v>
      </c>
      <c r="AB121" s="143">
        <f>Z121-VLOOKUP(AA121,'Bag weights'!A$1:B$20,2,FALSE)</f>
        <v>1.25</v>
      </c>
      <c r="AC121" s="16">
        <v>34.29</v>
      </c>
      <c r="AD121" s="16" t="s">
        <v>294</v>
      </c>
      <c r="AE121">
        <f>AC121-VLOOKUP(AD121,'Bag weights'!A$1:B$20,2,FALSE)</f>
        <v>19.909999999999997</v>
      </c>
      <c r="AH121">
        <f>AF121-VLOOKUP(AG121,'Bag weights'!A$1:B$20,2,FALSE)</f>
        <v>0</v>
      </c>
      <c r="AI121" s="146">
        <v>0.14000000000000001</v>
      </c>
      <c r="AJ121" s="146" t="s">
        <v>318</v>
      </c>
      <c r="AK121" s="143">
        <f>AI121-VLOOKUP(AJ121,'Bag weights'!A$1:B$20,2,FALSE)</f>
        <v>0.14000000000000001</v>
      </c>
      <c r="AL121" s="141">
        <v>3.65</v>
      </c>
      <c r="AM121" s="142" t="s">
        <v>296</v>
      </c>
      <c r="AN121" s="143">
        <f>AL121-VLOOKUP(AM121,'Bag weights'!A$1:B$20,2,FALSE)</f>
        <v>1.1599999999999997</v>
      </c>
      <c r="AO121" s="146">
        <v>0.24</v>
      </c>
      <c r="AP121" s="146" t="s">
        <v>318</v>
      </c>
      <c r="AQ121" s="143">
        <f>AO121-VLOOKUP(AP121,'Bag weights'!A$1:B$20,2,FALSE)</f>
        <v>0.24</v>
      </c>
      <c r="AT121">
        <f>AR121-VLOOKUP(AS121,'Bag weights'!A$1:B$20,2,FALSE)</f>
        <v>0</v>
      </c>
      <c r="AU121" s="146">
        <v>1.29</v>
      </c>
      <c r="AV121" s="146" t="s">
        <v>318</v>
      </c>
      <c r="AW121" s="143">
        <f>AU121-VLOOKUP(AV121,'Bag weights'!A$1:B$20,2,FALSE)</f>
        <v>1.29</v>
      </c>
      <c r="AX121">
        <f t="shared" si="1"/>
        <v>52.09</v>
      </c>
      <c r="BH121" s="16">
        <v>3.77</v>
      </c>
    </row>
    <row r="122" spans="1:60">
      <c r="A122" s="87"/>
      <c r="B122" s="87"/>
      <c r="C122" s="87">
        <v>3</v>
      </c>
      <c r="D122" s="87" t="s">
        <v>88</v>
      </c>
      <c r="E122" s="2"/>
      <c r="F122" s="2"/>
      <c r="G122" s="2"/>
      <c r="H122" s="16">
        <v>8.82</v>
      </c>
      <c r="I122" s="16" t="s">
        <v>329</v>
      </c>
      <c r="J122">
        <f>H122-VLOOKUP(I122,'Bag weights'!A:B,2,FALSE)</f>
        <v>8.82</v>
      </c>
      <c r="M122">
        <f>K122-VLOOKUP(L122,'Bag weights'!A$1:B$20,2,FALSE)</f>
        <v>0</v>
      </c>
      <c r="O122" s="122"/>
      <c r="P122">
        <f>N122-VLOOKUP(O122,'Bag weights'!A$1:B$20,2,FALSE)</f>
        <v>0</v>
      </c>
      <c r="S122">
        <f>Q122-VLOOKUP(R122,'Bag weights'!A$1:B$20,2,FALSE)</f>
        <v>0</v>
      </c>
      <c r="T122" s="16">
        <v>41.13</v>
      </c>
      <c r="U122" s="16" t="s">
        <v>276</v>
      </c>
      <c r="V122">
        <f>T122-VLOOKUP(U122,'Bag weights'!A$1:B$20,2,FALSE)</f>
        <v>20.180000000000003</v>
      </c>
      <c r="Y122">
        <f>W122-VLOOKUP(X122,'Bag weights'!A$1:B$20,2,FALSE)</f>
        <v>0</v>
      </c>
      <c r="Z122" s="146">
        <v>0.86</v>
      </c>
      <c r="AA122" s="146" t="s">
        <v>318</v>
      </c>
      <c r="AB122" s="143">
        <f>Z122-VLOOKUP(AA122,'Bag weights'!A$1:B$20,2,FALSE)</f>
        <v>0.86</v>
      </c>
      <c r="AC122" s="16">
        <v>73.22</v>
      </c>
      <c r="AD122" s="16" t="s">
        <v>276</v>
      </c>
      <c r="AE122">
        <f>AC122-VLOOKUP(AD122,'Bag weights'!A$1:B$20,2,FALSE)</f>
        <v>52.269999999999996</v>
      </c>
      <c r="AH122">
        <f>AF122-VLOOKUP(AG122,'Bag weights'!A$1:B$20,2,FALSE)</f>
        <v>0</v>
      </c>
      <c r="AK122">
        <f>AI122-VLOOKUP(AJ122,'Bag weights'!A$1:B$20,2,FALSE)</f>
        <v>0</v>
      </c>
      <c r="AL122" s="16">
        <v>13.17</v>
      </c>
      <c r="AM122" s="16" t="s">
        <v>295</v>
      </c>
      <c r="AN122">
        <f>AL122-VLOOKUP(AM122,'Bag weights'!A$1:B$20,2,FALSE)</f>
        <v>5.34</v>
      </c>
      <c r="AO122" s="146">
        <v>1.98</v>
      </c>
      <c r="AP122" s="146" t="s">
        <v>302</v>
      </c>
      <c r="AQ122" s="143">
        <f>AO122-VLOOKUP(AP122,'Bag weights'!A$1:B$20,2,FALSE)</f>
        <v>1.98</v>
      </c>
      <c r="AT122">
        <f>AR122-VLOOKUP(AS122,'Bag weights'!A$1:B$20,2,FALSE)</f>
        <v>0</v>
      </c>
      <c r="AU122" s="146">
        <v>1.66</v>
      </c>
      <c r="AV122" s="146" t="s">
        <v>302</v>
      </c>
      <c r="AW122" s="143">
        <f>AU122-VLOOKUP(AV122,'Bag weights'!A$1:B$20,2,FALSE)</f>
        <v>1.66</v>
      </c>
      <c r="AX122">
        <f t="shared" si="1"/>
        <v>89.449999999999989</v>
      </c>
      <c r="BH122" s="16">
        <v>11.34</v>
      </c>
    </row>
    <row r="123" spans="1:60">
      <c r="A123" s="87"/>
      <c r="B123" s="87"/>
      <c r="C123" s="87">
        <v>4</v>
      </c>
      <c r="D123" s="87" t="s">
        <v>83</v>
      </c>
      <c r="E123" s="2"/>
      <c r="F123" s="2"/>
      <c r="G123" s="2"/>
      <c r="H123" s="16">
        <v>10.07</v>
      </c>
      <c r="I123" s="16" t="s">
        <v>295</v>
      </c>
      <c r="J123">
        <f>H123-VLOOKUP(I123,'Bag weights'!A:B,2,FALSE)</f>
        <v>2.2400000000000002</v>
      </c>
      <c r="M123">
        <f>K123-VLOOKUP(L123,'Bag weights'!A$1:B$20,2,FALSE)</f>
        <v>0</v>
      </c>
      <c r="O123" s="122"/>
      <c r="P123">
        <f>N123-VLOOKUP(O123,'Bag weights'!A$1:B$20,2,FALSE)</f>
        <v>0</v>
      </c>
      <c r="S123">
        <f>Q123-VLOOKUP(R123,'Bag weights'!A$1:B$20,2,FALSE)</f>
        <v>0</v>
      </c>
      <c r="T123" s="16">
        <v>92.2</v>
      </c>
      <c r="U123" s="16" t="s">
        <v>332</v>
      </c>
      <c r="V123">
        <f>T123-VLOOKUP(U123,'Bag weights'!A$1:B$20,2,FALSE)</f>
        <v>50.300000000000004</v>
      </c>
      <c r="Y123">
        <f>W123-VLOOKUP(X123,'Bag weights'!A$1:B$20,2,FALSE)</f>
        <v>0</v>
      </c>
      <c r="Z123" s="16">
        <v>8.6</v>
      </c>
      <c r="AA123" s="16" t="s">
        <v>295</v>
      </c>
      <c r="AB123">
        <f>Z123-VLOOKUP(AA123,'Bag weights'!A$1:B$20,2,FALSE)</f>
        <v>0.76999999999999957</v>
      </c>
      <c r="AC123" s="16">
        <v>29.54</v>
      </c>
      <c r="AD123" s="16" t="s">
        <v>276</v>
      </c>
      <c r="AE123">
        <f>AC123-VLOOKUP(AD123,'Bag weights'!A$1:B$20,2,FALSE)</f>
        <v>8.59</v>
      </c>
      <c r="AH123">
        <f>AF123-VLOOKUP(AG123,'Bag weights'!A$1:B$20,2,FALSE)</f>
        <v>0</v>
      </c>
      <c r="AK123">
        <f>AI123-VLOOKUP(AJ123,'Bag weights'!A$1:B$20,2,FALSE)</f>
        <v>0</v>
      </c>
      <c r="AL123" s="141">
        <v>0.15</v>
      </c>
      <c r="AM123" s="142" t="s">
        <v>302</v>
      </c>
      <c r="AN123" s="143">
        <f>AL123-VLOOKUP(AM123,'Bag weights'!A$1:B$20,2,FALSE)</f>
        <v>0.15</v>
      </c>
      <c r="AO123" s="141">
        <v>0.4</v>
      </c>
      <c r="AP123" s="142" t="s">
        <v>302</v>
      </c>
      <c r="AQ123" s="143">
        <f>AO123-VLOOKUP(AP123,'Bag weights'!A$1:B$20,2,FALSE)</f>
        <v>0.4</v>
      </c>
      <c r="AT123">
        <f>AR123-VLOOKUP(AS123,'Bag weights'!A$1:B$20,2,FALSE)</f>
        <v>0</v>
      </c>
      <c r="AU123" s="16">
        <v>29.74</v>
      </c>
      <c r="AV123" s="16" t="s">
        <v>295</v>
      </c>
      <c r="AW123">
        <f>AU123-VLOOKUP(AV123,'Bag weights'!A$1:B$20,2,FALSE)</f>
        <v>21.909999999999997</v>
      </c>
      <c r="AX123">
        <f t="shared" si="1"/>
        <v>62.45000000000001</v>
      </c>
      <c r="BH123" s="16">
        <v>5.96</v>
      </c>
    </row>
    <row r="124" spans="1:60">
      <c r="A124" s="87"/>
      <c r="B124" s="87"/>
      <c r="C124" s="87">
        <v>4</v>
      </c>
      <c r="D124" s="87" t="s">
        <v>85</v>
      </c>
      <c r="E124" s="2"/>
      <c r="F124" s="2"/>
      <c r="G124" s="2"/>
      <c r="H124" s="146">
        <v>0.21</v>
      </c>
      <c r="I124" s="146" t="s">
        <v>318</v>
      </c>
      <c r="J124" s="143">
        <f>H124-VLOOKUP(I124,'Bag weights'!A:B,2,FALSE)</f>
        <v>0.21</v>
      </c>
      <c r="M124">
        <f>K124-VLOOKUP(L124,'Bag weights'!A$1:B$20,2,FALSE)</f>
        <v>0</v>
      </c>
      <c r="O124" s="122"/>
      <c r="P124">
        <f>N124-VLOOKUP(O124,'Bag weights'!A$1:B$20,2,FALSE)</f>
        <v>0</v>
      </c>
      <c r="S124">
        <f>Q124-VLOOKUP(R124,'Bag weights'!A$1:B$20,2,FALSE)</f>
        <v>0</v>
      </c>
      <c r="T124" s="16">
        <v>73.650000000000006</v>
      </c>
      <c r="U124" s="16" t="s">
        <v>276</v>
      </c>
      <c r="V124">
        <f>T124-VLOOKUP(U124,'Bag weights'!A$1:B$20,2,FALSE)</f>
        <v>52.7</v>
      </c>
      <c r="Y124">
        <f>W124-VLOOKUP(X124,'Bag weights'!A$1:B$20,2,FALSE)</f>
        <v>0</v>
      </c>
      <c r="AB124">
        <f>Z124-VLOOKUP(AA124,'Bag weights'!A$1:B$20,2,FALSE)</f>
        <v>0</v>
      </c>
      <c r="AC124" s="16">
        <v>14.18</v>
      </c>
      <c r="AD124" s="16" t="s">
        <v>295</v>
      </c>
      <c r="AE124">
        <f>AC124-VLOOKUP(AD124,'Bag weights'!A$1:B$20,2,FALSE)</f>
        <v>6.35</v>
      </c>
      <c r="AH124">
        <f>AF124-VLOOKUP(AG124,'Bag weights'!A$1:B$20,2,FALSE)</f>
        <v>0</v>
      </c>
      <c r="AK124">
        <f>AI124-VLOOKUP(AJ124,'Bag weights'!A$1:B$20,2,FALSE)</f>
        <v>0</v>
      </c>
      <c r="AL124" s="146">
        <v>0.24</v>
      </c>
      <c r="AM124" s="146" t="s">
        <v>318</v>
      </c>
      <c r="AN124" s="143">
        <f>AL124-VLOOKUP(AM124,'Bag weights'!A$1:B$20,2,FALSE)</f>
        <v>0.24</v>
      </c>
      <c r="AO124" s="146">
        <v>0.6</v>
      </c>
      <c r="AP124" s="146" t="s">
        <v>318</v>
      </c>
      <c r="AQ124" s="143">
        <f>AO124-VLOOKUP(AP124,'Bag weights'!A$1:B$20,2,FALSE)</f>
        <v>0.6</v>
      </c>
      <c r="AT124">
        <f>AR124-VLOOKUP(AS124,'Bag weights'!A$1:B$20,2,FALSE)</f>
        <v>0</v>
      </c>
      <c r="AU124" s="146">
        <v>2.79</v>
      </c>
      <c r="AV124" s="146" t="s">
        <v>302</v>
      </c>
      <c r="AW124" s="143">
        <f>AU124-VLOOKUP(AV124,'Bag weights'!A$1:B$20,2,FALSE)</f>
        <v>2.79</v>
      </c>
      <c r="AX124">
        <f t="shared" si="1"/>
        <v>60.1</v>
      </c>
      <c r="BH124" s="16">
        <v>5.53</v>
      </c>
    </row>
    <row r="125" spans="1:60">
      <c r="A125" s="87"/>
      <c r="B125" s="87"/>
      <c r="C125" s="87">
        <v>4</v>
      </c>
      <c r="D125" s="87" t="s">
        <v>87</v>
      </c>
      <c r="E125" s="2"/>
      <c r="F125" s="2"/>
      <c r="G125" s="2"/>
      <c r="J125">
        <f>H125-VLOOKUP(I125,'Bag weights'!A:B,2,FALSE)</f>
        <v>0</v>
      </c>
      <c r="M125">
        <f>K125-VLOOKUP(L125,'Bag weights'!A$1:B$20,2,FALSE)</f>
        <v>0</v>
      </c>
      <c r="O125" s="122"/>
      <c r="P125">
        <f>N125-VLOOKUP(O125,'Bag weights'!A$1:B$20,2,FALSE)</f>
        <v>0</v>
      </c>
      <c r="S125">
        <f>Q125-VLOOKUP(R125,'Bag weights'!A$1:B$20,2,FALSE)</f>
        <v>0</v>
      </c>
      <c r="V125">
        <f>T125-VLOOKUP(U125,'Bag weights'!A$1:B$20,2,FALSE)</f>
        <v>0</v>
      </c>
      <c r="Y125">
        <f>W125-VLOOKUP(X125,'Bag weights'!A$1:B$20,2,FALSE)</f>
        <v>0</v>
      </c>
      <c r="Z125" s="16">
        <v>0.21</v>
      </c>
      <c r="AA125" s="16" t="s">
        <v>298</v>
      </c>
      <c r="AB125">
        <f>Z125-VLOOKUP(AA125,'Bag weights'!A$1:B$20,2,FALSE)</f>
        <v>-1.19</v>
      </c>
      <c r="AC125" s="16"/>
      <c r="AD125" s="16"/>
      <c r="AE125">
        <f>AC125-VLOOKUP(AD125,'Bag weights'!A$1:B$20,2,FALSE)</f>
        <v>0</v>
      </c>
      <c r="AH125">
        <f>AF125-VLOOKUP(AG125,'Bag weights'!A$1:B$20,2,FALSE)</f>
        <v>0</v>
      </c>
      <c r="AK125">
        <f>AI125-VLOOKUP(AJ125,'Bag weights'!A$1:B$20,2,FALSE)</f>
        <v>0</v>
      </c>
      <c r="AL125" s="146">
        <v>10.38</v>
      </c>
      <c r="AM125" s="146" t="s">
        <v>295</v>
      </c>
      <c r="AN125" s="143">
        <f>AL125-VLOOKUP(AM125,'Bag weights'!A$1:B$20,2,FALSE)</f>
        <v>2.5500000000000007</v>
      </c>
      <c r="AO125" s="141">
        <v>0.48</v>
      </c>
      <c r="AP125" s="142" t="s">
        <v>302</v>
      </c>
      <c r="AQ125" s="143">
        <f>AO125-VLOOKUP(AP125,'Bag weights'!A$1:B$20,2,FALSE)</f>
        <v>0.48</v>
      </c>
      <c r="AT125">
        <f>AR125-VLOOKUP(AS125,'Bag weights'!A$1:B$20,2,FALSE)</f>
        <v>0</v>
      </c>
      <c r="AU125" s="141">
        <v>20</v>
      </c>
      <c r="AV125" s="142" t="s">
        <v>296</v>
      </c>
      <c r="AW125" s="143">
        <f>AU125-VLOOKUP(AV125,'Bag weights'!A$1:B$20,2,FALSE)</f>
        <v>17.509999999999998</v>
      </c>
      <c r="AX125">
        <f t="shared" si="1"/>
        <v>1.8400000000000007</v>
      </c>
      <c r="BH125" s="16">
        <v>3.41</v>
      </c>
    </row>
    <row r="126" spans="1:60">
      <c r="A126" s="87"/>
      <c r="B126" s="87"/>
      <c r="C126" s="87">
        <v>4</v>
      </c>
      <c r="D126" s="87" t="s">
        <v>79</v>
      </c>
      <c r="E126" s="2"/>
      <c r="F126" s="2"/>
      <c r="G126" s="2"/>
      <c r="J126">
        <f>H126-VLOOKUP(I126,'Bag weights'!A:B,2,FALSE)</f>
        <v>0</v>
      </c>
      <c r="M126">
        <f>K126-VLOOKUP(L126,'Bag weights'!A$1:B$20,2,FALSE)</f>
        <v>0</v>
      </c>
      <c r="O126" s="122"/>
      <c r="P126">
        <f>N126-VLOOKUP(O126,'Bag weights'!A$1:B$20,2,FALSE)</f>
        <v>0</v>
      </c>
      <c r="S126">
        <f>Q126-VLOOKUP(R126,'Bag weights'!A$1:B$20,2,FALSE)</f>
        <v>0</v>
      </c>
      <c r="T126" s="16">
        <v>40.4</v>
      </c>
      <c r="U126" s="16" t="s">
        <v>276</v>
      </c>
      <c r="V126">
        <f>T126-VLOOKUP(U126,'Bag weights'!A$1:B$20,2,FALSE)</f>
        <v>19.45</v>
      </c>
      <c r="Y126">
        <f>W126-VLOOKUP(X126,'Bag weights'!A$1:B$20,2,FALSE)</f>
        <v>0</v>
      </c>
      <c r="Z126" s="146">
        <v>0.1</v>
      </c>
      <c r="AA126" s="146" t="s">
        <v>302</v>
      </c>
      <c r="AB126" s="143">
        <f>Z126-VLOOKUP(AA126,'Bag weights'!A$1:B$20,2,FALSE)</f>
        <v>0.1</v>
      </c>
      <c r="AC126" s="16">
        <v>21.35</v>
      </c>
      <c r="AD126" s="16" t="s">
        <v>295</v>
      </c>
      <c r="AE126">
        <f>AC126-VLOOKUP(AD126,'Bag weights'!A$1:B$20,2,FALSE)</f>
        <v>13.520000000000001</v>
      </c>
      <c r="AH126">
        <f>AF126-VLOOKUP(AG126,'Bag weights'!A$1:B$20,2,FALSE)</f>
        <v>0</v>
      </c>
      <c r="AK126">
        <f>AI126-VLOOKUP(AJ126,'Bag weights'!A$1:B$20,2,FALSE)</f>
        <v>0</v>
      </c>
      <c r="AL126" s="16">
        <v>10.83</v>
      </c>
      <c r="AM126" s="16" t="s">
        <v>295</v>
      </c>
      <c r="AN126">
        <f>AL126-VLOOKUP(AM126,'Bag weights'!A$1:B$20,2,FALSE)</f>
        <v>3</v>
      </c>
      <c r="AQ126">
        <f>AO126-VLOOKUP(AP126,'Bag weights'!A$1:B$20,2,FALSE)</f>
        <v>0</v>
      </c>
      <c r="AT126">
        <f>AR126-VLOOKUP(AS126,'Bag weights'!A$1:B$20,2,FALSE)</f>
        <v>0</v>
      </c>
      <c r="AW126">
        <f>AU126-VLOOKUP(AV126,'Bag weights'!A$1:B$20,2,FALSE)</f>
        <v>0</v>
      </c>
      <c r="AX126">
        <f t="shared" si="1"/>
        <v>36.070000000000007</v>
      </c>
      <c r="BH126" s="16">
        <v>2.4300000000000002</v>
      </c>
    </row>
    <row r="127" spans="1:60">
      <c r="A127" s="87"/>
      <c r="B127" s="87"/>
      <c r="C127" s="87">
        <v>4</v>
      </c>
      <c r="D127" s="87" t="s">
        <v>88</v>
      </c>
      <c r="E127" s="2"/>
      <c r="F127" s="2"/>
      <c r="G127" s="2"/>
      <c r="H127" s="146">
        <v>0.21</v>
      </c>
      <c r="I127" s="146" t="s">
        <v>302</v>
      </c>
      <c r="J127" s="143">
        <f>H127-VLOOKUP(I127,'Bag weights'!A:B,2,FALSE)</f>
        <v>0.21</v>
      </c>
      <c r="M127">
        <f>K127-VLOOKUP(L127,'Bag weights'!A$1:B$20,2,FALSE)</f>
        <v>0</v>
      </c>
      <c r="N127" s="141">
        <v>0.09</v>
      </c>
      <c r="O127" s="142" t="s">
        <v>302</v>
      </c>
      <c r="P127" s="143">
        <f>N127-VLOOKUP(O127,'Bag weights'!A$1:B$20,2,FALSE)</f>
        <v>0.09</v>
      </c>
      <c r="S127">
        <f>Q127-VLOOKUP(R127,'Bag weights'!A$1:B$20,2,FALSE)</f>
        <v>0</v>
      </c>
      <c r="V127">
        <f>T127-VLOOKUP(U127,'Bag weights'!A$1:B$20,2,FALSE)</f>
        <v>0</v>
      </c>
      <c r="Y127">
        <f>W127-VLOOKUP(X127,'Bag weights'!A$1:B$20,2,FALSE)</f>
        <v>0</v>
      </c>
      <c r="Z127" s="146">
        <v>0.26</v>
      </c>
      <c r="AA127" s="146" t="s">
        <v>302</v>
      </c>
      <c r="AB127" s="143">
        <f>Z127-VLOOKUP(AA127,'Bag weights'!A$1:B$20,2,FALSE)</f>
        <v>0.26</v>
      </c>
      <c r="AE127">
        <f>AC127-VLOOKUP(AD127,'Bag weights'!A$1:B$20,2,FALSE)</f>
        <v>0</v>
      </c>
      <c r="AH127">
        <f>AF127-VLOOKUP(AG127,'Bag weights'!A$1:B$20,2,FALSE)</f>
        <v>0</v>
      </c>
      <c r="AI127" s="141">
        <v>0.22</v>
      </c>
      <c r="AJ127" s="142" t="s">
        <v>302</v>
      </c>
      <c r="AK127" s="143">
        <f>AI127-VLOOKUP(AJ127,'Bag weights'!A$1:B$20,2,FALSE)</f>
        <v>0.22</v>
      </c>
      <c r="AL127" s="16">
        <v>29.58</v>
      </c>
      <c r="AM127" s="16" t="s">
        <v>296</v>
      </c>
      <c r="AN127">
        <f>AL127-VLOOKUP(AM127,'Bag weights'!A$1:B$20,2,FALSE)</f>
        <v>27.089999999999996</v>
      </c>
      <c r="AO127" s="141">
        <v>4.82</v>
      </c>
      <c r="AP127" s="142" t="s">
        <v>296</v>
      </c>
      <c r="AQ127" s="143">
        <f>AO127-VLOOKUP(AP127,'Bag weights'!A$1:B$20,2,FALSE)</f>
        <v>2.33</v>
      </c>
      <c r="AT127">
        <f>AR127-VLOOKUP(AS127,'Bag weights'!A$1:B$20,2,FALSE)</f>
        <v>0</v>
      </c>
      <c r="AU127" s="141">
        <v>1.06</v>
      </c>
      <c r="AV127" s="142" t="s">
        <v>302</v>
      </c>
      <c r="AW127" s="143">
        <f>AU127-VLOOKUP(AV127,'Bag weights'!A$1:B$20,2,FALSE)</f>
        <v>1.06</v>
      </c>
      <c r="AX127">
        <f t="shared" si="1"/>
        <v>30.199999999999996</v>
      </c>
      <c r="BH127" s="16">
        <v>15.65</v>
      </c>
    </row>
    <row r="128" spans="1:60">
      <c r="A128" s="87"/>
      <c r="B128" s="87"/>
      <c r="C128" s="86">
        <v>5</v>
      </c>
      <c r="D128" s="86" t="s">
        <v>83</v>
      </c>
      <c r="E128" s="21"/>
      <c r="F128" s="21"/>
      <c r="G128" s="21"/>
      <c r="J128">
        <f>H128-VLOOKUP(I128,'Bag weights'!A:B,2,FALSE)</f>
        <v>0</v>
      </c>
      <c r="M128">
        <f>K128-VLOOKUP(L128,'Bag weights'!A$1:B$20,2,FALSE)</f>
        <v>0</v>
      </c>
      <c r="O128" s="122"/>
      <c r="P128">
        <f>N128-VLOOKUP(O128,'Bag weights'!A$1:B$20,2,FALSE)</f>
        <v>0</v>
      </c>
      <c r="S128">
        <f>Q128-VLOOKUP(R128,'Bag weights'!A$1:B$20,2,FALSE)</f>
        <v>0</v>
      </c>
      <c r="T128" s="16">
        <v>43.82</v>
      </c>
      <c r="U128" s="16" t="s">
        <v>276</v>
      </c>
      <c r="V128">
        <f>T128-VLOOKUP(U128,'Bag weights'!A$1:B$20,2,FALSE)</f>
        <v>22.87</v>
      </c>
      <c r="Y128">
        <f>W128-VLOOKUP(X128,'Bag weights'!A$1:B$20,2,FALSE)</f>
        <v>0</v>
      </c>
      <c r="Z128" s="141">
        <v>0.16</v>
      </c>
      <c r="AA128" s="142" t="s">
        <v>302</v>
      </c>
      <c r="AB128" s="143">
        <f>Z128-VLOOKUP(AA128,'Bag weights'!A$1:B$20,2,FALSE)</f>
        <v>0.16</v>
      </c>
      <c r="AC128" s="16">
        <v>57.96</v>
      </c>
      <c r="AD128" s="16" t="s">
        <v>276</v>
      </c>
      <c r="AE128">
        <f>AC128-VLOOKUP(AD128,'Bag weights'!A$1:B$20,2,FALSE)</f>
        <v>37.010000000000005</v>
      </c>
      <c r="AF128" s="16"/>
      <c r="AG128" s="16"/>
      <c r="AH128">
        <f>AF128-VLOOKUP(AG128,'Bag weights'!A$1:B$20,2,FALSE)</f>
        <v>0</v>
      </c>
      <c r="AI128" s="146">
        <v>0.61</v>
      </c>
      <c r="AJ128" s="146" t="s">
        <v>302</v>
      </c>
      <c r="AK128" s="143">
        <f>AI128-VLOOKUP(AJ128,'Bag weights'!A$1:B$20,2,FALSE)</f>
        <v>0.61</v>
      </c>
      <c r="AL128" s="16">
        <v>37.049999999999997</v>
      </c>
      <c r="AM128" s="16" t="s">
        <v>276</v>
      </c>
      <c r="AN128">
        <f>AL128-VLOOKUP(AM128,'Bag weights'!A$1:B$20,2,FALSE)</f>
        <v>16.099999999999998</v>
      </c>
      <c r="AO128" s="141">
        <v>3.97</v>
      </c>
      <c r="AP128" s="142" t="s">
        <v>296</v>
      </c>
      <c r="AQ128" s="143">
        <f>AO128-VLOOKUP(AP128,'Bag weights'!A$1:B$20,2,FALSE)</f>
        <v>1.48</v>
      </c>
      <c r="AT128">
        <f>AR128-VLOOKUP(AS128,'Bag weights'!A$1:B$20,2,FALSE)</f>
        <v>0</v>
      </c>
      <c r="AU128" s="141">
        <v>0.44</v>
      </c>
      <c r="AV128" s="142" t="s">
        <v>302</v>
      </c>
      <c r="AW128" s="143">
        <f>AU128-VLOOKUP(AV128,'Bag weights'!A$1:B$20,2,FALSE)</f>
        <v>0.44</v>
      </c>
      <c r="AX128">
        <f t="shared" si="1"/>
        <v>78.23</v>
      </c>
      <c r="AY128" s="16"/>
      <c r="BD128" s="120"/>
      <c r="BH128" s="16"/>
    </row>
    <row r="129" spans="1:60">
      <c r="A129" s="87"/>
      <c r="B129" s="87"/>
      <c r="C129" s="86">
        <v>5</v>
      </c>
      <c r="D129" s="86" t="s">
        <v>85</v>
      </c>
      <c r="E129" s="21"/>
      <c r="F129" s="21"/>
      <c r="G129" s="21"/>
      <c r="J129">
        <f>H129-VLOOKUP(I129,'Bag weights'!A:B,2,FALSE)</f>
        <v>0</v>
      </c>
      <c r="M129">
        <f>K129-VLOOKUP(L129,'Bag weights'!A$1:B$20,2,FALSE)</f>
        <v>0</v>
      </c>
      <c r="O129" s="122"/>
      <c r="P129">
        <f>N129-VLOOKUP(O129,'Bag weights'!A$1:B$20,2,FALSE)</f>
        <v>0</v>
      </c>
      <c r="S129">
        <f>Q129-VLOOKUP(R129,'Bag weights'!A$1:B$20,2,FALSE)</f>
        <v>0</v>
      </c>
      <c r="T129" s="16">
        <v>52.27</v>
      </c>
      <c r="U129" s="16" t="s">
        <v>276</v>
      </c>
      <c r="V129">
        <f>T129-VLOOKUP(U129,'Bag weights'!A$1:B$20,2,FALSE)</f>
        <v>31.320000000000004</v>
      </c>
      <c r="Y129">
        <f>W129-VLOOKUP(X129,'Bag weights'!A$1:B$20,2,FALSE)</f>
        <v>0</v>
      </c>
      <c r="Z129" s="16">
        <v>79.83</v>
      </c>
      <c r="AA129" s="16" t="s">
        <v>276</v>
      </c>
      <c r="AB129">
        <f>Z129-VLOOKUP(AA129,'Bag weights'!A$1:B$20,2,FALSE)</f>
        <v>58.879999999999995</v>
      </c>
      <c r="AC129" s="16">
        <v>79.150000000000006</v>
      </c>
      <c r="AD129" s="16" t="s">
        <v>276</v>
      </c>
      <c r="AE129">
        <f>AC129-VLOOKUP(AD129,'Bag weights'!A$1:B$20,2,FALSE)</f>
        <v>58.2</v>
      </c>
      <c r="AF129" s="16"/>
      <c r="AG129" s="16"/>
      <c r="AH129">
        <f>AF129-VLOOKUP(AG129,'Bag weights'!A$1:B$20,2,FALSE)</f>
        <v>0</v>
      </c>
      <c r="AK129">
        <f>AI129-VLOOKUP(AJ129,'Bag weights'!A$1:B$20,2,FALSE)</f>
        <v>0</v>
      </c>
      <c r="AL129" s="146">
        <v>2.35</v>
      </c>
      <c r="AM129" s="146" t="s">
        <v>302</v>
      </c>
      <c r="AN129" s="143">
        <f>AL129-VLOOKUP(AM129,'Bag weights'!A$1:B$20,2,FALSE)</f>
        <v>2.35</v>
      </c>
      <c r="AO129" s="146">
        <v>2.88</v>
      </c>
      <c r="AP129" s="146" t="s">
        <v>302</v>
      </c>
      <c r="AQ129" s="143">
        <f>AO129-VLOOKUP(AP129,'Bag weights'!A$1:B$20,2,FALSE)</f>
        <v>2.88</v>
      </c>
      <c r="AT129">
        <f>AR129-VLOOKUP(AS129,'Bag weights'!A$1:B$20,2,FALSE)</f>
        <v>0</v>
      </c>
      <c r="AU129" s="141">
        <v>1.04</v>
      </c>
      <c r="AV129" s="142" t="s">
        <v>302</v>
      </c>
      <c r="AW129" s="143">
        <f>AU129-VLOOKUP(AV129,'Bag weights'!A$1:B$20,2,FALSE)</f>
        <v>1.04</v>
      </c>
      <c r="AX129">
        <f t="shared" si="1"/>
        <v>153.63</v>
      </c>
      <c r="AY129" s="16"/>
      <c r="BD129" s="120"/>
      <c r="BH129" s="16"/>
    </row>
    <row r="130" spans="1:60">
      <c r="A130" s="87"/>
      <c r="B130" s="87"/>
      <c r="C130" s="86">
        <v>5</v>
      </c>
      <c r="D130" s="86" t="s">
        <v>87</v>
      </c>
      <c r="E130" s="21"/>
      <c r="F130" s="21"/>
      <c r="G130" s="21"/>
      <c r="J130">
        <f>H130-VLOOKUP(I130,'Bag weights'!A:B,2,FALSE)</f>
        <v>0</v>
      </c>
      <c r="M130">
        <f>K130-VLOOKUP(L130,'Bag weights'!A$1:B$20,2,FALSE)</f>
        <v>0</v>
      </c>
      <c r="O130" s="122"/>
      <c r="P130">
        <f>N130-VLOOKUP(O130,'Bag weights'!A$1:B$20,2,FALSE)</f>
        <v>0</v>
      </c>
      <c r="S130">
        <f>Q130-VLOOKUP(R130,'Bag weights'!A$1:B$20,2,FALSE)</f>
        <v>0</v>
      </c>
      <c r="T130" s="16">
        <v>51.06</v>
      </c>
      <c r="U130" s="16" t="s">
        <v>276</v>
      </c>
      <c r="V130">
        <f>T130-VLOOKUP(U130,'Bag weights'!A$1:B$20,2,FALSE)</f>
        <v>30.110000000000003</v>
      </c>
      <c r="Y130">
        <f>W130-VLOOKUP(X130,'Bag weights'!A$1:B$20,2,FALSE)</f>
        <v>0</v>
      </c>
      <c r="Z130" s="16"/>
      <c r="AA130" s="16"/>
      <c r="AB130">
        <f>Z130-VLOOKUP(AA130,'Bag weights'!A$1:B$20,2,FALSE)</f>
        <v>0</v>
      </c>
      <c r="AC130" s="16">
        <v>37.1</v>
      </c>
      <c r="AD130" s="16" t="s">
        <v>276</v>
      </c>
      <c r="AE130">
        <f>AC130-VLOOKUP(AD130,'Bag weights'!A$1:B$20,2,FALSE)</f>
        <v>16.150000000000002</v>
      </c>
      <c r="AF130" s="16"/>
      <c r="AG130" s="16"/>
      <c r="AH130">
        <f>AF130-VLOOKUP(AG130,'Bag weights'!A$1:B$20,2,FALSE)</f>
        <v>0</v>
      </c>
      <c r="AI130" s="146">
        <v>0.08</v>
      </c>
      <c r="AJ130" s="146" t="s">
        <v>302</v>
      </c>
      <c r="AK130" s="143">
        <f>AI130-VLOOKUP(AJ130,'Bag weights'!A$1:B$20,2,FALSE)</f>
        <v>0.08</v>
      </c>
      <c r="AL130" s="16">
        <v>12.06</v>
      </c>
      <c r="AM130" s="16" t="s">
        <v>295</v>
      </c>
      <c r="AN130">
        <f>AL130-VLOOKUP(AM130,'Bag weights'!A$1:B$20,2,FALSE)</f>
        <v>4.2300000000000004</v>
      </c>
      <c r="AO130" s="146">
        <v>0.75</v>
      </c>
      <c r="AP130" s="146" t="s">
        <v>302</v>
      </c>
      <c r="AQ130" s="143">
        <f>AO130-VLOOKUP(AP130,'Bag weights'!A$1:B$20,2,FALSE)</f>
        <v>0.75</v>
      </c>
      <c r="AT130">
        <f>AR130-VLOOKUP(AS130,'Bag weights'!A$1:B$20,2,FALSE)</f>
        <v>0</v>
      </c>
      <c r="AU130" s="146">
        <v>1.89</v>
      </c>
      <c r="AV130" s="146" t="s">
        <v>302</v>
      </c>
      <c r="AW130" s="143">
        <f>AU130-VLOOKUP(AV130,'Bag weights'!A$1:B$20,2,FALSE)</f>
        <v>1.89</v>
      </c>
      <c r="AX130">
        <f t="shared" si="1"/>
        <v>51.320000000000007</v>
      </c>
      <c r="AY130" s="16"/>
      <c r="BD130" s="120"/>
      <c r="BH130" s="16"/>
    </row>
    <row r="131" spans="1:60">
      <c r="A131" s="87"/>
      <c r="B131" s="87"/>
      <c r="C131" s="86">
        <v>5</v>
      </c>
      <c r="D131" s="86" t="s">
        <v>79</v>
      </c>
      <c r="E131" s="21"/>
      <c r="F131" s="21"/>
      <c r="G131" s="21"/>
      <c r="J131">
        <f>H131-VLOOKUP(I131,'Bag weights'!A:B,2,FALSE)</f>
        <v>0</v>
      </c>
      <c r="M131">
        <f>K131-VLOOKUP(L131,'Bag weights'!A$1:B$20,2,FALSE)</f>
        <v>0</v>
      </c>
      <c r="O131" s="122"/>
      <c r="P131">
        <f>N131-VLOOKUP(O131,'Bag weights'!A$1:B$20,2,FALSE)</f>
        <v>0</v>
      </c>
      <c r="S131">
        <f>Q131-VLOOKUP(R131,'Bag weights'!A$1:B$20,2,FALSE)</f>
        <v>0</v>
      </c>
      <c r="T131" s="16">
        <v>48.51</v>
      </c>
      <c r="U131" s="16" t="s">
        <v>276</v>
      </c>
      <c r="V131">
        <f>T131-VLOOKUP(U131,'Bag weights'!A$1:B$20,2,FALSE)</f>
        <v>27.56</v>
      </c>
      <c r="Y131">
        <f>W131-VLOOKUP(X131,'Bag weights'!A$1:B$20,2,FALSE)</f>
        <v>0</v>
      </c>
      <c r="AB131">
        <f>Z131-VLOOKUP(AA131,'Bag weights'!A$1:B$20,2,FALSE)</f>
        <v>0</v>
      </c>
      <c r="AC131" s="16">
        <v>45.2</v>
      </c>
      <c r="AD131" s="16" t="s">
        <v>276</v>
      </c>
      <c r="AE131">
        <f>AC131-VLOOKUP(AD131,'Bag weights'!A$1:B$20,2,FALSE)</f>
        <v>24.250000000000004</v>
      </c>
      <c r="AF131" s="146">
        <v>1.01</v>
      </c>
      <c r="AG131" s="146" t="s">
        <v>302</v>
      </c>
      <c r="AH131" s="143">
        <f>AF131-VLOOKUP(AG131,'Bag weights'!A$1:B$20,2,FALSE)</f>
        <v>1.01</v>
      </c>
      <c r="AK131">
        <f>AI131-VLOOKUP(AJ131,'Bag weights'!A$1:B$20,2,FALSE)</f>
        <v>0</v>
      </c>
      <c r="AL131" s="16">
        <v>12.82</v>
      </c>
      <c r="AM131" s="16" t="s">
        <v>295</v>
      </c>
      <c r="AN131">
        <f>AL131-VLOOKUP(AM131,'Bag weights'!A$1:B$20,2,FALSE)</f>
        <v>4.99</v>
      </c>
      <c r="AO131" s="146">
        <v>0.94</v>
      </c>
      <c r="AP131" s="146" t="s">
        <v>302</v>
      </c>
      <c r="AQ131" s="143">
        <f>AO131-VLOOKUP(AP131,'Bag weights'!A$1:B$20,2,FALSE)</f>
        <v>0.94</v>
      </c>
      <c r="AT131">
        <f>AR131-VLOOKUP(AS131,'Bag weights'!A$1:B$20,2,FALSE)</f>
        <v>0</v>
      </c>
      <c r="AU131" s="146">
        <v>0.68</v>
      </c>
      <c r="AV131" s="146" t="s">
        <v>302</v>
      </c>
      <c r="AW131" s="143">
        <f>AU131-VLOOKUP(AV131,'Bag weights'!A$1:B$20,2,FALSE)</f>
        <v>0.68</v>
      </c>
      <c r="AX131">
        <f t="shared" si="1"/>
        <v>58.75</v>
      </c>
      <c r="AY131" s="16"/>
      <c r="BD131" s="120"/>
      <c r="BH131" s="16"/>
    </row>
    <row r="132" spans="1:60">
      <c r="A132" s="87"/>
      <c r="B132" s="87"/>
      <c r="C132" s="86">
        <v>5</v>
      </c>
      <c r="D132" s="86" t="s">
        <v>88</v>
      </c>
      <c r="E132" s="21"/>
      <c r="F132" s="21"/>
      <c r="G132" s="21"/>
      <c r="J132">
        <f>H132-VLOOKUP(I132,'Bag weights'!A:B,2,FALSE)</f>
        <v>0</v>
      </c>
      <c r="M132">
        <f>K132-VLOOKUP(L132,'Bag weights'!A$1:B$20,2,FALSE)</f>
        <v>0</v>
      </c>
      <c r="O132" s="122"/>
      <c r="P132">
        <f>N132-VLOOKUP(O132,'Bag weights'!A$1:B$20,2,FALSE)</f>
        <v>0</v>
      </c>
      <c r="S132">
        <f>Q132-VLOOKUP(R132,'Bag weights'!A$1:B$20,2,FALSE)</f>
        <v>0</v>
      </c>
      <c r="T132" s="16">
        <v>43.46</v>
      </c>
      <c r="U132" s="16" t="s">
        <v>276</v>
      </c>
      <c r="V132">
        <f>T132-VLOOKUP(U132,'Bag weights'!A$1:B$20,2,FALSE)</f>
        <v>22.51</v>
      </c>
      <c r="Y132">
        <f>W132-VLOOKUP(X132,'Bag weights'!A$1:B$20,2,FALSE)</f>
        <v>0</v>
      </c>
      <c r="Z132" s="16">
        <v>11.07</v>
      </c>
      <c r="AA132" s="16" t="s">
        <v>295</v>
      </c>
      <c r="AB132">
        <f>Z132-VLOOKUP(AA132,'Bag weights'!A$1:B$20,2,FALSE)</f>
        <v>3.24</v>
      </c>
      <c r="AC132" s="16">
        <v>41.8</v>
      </c>
      <c r="AD132" s="16" t="s">
        <v>276</v>
      </c>
      <c r="AE132">
        <f>AC132-VLOOKUP(AD132,'Bag weights'!A$1:B$20,2,FALSE)</f>
        <v>20.849999999999998</v>
      </c>
      <c r="AF132" s="16"/>
      <c r="AG132" s="16"/>
      <c r="AH132">
        <f>AF132-VLOOKUP(AG132,'Bag weights'!A$1:B$20,2,FALSE)</f>
        <v>0</v>
      </c>
      <c r="AK132">
        <f>AI132-VLOOKUP(AJ132,'Bag weights'!A$1:B$20,2,FALSE)</f>
        <v>0</v>
      </c>
      <c r="AL132" s="16">
        <v>34.96</v>
      </c>
      <c r="AM132" s="16" t="s">
        <v>276</v>
      </c>
      <c r="AN132">
        <f>AL132-VLOOKUP(AM132,'Bag weights'!A$1:B$20,2,FALSE)</f>
        <v>14.010000000000002</v>
      </c>
      <c r="AO132" s="146">
        <v>1.24</v>
      </c>
      <c r="AP132" s="146" t="s">
        <v>302</v>
      </c>
      <c r="AQ132" s="143">
        <f>AO132-VLOOKUP(AP132,'Bag weights'!A$1:B$20,2,FALSE)</f>
        <v>1.24</v>
      </c>
      <c r="AT132">
        <f>AR132-VLOOKUP(AS132,'Bag weights'!A$1:B$20,2,FALSE)</f>
        <v>0</v>
      </c>
      <c r="AU132" s="146">
        <v>1.69</v>
      </c>
      <c r="AV132" s="146" t="s">
        <v>302</v>
      </c>
      <c r="AW132" s="143">
        <f>AU132-VLOOKUP(AV132,'Bag weights'!A$1:B$20,2,FALSE)</f>
        <v>1.69</v>
      </c>
      <c r="AX132">
        <f t="shared" si="1"/>
        <v>61.850000000000009</v>
      </c>
      <c r="AY132" s="16"/>
      <c r="BD132" s="120"/>
      <c r="BH132" s="16"/>
    </row>
    <row r="133" spans="1:60">
      <c r="A133" s="87" t="s">
        <v>78</v>
      </c>
      <c r="B133" s="87" t="s">
        <v>105</v>
      </c>
      <c r="C133" s="87">
        <v>1</v>
      </c>
      <c r="D133" s="87" t="s">
        <v>83</v>
      </c>
      <c r="E133" s="2"/>
      <c r="F133" s="2"/>
      <c r="G133" s="2"/>
      <c r="J133">
        <f>H133-VLOOKUP(I133,'Bag weights'!A:B,2,FALSE)</f>
        <v>0</v>
      </c>
      <c r="M133">
        <f>K133-VLOOKUP(L133,'Bag weights'!A$1:B$20,2,FALSE)</f>
        <v>0</v>
      </c>
      <c r="O133" s="122"/>
      <c r="P133">
        <f>N133-VLOOKUP(O133,'Bag weights'!A$1:B$20,2,FALSE)</f>
        <v>0</v>
      </c>
      <c r="S133">
        <f>Q133-VLOOKUP(R133,'Bag weights'!A$1:B$20,2,FALSE)</f>
        <v>0</v>
      </c>
      <c r="T133" s="16">
        <v>20.51</v>
      </c>
      <c r="U133" s="16" t="s">
        <v>302</v>
      </c>
      <c r="V133">
        <f>T133-VLOOKUP(U133,'Bag weights'!A$1:B$20,2,FALSE)</f>
        <v>20.51</v>
      </c>
      <c r="Y133">
        <f>W133-VLOOKUP(X133,'Bag weights'!A$1:B$20,2,FALSE)</f>
        <v>0</v>
      </c>
      <c r="AB133">
        <f>Z133-VLOOKUP(AA133,'Bag weights'!A$1:B$20,2,FALSE)</f>
        <v>0</v>
      </c>
      <c r="AC133" s="16">
        <v>37.26</v>
      </c>
      <c r="AD133" s="16" t="s">
        <v>302</v>
      </c>
      <c r="AE133">
        <f>AC133-VLOOKUP(AD133,'Bag weights'!A$1:B$20,2,FALSE)</f>
        <v>37.26</v>
      </c>
      <c r="AF133" s="141">
        <v>0.12</v>
      </c>
      <c r="AG133" s="142" t="s">
        <v>302</v>
      </c>
      <c r="AH133" s="143">
        <f>AF133-VLOOKUP(AG133,'Bag weights'!A$1:B$20,2,FALSE)</f>
        <v>0.12</v>
      </c>
      <c r="AK133">
        <f>AI133-VLOOKUP(AJ133,'Bag weights'!A$1:B$20,2,FALSE)</f>
        <v>0</v>
      </c>
      <c r="AL133" s="140">
        <v>29.71</v>
      </c>
      <c r="AM133" s="140" t="s">
        <v>302</v>
      </c>
      <c r="AN133">
        <f>AL133-VLOOKUP(AM133,'Bag weights'!A$1:B$20,2,FALSE)</f>
        <v>29.71</v>
      </c>
      <c r="AO133" s="146">
        <v>1.58</v>
      </c>
      <c r="AP133" s="146" t="s">
        <v>302</v>
      </c>
      <c r="AQ133" s="143">
        <f>AO133-VLOOKUP(AP133,'Bag weights'!A$1:B$20,2,FALSE)</f>
        <v>1.58</v>
      </c>
      <c r="AT133">
        <f>AR133-VLOOKUP(AS133,'Bag weights'!A$1:B$20,2,FALSE)</f>
        <v>0</v>
      </c>
      <c r="AU133" s="141">
        <v>0.79</v>
      </c>
      <c r="AV133" s="142" t="s">
        <v>302</v>
      </c>
      <c r="AW133" s="143">
        <f>AU133-VLOOKUP(AV133,'Bag weights'!A$1:B$20,2,FALSE)</f>
        <v>0.79</v>
      </c>
      <c r="AX133">
        <f t="shared" si="1"/>
        <v>89.18</v>
      </c>
      <c r="AY133" s="16" t="s">
        <v>342</v>
      </c>
      <c r="BD133" s="120">
        <v>9.1999999999999993</v>
      </c>
      <c r="BH133" s="16">
        <v>3.72</v>
      </c>
    </row>
    <row r="134" spans="1:60">
      <c r="A134" s="86" t="s">
        <v>333</v>
      </c>
      <c r="B134" s="87"/>
      <c r="C134" s="87">
        <v>1</v>
      </c>
      <c r="D134" s="87" t="s">
        <v>85</v>
      </c>
      <c r="E134" s="2"/>
      <c r="F134" s="2"/>
      <c r="G134" s="2"/>
      <c r="J134">
        <f>H134-VLOOKUP(I134,'Bag weights'!A:B,2,FALSE)</f>
        <v>0</v>
      </c>
      <c r="M134">
        <f>K134-VLOOKUP(L134,'Bag weights'!A$1:B$20,2,FALSE)</f>
        <v>0</v>
      </c>
      <c r="O134" s="122"/>
      <c r="P134">
        <f>N134-VLOOKUP(O134,'Bag weights'!A$1:B$20,2,FALSE)</f>
        <v>0</v>
      </c>
      <c r="S134">
        <f>Q134-VLOOKUP(R134,'Bag weights'!A$1:B$20,2,FALSE)</f>
        <v>0</v>
      </c>
      <c r="T134" s="16">
        <v>29.03</v>
      </c>
      <c r="U134" s="16" t="s">
        <v>302</v>
      </c>
      <c r="V134">
        <f>T134-VLOOKUP(U134,'Bag weights'!A$1:B$20,2,FALSE)</f>
        <v>29.03</v>
      </c>
      <c r="Y134">
        <f>W134-VLOOKUP(X134,'Bag weights'!A$1:B$20,2,FALSE)</f>
        <v>0</v>
      </c>
      <c r="AB134">
        <f>Z134-VLOOKUP(AA134,'Bag weights'!A$1:B$20,2,FALSE)</f>
        <v>0</v>
      </c>
      <c r="AC134" s="16">
        <v>24.63</v>
      </c>
      <c r="AD134" s="16" t="s">
        <v>302</v>
      </c>
      <c r="AE134">
        <f>AC134-VLOOKUP(AD134,'Bag weights'!A$1:B$20,2,FALSE)</f>
        <v>24.63</v>
      </c>
      <c r="AH134">
        <f>AF134-VLOOKUP(AG134,'Bag weights'!A$1:B$20,2,FALSE)</f>
        <v>0</v>
      </c>
      <c r="AI134" s="141">
        <v>0.31</v>
      </c>
      <c r="AJ134" s="142" t="s">
        <v>302</v>
      </c>
      <c r="AK134" s="143">
        <f>AI134-VLOOKUP(AJ134,'Bag weights'!A$1:B$20,2,FALSE)</f>
        <v>0.31</v>
      </c>
      <c r="AL134" s="16">
        <v>26.04</v>
      </c>
      <c r="AM134" s="16" t="s">
        <v>302</v>
      </c>
      <c r="AN134">
        <f>AL134-VLOOKUP(AM134,'Bag weights'!A$1:B$20,2,FALSE)</f>
        <v>26.04</v>
      </c>
      <c r="AO134" s="146">
        <v>1.78</v>
      </c>
      <c r="AP134" s="146" t="s">
        <v>302</v>
      </c>
      <c r="AQ134" s="143">
        <f>AO134-VLOOKUP(AP134,'Bag weights'!A$1:B$20,2,FALSE)</f>
        <v>1.78</v>
      </c>
      <c r="AT134">
        <f>AR134-VLOOKUP(AS134,'Bag weights'!A$1:B$20,2,FALSE)</f>
        <v>0</v>
      </c>
      <c r="AU134" s="141">
        <v>0.81</v>
      </c>
      <c r="AV134" s="142" t="s">
        <v>302</v>
      </c>
      <c r="AW134" s="143">
        <f>AU134-VLOOKUP(AV134,'Bag weights'!A$1:B$20,2,FALSE)</f>
        <v>0.81</v>
      </c>
      <c r="AX134">
        <f t="shared" si="1"/>
        <v>81.789999999999992</v>
      </c>
      <c r="AY134" s="16" t="s">
        <v>343</v>
      </c>
      <c r="BD134" s="120">
        <v>2.9</v>
      </c>
      <c r="BH134" s="16">
        <v>1.35</v>
      </c>
    </row>
    <row r="135" spans="1:60">
      <c r="A135" s="87"/>
      <c r="B135" s="87"/>
      <c r="C135" s="87">
        <v>1</v>
      </c>
      <c r="D135" s="87" t="s">
        <v>87</v>
      </c>
      <c r="E135" s="2"/>
      <c r="F135" s="2"/>
      <c r="G135" s="2"/>
      <c r="J135">
        <f>H135-VLOOKUP(I135,'Bag weights'!A:B,2,FALSE)</f>
        <v>0</v>
      </c>
      <c r="M135">
        <f>K135-VLOOKUP(L135,'Bag weights'!A$1:B$20,2,FALSE)</f>
        <v>0</v>
      </c>
      <c r="O135" s="122"/>
      <c r="P135">
        <f>N135-VLOOKUP(O135,'Bag weights'!A$1:B$20,2,FALSE)</f>
        <v>0</v>
      </c>
      <c r="S135">
        <f>Q135-VLOOKUP(R135,'Bag weights'!A$1:B$20,2,FALSE)</f>
        <v>0</v>
      </c>
      <c r="T135" s="16">
        <v>41.17</v>
      </c>
      <c r="U135" s="16" t="s">
        <v>276</v>
      </c>
      <c r="V135">
        <f>T135-VLOOKUP(U135,'Bag weights'!A$1:B$20,2,FALSE)</f>
        <v>20.220000000000002</v>
      </c>
      <c r="Y135">
        <f>W135-VLOOKUP(X135,'Bag weights'!A$1:B$20,2,FALSE)</f>
        <v>0</v>
      </c>
      <c r="AB135">
        <f>Z135-VLOOKUP(AA135,'Bag weights'!A$1:B$20,2,FALSE)</f>
        <v>0</v>
      </c>
      <c r="AC135" s="16">
        <v>71.989999999999995</v>
      </c>
      <c r="AD135" s="16" t="s">
        <v>276</v>
      </c>
      <c r="AE135">
        <f>AC135-VLOOKUP(AD135,'Bag weights'!A$1:B$20,2,FALSE)</f>
        <v>51.039999999999992</v>
      </c>
      <c r="AH135">
        <f>AF135-VLOOKUP(AG135,'Bag weights'!A$1:B$20,2,FALSE)</f>
        <v>0</v>
      </c>
      <c r="AI135" s="16"/>
      <c r="AJ135" s="16"/>
      <c r="AK135">
        <f>AI135-VLOOKUP(AJ135,'Bag weights'!A$1:B$20,2,FALSE)</f>
        <v>0</v>
      </c>
      <c r="AL135" s="16">
        <v>38.270000000000003</v>
      </c>
      <c r="AM135" s="16" t="s">
        <v>294</v>
      </c>
      <c r="AN135">
        <f>AL135-VLOOKUP(AM135,'Bag weights'!A$1:B$20,2,FALSE)</f>
        <v>23.89</v>
      </c>
      <c r="AO135" s="146">
        <v>1.33</v>
      </c>
      <c r="AP135" s="146" t="s">
        <v>302</v>
      </c>
      <c r="AQ135" s="143">
        <f>AO135-VLOOKUP(AP135,'Bag weights'!A$1:B$20,2,FALSE)</f>
        <v>1.33</v>
      </c>
      <c r="AT135">
        <f>AR135-VLOOKUP(AS135,'Bag weights'!A$1:B$20,2,FALSE)</f>
        <v>0</v>
      </c>
      <c r="AU135" s="146">
        <v>0.54</v>
      </c>
      <c r="AV135" s="146" t="s">
        <v>302</v>
      </c>
      <c r="AW135" s="143">
        <f>AU135-VLOOKUP(AV135,'Bag weights'!A$1:B$20,2,FALSE)</f>
        <v>0.54</v>
      </c>
      <c r="AX135">
        <f t="shared" si="1"/>
        <v>96.47999999999999</v>
      </c>
      <c r="AY135" s="16" t="s">
        <v>344</v>
      </c>
      <c r="BD135" s="120">
        <v>19.399999999999999</v>
      </c>
      <c r="BH135" s="16">
        <v>2.63</v>
      </c>
    </row>
    <row r="136" spans="1:60">
      <c r="A136" s="87"/>
      <c r="B136" s="87"/>
      <c r="C136" s="87">
        <v>1</v>
      </c>
      <c r="D136" s="87" t="s">
        <v>79</v>
      </c>
      <c r="E136" s="2"/>
      <c r="F136" s="2"/>
      <c r="G136" s="2"/>
      <c r="H136" s="141">
        <v>0.1</v>
      </c>
      <c r="I136" s="142" t="s">
        <v>302</v>
      </c>
      <c r="J136" s="143">
        <f>H136-VLOOKUP(I136,'Bag weights'!A:B,2,FALSE)</f>
        <v>0.1</v>
      </c>
      <c r="M136">
        <f>K136-VLOOKUP(L136,'Bag weights'!A$1:B$20,2,FALSE)</f>
        <v>0</v>
      </c>
      <c r="O136" s="122"/>
      <c r="P136">
        <f>N136-VLOOKUP(O136,'Bag weights'!A$1:B$20,2,FALSE)</f>
        <v>0</v>
      </c>
      <c r="S136">
        <f>Q136-VLOOKUP(R136,'Bag weights'!A$1:B$20,2,FALSE)</f>
        <v>0</v>
      </c>
      <c r="T136" s="16">
        <v>42.69</v>
      </c>
      <c r="U136" s="16" t="s">
        <v>276</v>
      </c>
      <c r="V136">
        <f>T136-VLOOKUP(U136,'Bag weights'!A$1:B$20,2,FALSE)</f>
        <v>21.74</v>
      </c>
      <c r="Y136">
        <f>W136-VLOOKUP(X136,'Bag weights'!A$1:B$20,2,FALSE)</f>
        <v>0</v>
      </c>
      <c r="AB136">
        <f>Z136-VLOOKUP(AA136,'Bag weights'!A$1:B$20,2,FALSE)</f>
        <v>0</v>
      </c>
      <c r="AC136" s="16">
        <v>63.91</v>
      </c>
      <c r="AD136" s="16" t="s">
        <v>276</v>
      </c>
      <c r="AE136">
        <f>AC136-VLOOKUP(AD136,'Bag weights'!A$1:B$20,2,FALSE)</f>
        <v>42.959999999999994</v>
      </c>
      <c r="AH136">
        <f>AF136-VLOOKUP(AG136,'Bag weights'!A$1:B$20,2,FALSE)</f>
        <v>0</v>
      </c>
      <c r="AI136" s="146">
        <v>1.06</v>
      </c>
      <c r="AJ136" s="146" t="s">
        <v>302</v>
      </c>
      <c r="AK136" s="143">
        <f>AI136-VLOOKUP(AJ136,'Bag weights'!A$1:B$20,2,FALSE)</f>
        <v>1.06</v>
      </c>
      <c r="AL136" s="16">
        <v>32.75</v>
      </c>
      <c r="AM136" s="16" t="s">
        <v>294</v>
      </c>
      <c r="AN136">
        <f>AL136-VLOOKUP(AM136,'Bag weights'!A$1:B$20,2,FALSE)</f>
        <v>18.369999999999997</v>
      </c>
      <c r="AO136" s="141">
        <v>4.03</v>
      </c>
      <c r="AP136" s="142" t="s">
        <v>296</v>
      </c>
      <c r="AQ136" s="143">
        <f>AO136-VLOOKUP(AP136,'Bag weights'!A$1:B$20,2,FALSE)</f>
        <v>1.54</v>
      </c>
      <c r="AT136">
        <f>AR136-VLOOKUP(AS136,'Bag weights'!A$1:B$20,2,FALSE)</f>
        <v>0</v>
      </c>
      <c r="AU136" s="146">
        <v>0.81</v>
      </c>
      <c r="AV136" s="146" t="s">
        <v>302</v>
      </c>
      <c r="AW136" s="143">
        <f>AU136-VLOOKUP(AV136,'Bag weights'!A$1:B$20,2,FALSE)</f>
        <v>0.81</v>
      </c>
      <c r="AX136">
        <f t="shared" si="1"/>
        <v>85.769999999999982</v>
      </c>
      <c r="BH136" s="16">
        <v>0.9</v>
      </c>
    </row>
    <row r="137" spans="1:60">
      <c r="A137" s="87"/>
      <c r="B137" s="87"/>
      <c r="C137" s="87">
        <v>1</v>
      </c>
      <c r="D137" s="87" t="s">
        <v>88</v>
      </c>
      <c r="E137" s="2"/>
      <c r="F137" s="2"/>
      <c r="G137" s="2"/>
      <c r="J137">
        <f>H137-VLOOKUP(I137,'Bag weights'!A:B,2,FALSE)</f>
        <v>0</v>
      </c>
      <c r="M137">
        <f>K137-VLOOKUP(L137,'Bag weights'!A$1:B$20,2,FALSE)</f>
        <v>0</v>
      </c>
      <c r="O137" s="122"/>
      <c r="P137">
        <f>N137-VLOOKUP(O137,'Bag weights'!A$1:B$20,2,FALSE)</f>
        <v>0</v>
      </c>
      <c r="S137">
        <f>Q137-VLOOKUP(R137,'Bag weights'!A$1:B$20,2,FALSE)</f>
        <v>0</v>
      </c>
      <c r="T137" s="16">
        <v>33.14</v>
      </c>
      <c r="U137" s="16" t="s">
        <v>302</v>
      </c>
      <c r="V137">
        <f>T137-VLOOKUP(U137,'Bag weights'!A$1:B$20,2,FALSE)</f>
        <v>33.14</v>
      </c>
      <c r="Y137">
        <f>W137-VLOOKUP(X137,'Bag weights'!A$1:B$20,2,FALSE)</f>
        <v>0</v>
      </c>
      <c r="AB137">
        <f>Z137-VLOOKUP(AA137,'Bag weights'!A$1:B$20,2,FALSE)</f>
        <v>0</v>
      </c>
      <c r="AC137" s="16">
        <v>24.38</v>
      </c>
      <c r="AD137" s="16" t="s">
        <v>302</v>
      </c>
      <c r="AE137">
        <f>AC137-VLOOKUP(AD137,'Bag weights'!A$1:B$20,2,FALSE)</f>
        <v>24.38</v>
      </c>
      <c r="AF137" s="146">
        <v>0.66</v>
      </c>
      <c r="AG137" s="146" t="s">
        <v>302</v>
      </c>
      <c r="AH137" s="143">
        <f>AF137-VLOOKUP(AG137,'Bag weights'!A$1:B$20,2,FALSE)</f>
        <v>0.66</v>
      </c>
      <c r="AI137" s="146">
        <v>0.09</v>
      </c>
      <c r="AJ137" s="146" t="s">
        <v>302</v>
      </c>
      <c r="AK137" s="143">
        <f>AI137-VLOOKUP(AJ137,'Bag weights'!A$1:B$20,2,FALSE)</f>
        <v>0.09</v>
      </c>
      <c r="AL137" s="16">
        <v>5.79</v>
      </c>
      <c r="AM137" s="16" t="s">
        <v>302</v>
      </c>
      <c r="AN137">
        <f>AL137-VLOOKUP(AM137,'Bag weights'!A$1:B$20,2,FALSE)</f>
        <v>5.79</v>
      </c>
      <c r="AO137" s="146">
        <v>1.22</v>
      </c>
      <c r="AP137" s="146" t="s">
        <v>302</v>
      </c>
      <c r="AQ137" s="143">
        <f>AO137-VLOOKUP(AP137,'Bag weights'!A$1:B$20,2,FALSE)</f>
        <v>1.22</v>
      </c>
      <c r="AT137">
        <f>AR137-VLOOKUP(AS137,'Bag weights'!A$1:B$20,2,FALSE)</f>
        <v>0</v>
      </c>
      <c r="AU137" s="146">
        <v>1.1299999999999999</v>
      </c>
      <c r="AV137" s="146" t="s">
        <v>302</v>
      </c>
      <c r="AW137" s="143">
        <f>AU137-VLOOKUP(AV137,'Bag weights'!A$1:B$20,2,FALSE)</f>
        <v>1.1299999999999999</v>
      </c>
      <c r="AX137">
        <f t="shared" si="1"/>
        <v>65.28</v>
      </c>
      <c r="BH137" s="16">
        <v>1.03</v>
      </c>
    </row>
    <row r="138" spans="1:60">
      <c r="A138" s="87"/>
      <c r="B138" s="87"/>
      <c r="C138" s="87">
        <v>2</v>
      </c>
      <c r="D138" s="87" t="s">
        <v>83</v>
      </c>
      <c r="E138" s="2"/>
      <c r="F138" s="2"/>
      <c r="G138" s="2"/>
      <c r="H138" s="141">
        <v>0.18</v>
      </c>
      <c r="I138" s="142" t="s">
        <v>302</v>
      </c>
      <c r="J138" s="143">
        <f>H138-VLOOKUP(I138,'Bag weights'!A:B,2,FALSE)</f>
        <v>0.18</v>
      </c>
      <c r="M138">
        <f>K138-VLOOKUP(L138,'Bag weights'!A$1:B$20,2,FALSE)</f>
        <v>0</v>
      </c>
      <c r="O138" s="122"/>
      <c r="P138">
        <f>N138-VLOOKUP(O138,'Bag weights'!A$1:B$20,2,FALSE)</f>
        <v>0</v>
      </c>
      <c r="S138">
        <f>Q138-VLOOKUP(R138,'Bag weights'!A$1:B$20,2,FALSE)</f>
        <v>0</v>
      </c>
      <c r="T138" s="16">
        <v>30.98</v>
      </c>
      <c r="U138" s="16" t="s">
        <v>302</v>
      </c>
      <c r="V138">
        <f>T138-VLOOKUP(U138,'Bag weights'!A$1:B$20,2,FALSE)</f>
        <v>30.98</v>
      </c>
      <c r="Y138">
        <f>W138-VLOOKUP(X138,'Bag weights'!A$1:B$20,2,FALSE)</f>
        <v>0</v>
      </c>
      <c r="AB138">
        <f>Z138-VLOOKUP(AA138,'Bag weights'!A$1:B$20,2,FALSE)</f>
        <v>0</v>
      </c>
      <c r="AC138" s="16">
        <v>38.909999999999997</v>
      </c>
      <c r="AE138">
        <f>AC138-VLOOKUP(AD138,'Bag weights'!A$1:B$20,2,FALSE)</f>
        <v>38.909999999999997</v>
      </c>
      <c r="AH138">
        <f>AF138-VLOOKUP(AG138,'Bag weights'!A$1:B$20,2,FALSE)</f>
        <v>0</v>
      </c>
      <c r="AI138" s="141">
        <v>0.31</v>
      </c>
      <c r="AJ138" s="142" t="s">
        <v>302</v>
      </c>
      <c r="AK138" s="143">
        <f>AI138-VLOOKUP(AJ138,'Bag weights'!A$1:B$20,2,FALSE)</f>
        <v>0.31</v>
      </c>
      <c r="AL138" s="16">
        <v>20.58</v>
      </c>
      <c r="AM138" s="16" t="s">
        <v>302</v>
      </c>
      <c r="AN138">
        <f>AL138-VLOOKUP(AM138,'Bag weights'!A$1:B$20,2,FALSE)</f>
        <v>20.58</v>
      </c>
      <c r="AO138" s="146">
        <v>2.4</v>
      </c>
      <c r="AP138" s="146" t="s">
        <v>302</v>
      </c>
      <c r="AQ138" s="143">
        <f>AO138-VLOOKUP(AP138,'Bag weights'!A$1:B$20,2,FALSE)</f>
        <v>2.4</v>
      </c>
      <c r="AT138">
        <f>AR138-VLOOKUP(AS138,'Bag weights'!A$1:B$20,2,FALSE)</f>
        <v>0</v>
      </c>
      <c r="AU138" s="146">
        <v>1.28</v>
      </c>
      <c r="AV138" s="146" t="s">
        <v>302</v>
      </c>
      <c r="AW138" s="143">
        <f>AU138-VLOOKUP(AV138,'Bag weights'!A$1:B$20,2,FALSE)</f>
        <v>1.28</v>
      </c>
      <c r="AX138">
        <f t="shared" si="1"/>
        <v>93.36</v>
      </c>
      <c r="AY138" s="16" t="s">
        <v>345</v>
      </c>
      <c r="BD138" s="120">
        <v>10.5</v>
      </c>
      <c r="BH138" s="16">
        <v>2.94</v>
      </c>
    </row>
    <row r="139" spans="1:60">
      <c r="A139" s="87"/>
      <c r="B139" s="87"/>
      <c r="C139" s="87">
        <v>2</v>
      </c>
      <c r="D139" s="87" t="s">
        <v>85</v>
      </c>
      <c r="E139" s="2"/>
      <c r="F139" s="2"/>
      <c r="G139" s="2"/>
      <c r="J139">
        <f>H139-VLOOKUP(I139,'Bag weights'!A:B,2,FALSE)</f>
        <v>0</v>
      </c>
      <c r="M139">
        <f>K139-VLOOKUP(L139,'Bag weights'!A$1:B$20,2,FALSE)</f>
        <v>0</v>
      </c>
      <c r="O139" s="122"/>
      <c r="P139">
        <f>N139-VLOOKUP(O139,'Bag weights'!A$1:B$20,2,FALSE)</f>
        <v>0</v>
      </c>
      <c r="S139">
        <f>Q139-VLOOKUP(R139,'Bag weights'!A$1:B$20,2,FALSE)</f>
        <v>0</v>
      </c>
      <c r="T139" s="16">
        <v>49.06</v>
      </c>
      <c r="U139" s="16" t="s">
        <v>276</v>
      </c>
      <c r="V139">
        <f>T139-VLOOKUP(U139,'Bag weights'!A$1:B$20,2,FALSE)</f>
        <v>28.110000000000003</v>
      </c>
      <c r="Y139">
        <f>W139-VLOOKUP(X139,'Bag weights'!A$1:B$20,2,FALSE)</f>
        <v>0</v>
      </c>
      <c r="AB139">
        <f>Z139-VLOOKUP(AA139,'Bag weights'!A$1:B$20,2,FALSE)</f>
        <v>0</v>
      </c>
      <c r="AC139" s="16">
        <v>61.02</v>
      </c>
      <c r="AD139" s="16" t="s">
        <v>276</v>
      </c>
      <c r="AE139">
        <f>AC139-VLOOKUP(AD139,'Bag weights'!A$1:B$20,2,FALSE)</f>
        <v>40.070000000000007</v>
      </c>
      <c r="AH139">
        <f>AF139-VLOOKUP(AG139,'Bag weights'!A$1:B$20,2,FALSE)</f>
        <v>0</v>
      </c>
      <c r="AK139">
        <f>AI139-VLOOKUP(AJ139,'Bag weights'!A$1:B$20,2,FALSE)</f>
        <v>0</v>
      </c>
      <c r="AL139" s="141">
        <v>4.62</v>
      </c>
      <c r="AM139" s="142" t="s">
        <v>296</v>
      </c>
      <c r="AN139" s="143">
        <f>AL139-VLOOKUP(AM139,'Bag weights'!A$1:B$20,2,FALSE)</f>
        <v>2.13</v>
      </c>
      <c r="AO139" s="146">
        <v>11.92</v>
      </c>
      <c r="AP139" s="146" t="s">
        <v>295</v>
      </c>
      <c r="AQ139" s="143">
        <f>AO139-VLOOKUP(AP139,'Bag weights'!A$1:B$20,2,FALSE)</f>
        <v>4.09</v>
      </c>
      <c r="AT139">
        <f>AR139-VLOOKUP(AS139,'Bag weights'!A$1:B$20,2,FALSE)</f>
        <v>0</v>
      </c>
      <c r="AU139" s="141">
        <v>18.489999999999998</v>
      </c>
      <c r="AV139" s="142" t="s">
        <v>296</v>
      </c>
      <c r="AW139" s="143">
        <f>AU139-VLOOKUP(AV139,'Bag weights'!A$1:B$20,2,FALSE)</f>
        <v>15.999999999999998</v>
      </c>
      <c r="AX139">
        <f t="shared" si="1"/>
        <v>74.400000000000006</v>
      </c>
      <c r="BD139" s="120">
        <v>7</v>
      </c>
      <c r="BH139" s="16">
        <v>1.25</v>
      </c>
    </row>
    <row r="140" spans="1:60">
      <c r="A140" s="87"/>
      <c r="B140" s="87"/>
      <c r="C140" s="87">
        <v>2</v>
      </c>
      <c r="D140" s="87" t="s">
        <v>87</v>
      </c>
      <c r="E140" s="2"/>
      <c r="F140" s="2"/>
      <c r="G140" s="2"/>
      <c r="J140">
        <f>H140-VLOOKUP(I140,'Bag weights'!A:B,2,FALSE)</f>
        <v>0</v>
      </c>
      <c r="M140">
        <f>K140-VLOOKUP(L140,'Bag weights'!A$1:B$20,2,FALSE)</f>
        <v>0</v>
      </c>
      <c r="O140" s="122"/>
      <c r="P140">
        <f>N140-VLOOKUP(O140,'Bag weights'!A$1:B$20,2,FALSE)</f>
        <v>0</v>
      </c>
      <c r="S140">
        <f>Q140-VLOOKUP(R140,'Bag weights'!A$1:B$20,2,FALSE)</f>
        <v>0</v>
      </c>
      <c r="T140" s="16">
        <v>41.29</v>
      </c>
      <c r="U140" s="16" t="s">
        <v>276</v>
      </c>
      <c r="V140">
        <f>T140-VLOOKUP(U140,'Bag weights'!A$1:B$20,2,FALSE)</f>
        <v>20.34</v>
      </c>
      <c r="W140" s="146">
        <v>0.04</v>
      </c>
      <c r="X140" s="146" t="s">
        <v>302</v>
      </c>
      <c r="Y140" s="143">
        <f>W140-VLOOKUP(X140,'Bag weights'!A$1:B$20,2,FALSE)</f>
        <v>0.04</v>
      </c>
      <c r="AB140">
        <f>Z140-VLOOKUP(AA140,'Bag weights'!A$1:B$20,2,FALSE)</f>
        <v>0</v>
      </c>
      <c r="AC140" s="16">
        <v>80.78</v>
      </c>
      <c r="AD140" s="16" t="s">
        <v>276</v>
      </c>
      <c r="AE140">
        <f>AC140-VLOOKUP(AD140,'Bag weights'!A$1:B$20,2,FALSE)</f>
        <v>59.83</v>
      </c>
      <c r="AH140">
        <f>AF140-VLOOKUP(AG140,'Bag weights'!A$1:B$20,2,FALSE)</f>
        <v>0</v>
      </c>
      <c r="AK140">
        <f>AI140-VLOOKUP(AJ140,'Bag weights'!A$1:B$20,2,FALSE)</f>
        <v>0</v>
      </c>
      <c r="AL140" s="16">
        <v>10.56</v>
      </c>
      <c r="AM140" s="16" t="s">
        <v>295</v>
      </c>
      <c r="AN140">
        <f>AL140-VLOOKUP(AM140,'Bag weights'!A$1:B$20,2,FALSE)</f>
        <v>2.7300000000000004</v>
      </c>
      <c r="AO140" s="146">
        <v>2.52</v>
      </c>
      <c r="AP140" s="146" t="s">
        <v>302</v>
      </c>
      <c r="AQ140" s="143">
        <f>AO140-VLOOKUP(AP140,'Bag weights'!A$1:B$20,2,FALSE)</f>
        <v>2.52</v>
      </c>
      <c r="AT140">
        <f>AR140-VLOOKUP(AS140,'Bag weights'!A$1:B$20,2,FALSE)</f>
        <v>0</v>
      </c>
      <c r="AU140" s="146">
        <v>0.35</v>
      </c>
      <c r="AV140" s="146" t="s">
        <v>302</v>
      </c>
      <c r="AW140" s="143">
        <f>AU140-VLOOKUP(AV140,'Bag weights'!A$1:B$20,2,FALSE)</f>
        <v>0.35</v>
      </c>
      <c r="AX140">
        <f t="shared" si="1"/>
        <v>85.460000000000008</v>
      </c>
      <c r="AY140" s="16">
        <v>0.04</v>
      </c>
      <c r="BD140" s="120">
        <v>6.7</v>
      </c>
      <c r="BH140" s="16">
        <v>1.52</v>
      </c>
    </row>
    <row r="141" spans="1:60">
      <c r="A141" s="87"/>
      <c r="B141" s="87"/>
      <c r="C141" s="87">
        <v>2</v>
      </c>
      <c r="D141" s="87" t="s">
        <v>79</v>
      </c>
      <c r="E141" s="2"/>
      <c r="F141" s="2"/>
      <c r="G141" s="2"/>
      <c r="H141" s="141">
        <v>0.59</v>
      </c>
      <c r="I141" s="142" t="s">
        <v>302</v>
      </c>
      <c r="J141" s="143">
        <f>H141-VLOOKUP(I141,'Bag weights'!A:B,2,FALSE)</f>
        <v>0.59</v>
      </c>
      <c r="M141">
        <f>K141-VLOOKUP(L141,'Bag weights'!A$1:B$20,2,FALSE)</f>
        <v>0</v>
      </c>
      <c r="O141" s="122"/>
      <c r="P141">
        <f>N141-VLOOKUP(O141,'Bag weights'!A$1:B$20,2,FALSE)</f>
        <v>0</v>
      </c>
      <c r="S141">
        <f>Q141-VLOOKUP(R141,'Bag weights'!A$1:B$20,2,FALSE)</f>
        <v>0</v>
      </c>
      <c r="T141" s="16">
        <v>24.15</v>
      </c>
      <c r="U141" s="16" t="s">
        <v>302</v>
      </c>
      <c r="V141">
        <f>T141-VLOOKUP(U141,'Bag weights'!A$1:B$20,2,FALSE)</f>
        <v>24.15</v>
      </c>
      <c r="Y141">
        <f>W141-VLOOKUP(X141,'Bag weights'!A$1:B$20,2,FALSE)</f>
        <v>0</v>
      </c>
      <c r="AB141">
        <f>Z141-VLOOKUP(AA141,'Bag weights'!A$1:B$20,2,FALSE)</f>
        <v>0</v>
      </c>
      <c r="AC141" s="16">
        <v>55.2</v>
      </c>
      <c r="AD141" s="16" t="s">
        <v>302</v>
      </c>
      <c r="AE141">
        <f>AC141-VLOOKUP(AD141,'Bag weights'!A$1:B$20,2,FALSE)</f>
        <v>55.2</v>
      </c>
      <c r="AH141">
        <f>AF141-VLOOKUP(AG141,'Bag weights'!A$1:B$20,2,FALSE)</f>
        <v>0</v>
      </c>
      <c r="AI141" s="146">
        <v>0.16</v>
      </c>
      <c r="AJ141" s="146" t="s">
        <v>302</v>
      </c>
      <c r="AK141" s="143">
        <f>AI141-VLOOKUP(AJ141,'Bag weights'!A$1:B$20,2,FALSE)</f>
        <v>0.16</v>
      </c>
      <c r="AL141" s="16">
        <v>3.21</v>
      </c>
      <c r="AM141" s="16" t="s">
        <v>302</v>
      </c>
      <c r="AN141">
        <f>AL141-VLOOKUP(AM141,'Bag weights'!A$1:B$20,2,FALSE)</f>
        <v>3.21</v>
      </c>
      <c r="AO141" s="146">
        <v>0.98</v>
      </c>
      <c r="AP141" s="146" t="s">
        <v>302</v>
      </c>
      <c r="AQ141" s="143">
        <f>AO141-VLOOKUP(AP141,'Bag weights'!A$1:B$20,2,FALSE)</f>
        <v>0.98</v>
      </c>
      <c r="AT141">
        <f>AR141-VLOOKUP(AS141,'Bag weights'!A$1:B$20,2,FALSE)</f>
        <v>0</v>
      </c>
      <c r="AU141" s="141">
        <v>0.21</v>
      </c>
      <c r="AV141" s="142" t="s">
        <v>302</v>
      </c>
      <c r="AW141" s="143">
        <f>AU141-VLOOKUP(AV141,'Bag weights'!A$1:B$20,2,FALSE)</f>
        <v>0.21</v>
      </c>
      <c r="AX141">
        <f t="shared" si="1"/>
        <v>84.29</v>
      </c>
      <c r="AY141" s="16" t="s">
        <v>346</v>
      </c>
      <c r="BD141" s="120">
        <v>7.2</v>
      </c>
      <c r="BH141" s="16">
        <v>0.95</v>
      </c>
    </row>
    <row r="142" spans="1:60">
      <c r="A142" s="87"/>
      <c r="B142" s="87"/>
      <c r="C142" s="87">
        <v>2</v>
      </c>
      <c r="D142" s="87" t="s">
        <v>88</v>
      </c>
      <c r="E142" s="2"/>
      <c r="F142" s="2"/>
      <c r="G142" s="2"/>
      <c r="J142">
        <f>H142-VLOOKUP(I142,'Bag weights'!A:B,2,FALSE)</f>
        <v>0</v>
      </c>
      <c r="M142">
        <f>K142-VLOOKUP(L142,'Bag weights'!A$1:B$20,2,FALSE)</f>
        <v>0</v>
      </c>
      <c r="O142" s="122"/>
      <c r="P142">
        <f>N142-VLOOKUP(O142,'Bag weights'!A$1:B$20,2,FALSE)</f>
        <v>0</v>
      </c>
      <c r="S142">
        <f>Q142-VLOOKUP(R142,'Bag weights'!A$1:B$20,2,FALSE)</f>
        <v>0</v>
      </c>
      <c r="T142" s="16">
        <v>24.47</v>
      </c>
      <c r="U142" s="16" t="s">
        <v>302</v>
      </c>
      <c r="V142">
        <f>T142-VLOOKUP(U142,'Bag weights'!A$1:B$20,2,FALSE)</f>
        <v>24.47</v>
      </c>
      <c r="Y142">
        <f>W142-VLOOKUP(X142,'Bag weights'!A$1:B$20,2,FALSE)</f>
        <v>0</v>
      </c>
      <c r="AB142">
        <f>Z142-VLOOKUP(AA142,'Bag weights'!A$1:B$20,2,FALSE)</f>
        <v>0</v>
      </c>
      <c r="AC142" s="16">
        <v>58.88</v>
      </c>
      <c r="AD142" s="16" t="s">
        <v>294</v>
      </c>
      <c r="AE142">
        <f>AC142-VLOOKUP(AD142,'Bag weights'!A$1:B$20,2,FALSE)</f>
        <v>44.5</v>
      </c>
      <c r="AF142" s="146">
        <v>2</v>
      </c>
      <c r="AG142" s="146" t="s">
        <v>302</v>
      </c>
      <c r="AH142" s="143">
        <f>AF142-VLOOKUP(AG142,'Bag weights'!A$1:B$20,2,FALSE)</f>
        <v>2</v>
      </c>
      <c r="AK142">
        <f>AI142-VLOOKUP(AJ142,'Bag weights'!A$1:B$20,2,FALSE)</f>
        <v>0</v>
      </c>
      <c r="AL142" s="16">
        <v>2.11</v>
      </c>
      <c r="AM142" s="16" t="s">
        <v>302</v>
      </c>
      <c r="AN142">
        <f>AL142-VLOOKUP(AM142,'Bag weights'!A$1:B$20,2,FALSE)</f>
        <v>2.11</v>
      </c>
      <c r="AO142" s="146">
        <v>2.4900000000000002</v>
      </c>
      <c r="AP142" s="146" t="s">
        <v>302</v>
      </c>
      <c r="AQ142" s="143">
        <f>AO142-VLOOKUP(AP142,'Bag weights'!A$1:B$20,2,FALSE)</f>
        <v>2.4900000000000002</v>
      </c>
      <c r="AT142">
        <f>AR142-VLOOKUP(AS142,'Bag weights'!A$1:B$20,2,FALSE)</f>
        <v>0</v>
      </c>
      <c r="AU142" s="146">
        <v>3.09</v>
      </c>
      <c r="AV142" s="146" t="s">
        <v>296</v>
      </c>
      <c r="AW142" s="143">
        <f>AU142-VLOOKUP(AV142,'Bag weights'!A$1:B$20,2,FALSE)</f>
        <v>0.59999999999999964</v>
      </c>
      <c r="AX142">
        <f t="shared" si="1"/>
        <v>75.569999999999993</v>
      </c>
      <c r="BD142" s="120">
        <v>7.1</v>
      </c>
      <c r="BH142" s="16">
        <v>0.66</v>
      </c>
    </row>
    <row r="143" spans="1:60">
      <c r="A143" s="87"/>
      <c r="B143" s="87"/>
      <c r="C143" s="87">
        <v>3</v>
      </c>
      <c r="D143" s="87" t="s">
        <v>83</v>
      </c>
      <c r="E143" s="2"/>
      <c r="F143" s="2"/>
      <c r="G143" s="2"/>
      <c r="H143" s="146">
        <v>0.59</v>
      </c>
      <c r="I143" s="146" t="s">
        <v>302</v>
      </c>
      <c r="J143" s="143">
        <f>H143-VLOOKUP(I143,'Bag weights'!A:B,2,FALSE)</f>
        <v>0.59</v>
      </c>
      <c r="M143">
        <f>K143-VLOOKUP(L143,'Bag weights'!A$1:B$20,2,FALSE)</f>
        <v>0</v>
      </c>
      <c r="O143" s="122"/>
      <c r="P143">
        <f>N143-VLOOKUP(O143,'Bag weights'!A$1:B$20,2,FALSE)</f>
        <v>0</v>
      </c>
      <c r="S143">
        <f>Q143-VLOOKUP(R143,'Bag weights'!A$1:B$20,2,FALSE)</f>
        <v>0</v>
      </c>
      <c r="T143" s="16">
        <v>52.16</v>
      </c>
      <c r="U143" s="16" t="s">
        <v>276</v>
      </c>
      <c r="V143">
        <f>T143-VLOOKUP(U143,'Bag weights'!A$1:B$20,2,FALSE)</f>
        <v>31.209999999999997</v>
      </c>
      <c r="Y143">
        <f>W143-VLOOKUP(X143,'Bag weights'!A$1:B$20,2,FALSE)</f>
        <v>0</v>
      </c>
      <c r="AB143">
        <f>Z143-VLOOKUP(AA143,'Bag weights'!A$1:B$20,2,FALSE)</f>
        <v>0</v>
      </c>
      <c r="AC143" s="16">
        <v>69.8</v>
      </c>
      <c r="AD143" s="16" t="s">
        <v>276</v>
      </c>
      <c r="AE143">
        <f>AC143-VLOOKUP(AD143,'Bag weights'!A$1:B$20,2,FALSE)</f>
        <v>48.849999999999994</v>
      </c>
      <c r="AH143">
        <f>AF143-VLOOKUP(AG143,'Bag weights'!A$1:B$20,2,FALSE)</f>
        <v>0</v>
      </c>
      <c r="AK143">
        <f>AI143-VLOOKUP(AJ143,'Bag weights'!A$1:B$20,2,FALSE)</f>
        <v>0</v>
      </c>
      <c r="AL143" s="16">
        <v>11.92</v>
      </c>
      <c r="AM143" s="16" t="s">
        <v>302</v>
      </c>
      <c r="AN143">
        <f>AL143-VLOOKUP(AM143,'Bag weights'!A$1:B$20,2,FALSE)</f>
        <v>11.92</v>
      </c>
      <c r="AO143" s="146">
        <v>3.43</v>
      </c>
      <c r="AP143" s="146" t="s">
        <v>302</v>
      </c>
      <c r="AQ143" s="143">
        <f>AO143-VLOOKUP(AP143,'Bag weights'!A$1:B$20,2,FALSE)</f>
        <v>3.43</v>
      </c>
      <c r="AT143">
        <f>AR143-VLOOKUP(AS143,'Bag weights'!A$1:B$20,2,FALSE)</f>
        <v>0</v>
      </c>
      <c r="AU143" s="146">
        <v>5.73</v>
      </c>
      <c r="AV143" s="146" t="s">
        <v>302</v>
      </c>
      <c r="AW143" s="143">
        <f>AU143-VLOOKUP(AV143,'Bag weights'!A$1:B$20,2,FALSE)</f>
        <v>5.73</v>
      </c>
      <c r="AX143">
        <f t="shared" si="1"/>
        <v>95.999999999999986</v>
      </c>
      <c r="BD143" s="120">
        <v>9.1</v>
      </c>
      <c r="BH143" s="16">
        <v>2.87</v>
      </c>
    </row>
    <row r="144" spans="1:60">
      <c r="A144" s="87"/>
      <c r="B144" s="87"/>
      <c r="C144" s="87">
        <v>3</v>
      </c>
      <c r="D144" s="87" t="s">
        <v>85</v>
      </c>
      <c r="E144" s="2"/>
      <c r="F144" s="2"/>
      <c r="G144" s="2"/>
      <c r="J144">
        <f>H144-VLOOKUP(I144,'Bag weights'!A:B,2,FALSE)</f>
        <v>0</v>
      </c>
      <c r="M144">
        <f>K144-VLOOKUP(L144,'Bag weights'!A$1:B$20,2,FALSE)</f>
        <v>0</v>
      </c>
      <c r="O144" s="122"/>
      <c r="P144">
        <f>N144-VLOOKUP(O144,'Bag weights'!A$1:B$20,2,FALSE)</f>
        <v>0</v>
      </c>
      <c r="S144">
        <f>Q144-VLOOKUP(R144,'Bag weights'!A$1:B$20,2,FALSE)</f>
        <v>0</v>
      </c>
      <c r="T144" s="16">
        <v>42.37</v>
      </c>
      <c r="U144" s="16" t="s">
        <v>276</v>
      </c>
      <c r="V144">
        <f>T144-VLOOKUP(U144,'Bag weights'!A$1:B$20,2,FALSE)</f>
        <v>21.419999999999998</v>
      </c>
      <c r="Y144">
        <f>W144-VLOOKUP(X144,'Bag weights'!A$1:B$20,2,FALSE)</f>
        <v>0</v>
      </c>
      <c r="Z144" s="141">
        <v>0.08</v>
      </c>
      <c r="AA144" s="142" t="s">
        <v>302</v>
      </c>
      <c r="AB144" s="143">
        <f>Z144-VLOOKUP(AA144,'Bag weights'!A$1:B$20,2,FALSE)</f>
        <v>0.08</v>
      </c>
      <c r="AC144" s="16">
        <v>41.29</v>
      </c>
      <c r="AD144" s="16" t="s">
        <v>302</v>
      </c>
      <c r="AE144">
        <f>AC144-VLOOKUP(AD144,'Bag weights'!A$1:B$20,2,FALSE)</f>
        <v>41.29</v>
      </c>
      <c r="AH144">
        <f>AF144-VLOOKUP(AG144,'Bag weights'!A$1:B$20,2,FALSE)</f>
        <v>0</v>
      </c>
      <c r="AI144" s="141">
        <v>0.13</v>
      </c>
      <c r="AJ144" s="142" t="s">
        <v>302</v>
      </c>
      <c r="AK144" s="143">
        <f>AI144-VLOOKUP(AJ144,'Bag weights'!A$1:B$20,2,FALSE)</f>
        <v>0.13</v>
      </c>
      <c r="AL144" s="16">
        <v>13.66</v>
      </c>
      <c r="AM144" s="16" t="s">
        <v>302</v>
      </c>
      <c r="AN144">
        <f>AL144-VLOOKUP(AM144,'Bag weights'!A$1:B$20,2,FALSE)</f>
        <v>13.66</v>
      </c>
      <c r="AO144" s="146">
        <v>1.56</v>
      </c>
      <c r="AP144" s="146" t="s">
        <v>302</v>
      </c>
      <c r="AQ144" s="143">
        <f>AO144-VLOOKUP(AP144,'Bag weights'!A$1:B$20,2,FALSE)</f>
        <v>1.56</v>
      </c>
      <c r="AT144">
        <f>AR144-VLOOKUP(AS144,'Bag weights'!A$1:B$20,2,FALSE)</f>
        <v>0</v>
      </c>
      <c r="AU144" s="146">
        <v>7.77</v>
      </c>
      <c r="AV144" s="146" t="s">
        <v>302</v>
      </c>
      <c r="AW144" s="143">
        <f>AU144-VLOOKUP(AV144,'Bag weights'!A$1:B$20,2,FALSE)</f>
        <v>7.77</v>
      </c>
      <c r="AX144">
        <f t="shared" si="1"/>
        <v>78.14</v>
      </c>
      <c r="BD144" s="120">
        <v>17.3</v>
      </c>
      <c r="BH144" s="16">
        <v>1.97</v>
      </c>
    </row>
    <row r="145" spans="1:60">
      <c r="A145" s="87"/>
      <c r="B145" s="87"/>
      <c r="C145" s="87">
        <v>3</v>
      </c>
      <c r="D145" s="87" t="s">
        <v>87</v>
      </c>
      <c r="E145" s="2"/>
      <c r="F145" s="2"/>
      <c r="G145" s="2"/>
      <c r="J145">
        <f>H145-VLOOKUP(I145,'Bag weights'!A:B,2,FALSE)</f>
        <v>0</v>
      </c>
      <c r="M145">
        <f>K145-VLOOKUP(L145,'Bag weights'!A$1:B$20,2,FALSE)</f>
        <v>0</v>
      </c>
      <c r="O145" s="122"/>
      <c r="P145">
        <f>N145-VLOOKUP(O145,'Bag weights'!A$1:B$20,2,FALSE)</f>
        <v>0</v>
      </c>
      <c r="S145">
        <f>Q145-VLOOKUP(R145,'Bag weights'!A$1:B$20,2,FALSE)</f>
        <v>0</v>
      </c>
      <c r="T145" s="16">
        <v>50.1</v>
      </c>
      <c r="U145" s="16" t="s">
        <v>276</v>
      </c>
      <c r="V145">
        <f>T145-VLOOKUP(U145,'Bag weights'!A$1:B$20,2,FALSE)</f>
        <v>29.150000000000002</v>
      </c>
      <c r="Y145">
        <f>W145-VLOOKUP(X145,'Bag weights'!A$1:B$20,2,FALSE)</f>
        <v>0</v>
      </c>
      <c r="AB145">
        <f>Z145-VLOOKUP(AA145,'Bag weights'!A$1:B$20,2,FALSE)</f>
        <v>0</v>
      </c>
      <c r="AC145" s="16">
        <v>78.55</v>
      </c>
      <c r="AD145" s="16" t="s">
        <v>276</v>
      </c>
      <c r="AE145">
        <f>AC145-VLOOKUP(AD145,'Bag weights'!A$1:B$20,2,FALSE)</f>
        <v>57.599999999999994</v>
      </c>
      <c r="AH145">
        <f>AF145-VLOOKUP(AG145,'Bag weights'!A$1:B$20,2,FALSE)</f>
        <v>0</v>
      </c>
      <c r="AI145" s="141">
        <v>0.16</v>
      </c>
      <c r="AJ145" s="142" t="s">
        <v>302</v>
      </c>
      <c r="AK145" s="143">
        <f>AI145-VLOOKUP(AJ145,'Bag weights'!A$1:B$20,2,FALSE)</f>
        <v>0.16</v>
      </c>
      <c r="AL145" s="16">
        <v>13.72</v>
      </c>
      <c r="AM145" s="16" t="s">
        <v>295</v>
      </c>
      <c r="AN145">
        <f>AL145-VLOOKUP(AM145,'Bag weights'!A$1:B$20,2,FALSE)</f>
        <v>5.8900000000000006</v>
      </c>
      <c r="AO145" s="141">
        <v>5.0599999999999996</v>
      </c>
      <c r="AP145" s="142" t="s">
        <v>296</v>
      </c>
      <c r="AQ145" s="143">
        <f>AO145-VLOOKUP(AP145,'Bag weights'!A$1:B$20,2,FALSE)</f>
        <v>2.5699999999999994</v>
      </c>
      <c r="AT145">
        <f>AR145-VLOOKUP(AS145,'Bag weights'!A$1:B$20,2,FALSE)</f>
        <v>0</v>
      </c>
      <c r="AU145" s="146">
        <v>1.48</v>
      </c>
      <c r="AV145" s="146" t="s">
        <v>302</v>
      </c>
      <c r="AW145" s="143">
        <f>AU145-VLOOKUP(AV145,'Bag weights'!A$1:B$20,2,FALSE)</f>
        <v>1.48</v>
      </c>
      <c r="AX145">
        <f t="shared" si="1"/>
        <v>95.37</v>
      </c>
      <c r="AY145" s="16"/>
      <c r="BD145" s="120">
        <v>2.2999999999999998</v>
      </c>
      <c r="BH145" s="16">
        <v>2.4</v>
      </c>
    </row>
    <row r="146" spans="1:60">
      <c r="A146" s="87"/>
      <c r="B146" s="87"/>
      <c r="C146" s="87">
        <v>3</v>
      </c>
      <c r="D146" s="87" t="s">
        <v>79</v>
      </c>
      <c r="E146" s="2"/>
      <c r="F146" s="2"/>
      <c r="G146" s="2"/>
      <c r="J146">
        <f>H146-VLOOKUP(I146,'Bag weights'!A:B,2,FALSE)</f>
        <v>0</v>
      </c>
      <c r="M146">
        <f>K146-VLOOKUP(L146,'Bag weights'!A$1:B$20,2,FALSE)</f>
        <v>0</v>
      </c>
      <c r="O146" s="122"/>
      <c r="P146">
        <f>N146-VLOOKUP(O146,'Bag weights'!A$1:B$20,2,FALSE)</f>
        <v>0</v>
      </c>
      <c r="S146">
        <f>Q146-VLOOKUP(R146,'Bag weights'!A$1:B$20,2,FALSE)</f>
        <v>0</v>
      </c>
      <c r="T146" s="16">
        <v>49.75</v>
      </c>
      <c r="U146" s="16" t="s">
        <v>276</v>
      </c>
      <c r="V146">
        <f>T146-VLOOKUP(U146,'Bag weights'!A$1:B$20,2,FALSE)</f>
        <v>28.8</v>
      </c>
      <c r="Y146">
        <f>W146-VLOOKUP(X146,'Bag weights'!A$1:B$20,2,FALSE)</f>
        <v>0</v>
      </c>
      <c r="AB146">
        <f>Z146-VLOOKUP(AA146,'Bag weights'!A$1:B$20,2,FALSE)</f>
        <v>0</v>
      </c>
      <c r="AC146" s="16">
        <v>77.540000000000006</v>
      </c>
      <c r="AD146" s="16" t="s">
        <v>276</v>
      </c>
      <c r="AE146">
        <f>AC146-VLOOKUP(AD146,'Bag weights'!A$1:B$20,2,FALSE)</f>
        <v>56.59</v>
      </c>
      <c r="AH146">
        <f>AF146-VLOOKUP(AG146,'Bag weights'!A$1:B$20,2,FALSE)</f>
        <v>0</v>
      </c>
      <c r="AI146" s="146">
        <v>0.2</v>
      </c>
      <c r="AJ146" s="146" t="s">
        <v>302</v>
      </c>
      <c r="AK146" s="143">
        <f>AI146-VLOOKUP(AJ146,'Bag weights'!A$1:B$20,2,FALSE)</f>
        <v>0.2</v>
      </c>
      <c r="AL146" s="16">
        <v>6.38</v>
      </c>
      <c r="AM146" s="16" t="s">
        <v>302</v>
      </c>
      <c r="AN146">
        <f>AL146-VLOOKUP(AM146,'Bag weights'!A$1:B$20,2,FALSE)</f>
        <v>6.38</v>
      </c>
      <c r="AO146" s="141">
        <v>6.31</v>
      </c>
      <c r="AP146" s="142" t="s">
        <v>296</v>
      </c>
      <c r="AQ146" s="143">
        <f>AO146-VLOOKUP(AP146,'Bag weights'!A$1:B$20,2,FALSE)</f>
        <v>3.8199999999999994</v>
      </c>
      <c r="AT146">
        <f>AR146-VLOOKUP(AS146,'Bag weights'!A$1:B$20,2,FALSE)</f>
        <v>0</v>
      </c>
      <c r="AU146" s="146">
        <v>0.27</v>
      </c>
      <c r="AV146" s="146" t="s">
        <v>302</v>
      </c>
      <c r="AW146" s="143">
        <f>AU146-VLOOKUP(AV146,'Bag weights'!A$1:B$20,2,FALSE)</f>
        <v>0.27</v>
      </c>
      <c r="AX146">
        <f t="shared" si="1"/>
        <v>95.79</v>
      </c>
      <c r="AY146" s="16" t="s">
        <v>347</v>
      </c>
      <c r="BD146" s="120">
        <v>15.7</v>
      </c>
      <c r="BH146" s="16">
        <v>0.35</v>
      </c>
    </row>
    <row r="147" spans="1:60">
      <c r="A147" s="87"/>
      <c r="B147" s="87"/>
      <c r="C147" s="87">
        <v>3</v>
      </c>
      <c r="D147" s="87" t="s">
        <v>88</v>
      </c>
      <c r="E147" s="2"/>
      <c r="F147" s="2"/>
      <c r="G147" s="2"/>
      <c r="J147">
        <f>H147-VLOOKUP(I147,'Bag weights'!A:B,2,FALSE)</f>
        <v>0</v>
      </c>
      <c r="M147">
        <f>K147-VLOOKUP(L147,'Bag weights'!A$1:B$20,2,FALSE)</f>
        <v>0</v>
      </c>
      <c r="O147" s="122"/>
      <c r="P147">
        <f>N147-VLOOKUP(O147,'Bag weights'!A$1:B$20,2,FALSE)</f>
        <v>0</v>
      </c>
      <c r="S147">
        <f>Q147-VLOOKUP(R147,'Bag weights'!A$1:B$20,2,FALSE)</f>
        <v>0</v>
      </c>
      <c r="T147" s="16">
        <v>40.93</v>
      </c>
      <c r="U147" s="16" t="s">
        <v>294</v>
      </c>
      <c r="V147">
        <f>T147-VLOOKUP(U147,'Bag weights'!A$1:B$20,2,FALSE)</f>
        <v>26.549999999999997</v>
      </c>
      <c r="Y147">
        <f>W147-VLOOKUP(X147,'Bag weights'!A$1:B$20,2,FALSE)</f>
        <v>0</v>
      </c>
      <c r="AB147">
        <f>Z147-VLOOKUP(AA147,'Bag weights'!A$1:B$20,2,FALSE)</f>
        <v>0</v>
      </c>
      <c r="AC147" s="16">
        <v>61.75</v>
      </c>
      <c r="AD147" s="16" t="s">
        <v>294</v>
      </c>
      <c r="AE147">
        <f>AC147-VLOOKUP(AD147,'Bag weights'!A$1:B$20,2,FALSE)</f>
        <v>47.37</v>
      </c>
      <c r="AH147">
        <f>AF147-VLOOKUP(AG147,'Bag weights'!A$1:B$20,2,FALSE)</f>
        <v>0</v>
      </c>
      <c r="AK147">
        <f>AI147-VLOOKUP(AJ147,'Bag weights'!A$1:B$20,2,FALSE)</f>
        <v>0</v>
      </c>
      <c r="AL147" s="146">
        <v>1.99</v>
      </c>
      <c r="AM147" s="146" t="s">
        <v>302</v>
      </c>
      <c r="AN147" s="143">
        <f>AL147-VLOOKUP(AM147,'Bag weights'!A$1:B$20,2,FALSE)</f>
        <v>1.99</v>
      </c>
      <c r="AO147" s="146">
        <v>1.42</v>
      </c>
      <c r="AP147" s="146" t="s">
        <v>302</v>
      </c>
      <c r="AQ147" s="143">
        <f>AO147-VLOOKUP(AP147,'Bag weights'!A$1:B$20,2,FALSE)</f>
        <v>1.42</v>
      </c>
      <c r="AT147">
        <f>AR147-VLOOKUP(AS147,'Bag weights'!A$1:B$20,2,FALSE)</f>
        <v>0</v>
      </c>
      <c r="AW147">
        <f>AU147-VLOOKUP(AV147,'Bag weights'!A$1:B$20,2,FALSE)</f>
        <v>0</v>
      </c>
      <c r="AX147">
        <f t="shared" si="1"/>
        <v>77.33</v>
      </c>
      <c r="AY147" s="16" t="s">
        <v>348</v>
      </c>
      <c r="BD147" s="120">
        <v>22.6</v>
      </c>
      <c r="BH147" s="16">
        <v>1.59</v>
      </c>
    </row>
    <row r="148" spans="1:60">
      <c r="A148" s="87"/>
      <c r="B148" s="87"/>
      <c r="C148" s="87">
        <v>4</v>
      </c>
      <c r="D148" s="87" t="s">
        <v>83</v>
      </c>
      <c r="E148" s="2"/>
      <c r="F148" s="2"/>
      <c r="G148" s="2"/>
      <c r="J148">
        <f>H148-VLOOKUP(I148,'Bag weights'!A:B,2,FALSE)</f>
        <v>0</v>
      </c>
      <c r="M148">
        <f>K148-VLOOKUP(L148,'Bag weights'!A$1:B$20,2,FALSE)</f>
        <v>0</v>
      </c>
      <c r="O148" s="122"/>
      <c r="P148">
        <f>N148-VLOOKUP(O148,'Bag weights'!A$1:B$20,2,FALSE)</f>
        <v>0</v>
      </c>
      <c r="S148">
        <f>Q148-VLOOKUP(R148,'Bag weights'!A$1:B$20,2,FALSE)</f>
        <v>0</v>
      </c>
      <c r="T148" s="16">
        <v>44.76</v>
      </c>
      <c r="U148" s="16" t="s">
        <v>302</v>
      </c>
      <c r="V148">
        <f>T148-VLOOKUP(U148,'Bag weights'!A$1:B$20,2,FALSE)</f>
        <v>44.76</v>
      </c>
      <c r="Y148">
        <f>W148-VLOOKUP(X148,'Bag weights'!A$1:B$20,2,FALSE)</f>
        <v>0</v>
      </c>
      <c r="AB148">
        <f>Z148-VLOOKUP(AA148,'Bag weights'!A$1:B$20,2,FALSE)</f>
        <v>0</v>
      </c>
      <c r="AC148" s="16">
        <v>29.63</v>
      </c>
      <c r="AD148" s="16" t="s">
        <v>302</v>
      </c>
      <c r="AE148">
        <f>AC148-VLOOKUP(AD148,'Bag weights'!A$1:B$20,2,FALSE)</f>
        <v>29.63</v>
      </c>
      <c r="AH148">
        <f>AF148-VLOOKUP(AG148,'Bag weights'!A$1:B$20,2,FALSE)</f>
        <v>0</v>
      </c>
      <c r="AI148" s="146">
        <v>0.11</v>
      </c>
      <c r="AJ148" s="146" t="s">
        <v>302</v>
      </c>
      <c r="AK148" s="143">
        <f>AI148-VLOOKUP(AJ148,'Bag weights'!A$1:B$20,2,FALSE)</f>
        <v>0.11</v>
      </c>
      <c r="AL148" s="16">
        <v>5.85</v>
      </c>
      <c r="AM148" s="16" t="s">
        <v>302</v>
      </c>
      <c r="AN148">
        <f>AL148-VLOOKUP(AM148,'Bag weights'!A$1:B$20,2,FALSE)</f>
        <v>5.85</v>
      </c>
      <c r="AO148" s="141">
        <v>1.05</v>
      </c>
      <c r="AP148" s="142" t="s">
        <v>302</v>
      </c>
      <c r="AQ148" s="143">
        <f>AO148-VLOOKUP(AP148,'Bag weights'!A$1:B$20,2,FALSE)</f>
        <v>1.05</v>
      </c>
      <c r="AT148">
        <f>AR148-VLOOKUP(AS148,'Bag weights'!A$1:B$20,2,FALSE)</f>
        <v>0</v>
      </c>
      <c r="AU148" s="146">
        <v>1.56</v>
      </c>
      <c r="AV148" s="146" t="s">
        <v>302</v>
      </c>
      <c r="AW148" s="143">
        <f>AU148-VLOOKUP(AV148,'Bag weights'!A$1:B$20,2,FALSE)</f>
        <v>1.56</v>
      </c>
      <c r="AX148">
        <f t="shared" si="1"/>
        <v>81.400000000000006</v>
      </c>
      <c r="BD148" s="120">
        <v>2.8</v>
      </c>
      <c r="BH148" s="16">
        <v>0.98</v>
      </c>
    </row>
    <row r="149" spans="1:60">
      <c r="A149" s="87"/>
      <c r="B149" s="87"/>
      <c r="C149" s="87">
        <v>4</v>
      </c>
      <c r="D149" s="87" t="s">
        <v>85</v>
      </c>
      <c r="E149" s="2"/>
      <c r="F149" s="2"/>
      <c r="G149" s="2"/>
      <c r="H149" s="141">
        <v>0.93</v>
      </c>
      <c r="I149" s="142" t="s">
        <v>302</v>
      </c>
      <c r="J149" s="143">
        <f>H149-VLOOKUP(I149,'Bag weights'!A:B,2,FALSE)</f>
        <v>0.93</v>
      </c>
      <c r="M149">
        <f>K149-VLOOKUP(L149,'Bag weights'!A$1:B$20,2,FALSE)</f>
        <v>0</v>
      </c>
      <c r="O149" s="122"/>
      <c r="P149">
        <f>N149-VLOOKUP(O149,'Bag weights'!A$1:B$20,2,FALSE)</f>
        <v>0</v>
      </c>
      <c r="S149">
        <f>Q149-VLOOKUP(R149,'Bag weights'!A$1:B$20,2,FALSE)</f>
        <v>0</v>
      </c>
      <c r="T149" s="16">
        <v>31.64</v>
      </c>
      <c r="U149" s="16" t="s">
        <v>276</v>
      </c>
      <c r="V149">
        <f>T149-VLOOKUP(U149,'Bag weights'!A$1:B$20,2,FALSE)</f>
        <v>10.690000000000001</v>
      </c>
      <c r="Y149">
        <f>W149-VLOOKUP(X149,'Bag weights'!A$1:B$20,2,FALSE)</f>
        <v>0</v>
      </c>
      <c r="AB149">
        <f>Z149-VLOOKUP(AA149,'Bag weights'!A$1:B$20,2,FALSE)</f>
        <v>0</v>
      </c>
      <c r="AC149" s="16">
        <v>64.83</v>
      </c>
      <c r="AD149" s="16" t="s">
        <v>276</v>
      </c>
      <c r="AE149">
        <f>AC149-VLOOKUP(AD149,'Bag weights'!A$1:B$20,2,FALSE)</f>
        <v>43.879999999999995</v>
      </c>
      <c r="AH149">
        <f>AF149-VLOOKUP(AG149,'Bag weights'!A$1:B$20,2,FALSE)</f>
        <v>0</v>
      </c>
      <c r="AI149" s="146">
        <v>1.23</v>
      </c>
      <c r="AJ149" s="146" t="s">
        <v>302</v>
      </c>
      <c r="AK149" s="143">
        <f>AI149-VLOOKUP(AJ149,'Bag weights'!A$1:B$20,2,FALSE)</f>
        <v>1.23</v>
      </c>
      <c r="AL149" s="16">
        <v>34.840000000000003</v>
      </c>
      <c r="AM149" s="16" t="s">
        <v>276</v>
      </c>
      <c r="AN149">
        <f>AL149-VLOOKUP(AM149,'Bag weights'!A$1:B$20,2,FALSE)</f>
        <v>13.890000000000004</v>
      </c>
      <c r="AO149" s="141">
        <v>5.72</v>
      </c>
      <c r="AP149" s="142" t="s">
        <v>296</v>
      </c>
      <c r="AQ149" s="143">
        <f>AO149-VLOOKUP(AP149,'Bag weights'!A$1:B$20,2,FALSE)</f>
        <v>3.2299999999999995</v>
      </c>
      <c r="AT149">
        <f>AR149-VLOOKUP(AS149,'Bag weights'!A$1:B$20,2,FALSE)</f>
        <v>0</v>
      </c>
      <c r="AU149" s="146">
        <v>0.83</v>
      </c>
      <c r="AV149" s="146" t="s">
        <v>302</v>
      </c>
      <c r="AW149" s="143">
        <f>AU149-VLOOKUP(AV149,'Bag weights'!A$1:B$20,2,FALSE)</f>
        <v>0.83</v>
      </c>
      <c r="AX149">
        <f t="shared" si="1"/>
        <v>73.850000000000009</v>
      </c>
      <c r="BD149" s="120">
        <v>5</v>
      </c>
      <c r="BH149" s="16">
        <v>4.21</v>
      </c>
    </row>
    <row r="150" spans="1:60">
      <c r="A150" s="87"/>
      <c r="B150" s="87"/>
      <c r="C150" s="87">
        <v>4</v>
      </c>
      <c r="D150" s="87" t="s">
        <v>87</v>
      </c>
      <c r="E150" s="2"/>
      <c r="F150" s="2"/>
      <c r="G150" s="2"/>
      <c r="J150">
        <f>H150-VLOOKUP(I150,'Bag weights'!A:B,2,FALSE)</f>
        <v>0</v>
      </c>
      <c r="M150">
        <f>K150-VLOOKUP(L150,'Bag weights'!A$1:B$20,2,FALSE)</f>
        <v>0</v>
      </c>
      <c r="O150" s="122"/>
      <c r="P150">
        <f>N150-VLOOKUP(O150,'Bag weights'!A$1:B$20,2,FALSE)</f>
        <v>0</v>
      </c>
      <c r="S150">
        <f>Q150-VLOOKUP(R150,'Bag weights'!A$1:B$20,2,FALSE)</f>
        <v>0</v>
      </c>
      <c r="T150" s="16">
        <v>56.36</v>
      </c>
      <c r="U150" s="16" t="s">
        <v>276</v>
      </c>
      <c r="V150">
        <f>T150-VLOOKUP(U150,'Bag weights'!A$1:B$20,2,FALSE)</f>
        <v>35.409999999999997</v>
      </c>
      <c r="Y150">
        <f>W150-VLOOKUP(X150,'Bag weights'!A$1:B$20,2,FALSE)</f>
        <v>0</v>
      </c>
      <c r="AB150">
        <f>Z150-VLOOKUP(AA150,'Bag weights'!A$1:B$20,2,FALSE)</f>
        <v>0</v>
      </c>
      <c r="AC150" s="16">
        <v>56.77</v>
      </c>
      <c r="AD150" s="16" t="s">
        <v>276</v>
      </c>
      <c r="AE150">
        <f>AC150-VLOOKUP(AD150,'Bag weights'!A$1:B$20,2,FALSE)</f>
        <v>35.820000000000007</v>
      </c>
      <c r="AH150">
        <f>AF150-VLOOKUP(AG150,'Bag weights'!A$1:B$20,2,FALSE)</f>
        <v>0</v>
      </c>
      <c r="AI150" s="146">
        <v>0.3</v>
      </c>
      <c r="AJ150" s="146" t="s">
        <v>302</v>
      </c>
      <c r="AK150" s="143">
        <f>AI150-VLOOKUP(AJ150,'Bag weights'!A$1:B$20,2,FALSE)</f>
        <v>0.3</v>
      </c>
      <c r="AL150" s="16">
        <v>4.12</v>
      </c>
      <c r="AM150" s="16" t="s">
        <v>302</v>
      </c>
      <c r="AN150">
        <f>AL150-VLOOKUP(AM150,'Bag weights'!A$1:B$20,2,FALSE)</f>
        <v>4.12</v>
      </c>
      <c r="AO150" s="146">
        <v>2.06</v>
      </c>
      <c r="AP150" s="146" t="s">
        <v>302</v>
      </c>
      <c r="AQ150" s="143">
        <f>AO150-VLOOKUP(AP150,'Bag weights'!A$1:B$20,2,FALSE)</f>
        <v>2.06</v>
      </c>
      <c r="AT150">
        <f>AR150-VLOOKUP(AS150,'Bag weights'!A$1:B$20,2,FALSE)</f>
        <v>0</v>
      </c>
      <c r="AU150" s="146">
        <v>2.44</v>
      </c>
      <c r="AV150" s="146" t="s">
        <v>302</v>
      </c>
      <c r="AW150" s="143">
        <f>AU150-VLOOKUP(AV150,'Bag weights'!A$1:B$20,2,FALSE)</f>
        <v>2.44</v>
      </c>
      <c r="AX150">
        <f t="shared" si="1"/>
        <v>77.710000000000008</v>
      </c>
      <c r="AY150" s="16" t="s">
        <v>347</v>
      </c>
      <c r="BD150" s="120">
        <v>3.3</v>
      </c>
      <c r="BH150" s="16">
        <v>1.56</v>
      </c>
    </row>
    <row r="151" spans="1:60">
      <c r="A151" s="87"/>
      <c r="B151" s="87"/>
      <c r="C151" s="87">
        <v>4</v>
      </c>
      <c r="D151" s="87" t="s">
        <v>79</v>
      </c>
      <c r="E151" s="2"/>
      <c r="F151" s="2"/>
      <c r="G151" s="2"/>
      <c r="J151">
        <f>H151-VLOOKUP(I151,'Bag weights'!A:B,2,FALSE)</f>
        <v>0</v>
      </c>
      <c r="M151">
        <f>K151-VLOOKUP(L151,'Bag weights'!A$1:B$20,2,FALSE)</f>
        <v>0</v>
      </c>
      <c r="O151" s="122"/>
      <c r="P151">
        <f>N151-VLOOKUP(O151,'Bag weights'!A$1:B$20,2,FALSE)</f>
        <v>0</v>
      </c>
      <c r="S151">
        <f>Q151-VLOOKUP(R151,'Bag weights'!A$1:B$20,2,FALSE)</f>
        <v>0</v>
      </c>
      <c r="T151" s="16">
        <v>55.77</v>
      </c>
      <c r="U151" s="16" t="s">
        <v>276</v>
      </c>
      <c r="V151">
        <f>T151-VLOOKUP(U151,'Bag weights'!A$1:B$20,2,FALSE)</f>
        <v>34.820000000000007</v>
      </c>
      <c r="Y151">
        <f>W151-VLOOKUP(X151,'Bag weights'!A$1:B$20,2,FALSE)</f>
        <v>0</v>
      </c>
      <c r="AB151">
        <f>Z151-VLOOKUP(AA151,'Bag weights'!A$1:B$20,2,FALSE)</f>
        <v>0</v>
      </c>
      <c r="AC151" s="16">
        <v>53.74</v>
      </c>
      <c r="AD151" s="16" t="s">
        <v>276</v>
      </c>
      <c r="AE151">
        <f>AC151-VLOOKUP(AD151,'Bag weights'!A$1:B$20,2,FALSE)</f>
        <v>32.790000000000006</v>
      </c>
      <c r="AH151">
        <f>AF151-VLOOKUP(AG151,'Bag weights'!A$1:B$20,2,FALSE)</f>
        <v>0</v>
      </c>
      <c r="AI151" s="146">
        <v>0.21</v>
      </c>
      <c r="AJ151" s="146" t="s">
        <v>302</v>
      </c>
      <c r="AK151" s="143">
        <f>AI151-VLOOKUP(AJ151,'Bag weights'!A$1:B$20,2,FALSE)</f>
        <v>0.21</v>
      </c>
      <c r="AL151" s="16">
        <v>13.67</v>
      </c>
      <c r="AM151" s="16" t="s">
        <v>295</v>
      </c>
      <c r="AN151">
        <f>AL151-VLOOKUP(AM151,'Bag weights'!A$1:B$20,2,FALSE)</f>
        <v>5.84</v>
      </c>
      <c r="AO151" s="141">
        <v>6.09</v>
      </c>
      <c r="AP151" s="142" t="s">
        <v>296</v>
      </c>
      <c r="AQ151" s="143">
        <f>AO151-VLOOKUP(AP151,'Bag weights'!A$1:B$20,2,FALSE)</f>
        <v>3.5999999999999996</v>
      </c>
      <c r="AT151">
        <f>AR151-VLOOKUP(AS151,'Bag weights'!A$1:B$20,2,FALSE)</f>
        <v>0</v>
      </c>
      <c r="AU151" s="141">
        <v>4.5199999999999996</v>
      </c>
      <c r="AV151" s="142" t="s">
        <v>296</v>
      </c>
      <c r="AW151" s="143">
        <f>AU151-VLOOKUP(AV151,'Bag weights'!A$1:B$20,2,FALSE)</f>
        <v>2.0299999999999994</v>
      </c>
      <c r="AX151">
        <f t="shared" si="1"/>
        <v>77.260000000000019</v>
      </c>
      <c r="BD151" s="120">
        <v>2.9</v>
      </c>
      <c r="BH151" s="16">
        <v>3.54</v>
      </c>
    </row>
    <row r="152" spans="1:60">
      <c r="A152" s="87"/>
      <c r="B152" s="87"/>
      <c r="C152" s="87">
        <v>4</v>
      </c>
      <c r="D152" s="87" t="s">
        <v>88</v>
      </c>
      <c r="E152" s="2"/>
      <c r="F152" s="2"/>
      <c r="G152" s="2"/>
      <c r="J152">
        <f>H152-VLOOKUP(I152,'Bag weights'!A:B,2,FALSE)</f>
        <v>0</v>
      </c>
      <c r="M152">
        <f>K152-VLOOKUP(L152,'Bag weights'!A$1:B$20,2,FALSE)</f>
        <v>0</v>
      </c>
      <c r="O152" s="122"/>
      <c r="P152">
        <f>N152-VLOOKUP(O152,'Bag weights'!A$1:B$20,2,FALSE)</f>
        <v>0</v>
      </c>
      <c r="S152">
        <f>Q152-VLOOKUP(R152,'Bag weights'!A$1:B$20,2,FALSE)</f>
        <v>0</v>
      </c>
      <c r="T152" s="16">
        <v>50.56</v>
      </c>
      <c r="U152" s="16" t="s">
        <v>276</v>
      </c>
      <c r="V152">
        <f>T152-VLOOKUP(U152,'Bag weights'!A$1:B$20,2,FALSE)</f>
        <v>29.610000000000003</v>
      </c>
      <c r="Y152">
        <f>W152-VLOOKUP(X152,'Bag weights'!A$1:B$20,2,FALSE)</f>
        <v>0</v>
      </c>
      <c r="AB152">
        <f>Z152-VLOOKUP(AA152,'Bag weights'!A$1:B$20,2,FALSE)</f>
        <v>0</v>
      </c>
      <c r="AC152" s="16">
        <v>76.650000000000006</v>
      </c>
      <c r="AD152" s="16" t="s">
        <v>276</v>
      </c>
      <c r="AE152">
        <f>AC152-VLOOKUP(AD152,'Bag weights'!A$1:B$20,2,FALSE)</f>
        <v>55.7</v>
      </c>
      <c r="AH152">
        <f>AF152-VLOOKUP(AG152,'Bag weights'!A$1:B$20,2,FALSE)</f>
        <v>0</v>
      </c>
      <c r="AI152" s="16">
        <v>9.66</v>
      </c>
      <c r="AJ152" s="16" t="s">
        <v>295</v>
      </c>
      <c r="AK152">
        <f>AI152-VLOOKUP(AJ152,'Bag weights'!A$1:B$20,2,FALSE)</f>
        <v>1.83</v>
      </c>
      <c r="AL152" s="16">
        <v>14.5</v>
      </c>
      <c r="AM152" s="16" t="s">
        <v>295</v>
      </c>
      <c r="AN152">
        <f>AL152-VLOOKUP(AM152,'Bag weights'!A$1:B$20,2,FALSE)</f>
        <v>6.67</v>
      </c>
      <c r="AO152" s="146">
        <v>4.08</v>
      </c>
      <c r="AP152" s="146" t="s">
        <v>296</v>
      </c>
      <c r="AQ152" s="143">
        <f>AO152-VLOOKUP(AP152,'Bag weights'!A$1:B$20,2,FALSE)</f>
        <v>1.5899999999999999</v>
      </c>
      <c r="AT152">
        <f>AR152-VLOOKUP(AS152,'Bag weights'!A$1:B$20,2,FALSE)</f>
        <v>0</v>
      </c>
      <c r="AU152" s="16"/>
      <c r="AW152">
        <f>AU152-VLOOKUP(AV152,'Bag weights'!A$1:B$20,2,FALSE)</f>
        <v>0</v>
      </c>
      <c r="AX152">
        <f t="shared" si="1"/>
        <v>95.4</v>
      </c>
      <c r="BD152" s="120">
        <v>16.399999999999999</v>
      </c>
      <c r="BH152" s="16">
        <v>2.46</v>
      </c>
    </row>
    <row r="153" spans="1:60">
      <c r="A153" s="87" t="s">
        <v>106</v>
      </c>
      <c r="B153" s="87" t="s">
        <v>107</v>
      </c>
      <c r="C153" s="87">
        <v>1</v>
      </c>
      <c r="D153" s="87" t="s">
        <v>83</v>
      </c>
      <c r="E153" s="2"/>
      <c r="F153" s="2"/>
      <c r="G153" s="2"/>
      <c r="H153" s="16">
        <v>10.56</v>
      </c>
      <c r="I153" s="16" t="s">
        <v>295</v>
      </c>
      <c r="J153">
        <f>H153-VLOOKUP(I153,'Bag weights'!A:B,2,FALSE)</f>
        <v>2.7300000000000004</v>
      </c>
      <c r="M153">
        <f>K153-VLOOKUP(L153,'Bag weights'!A$1:B$20,2,FALSE)</f>
        <v>0</v>
      </c>
      <c r="O153" s="122"/>
      <c r="P153">
        <f>N153-VLOOKUP(O153,'Bag weights'!A$1:B$20,2,FALSE)</f>
        <v>0</v>
      </c>
      <c r="S153">
        <f>Q153-VLOOKUP(R153,'Bag weights'!A$1:B$20,2,FALSE)</f>
        <v>0</v>
      </c>
      <c r="T153" s="141">
        <v>0.8</v>
      </c>
      <c r="U153" s="142" t="s">
        <v>302</v>
      </c>
      <c r="V153" s="143">
        <f>T153-VLOOKUP(U153,'Bag weights'!A$1:B$20,2,FALSE)</f>
        <v>0.8</v>
      </c>
      <c r="Y153">
        <f>W153-VLOOKUP(X153,'Bag weights'!A$1:B$20,2,FALSE)</f>
        <v>0</v>
      </c>
      <c r="Z153" s="141">
        <v>3.6</v>
      </c>
      <c r="AA153" s="142" t="s">
        <v>296</v>
      </c>
      <c r="AB153" s="143">
        <f>Z153-VLOOKUP(AA153,'Bag weights'!A$1:B$20,2,FALSE)</f>
        <v>1.1099999999999999</v>
      </c>
      <c r="AC153" s="16">
        <v>14.79</v>
      </c>
      <c r="AD153" s="16" t="s">
        <v>295</v>
      </c>
      <c r="AE153">
        <f>AC153-VLOOKUP(AD153,'Bag weights'!A$1:B$20,2,FALSE)</f>
        <v>6.9599999999999991</v>
      </c>
      <c r="AF153" s="146">
        <v>0.28000000000000003</v>
      </c>
      <c r="AG153" s="146" t="s">
        <v>302</v>
      </c>
      <c r="AH153" s="143">
        <f>AF153-VLOOKUP(AG153,'Bag weights'!A$1:B$20,2,FALSE)</f>
        <v>0.28000000000000003</v>
      </c>
      <c r="AI153" s="16">
        <v>10.73</v>
      </c>
      <c r="AJ153" s="16" t="s">
        <v>295</v>
      </c>
      <c r="AK153">
        <f>AI153-VLOOKUP(AJ153,'Bag weights'!A$1:B$20,2,FALSE)</f>
        <v>2.9000000000000004</v>
      </c>
      <c r="AL153" s="16">
        <v>73.64</v>
      </c>
      <c r="AM153" s="16" t="s">
        <v>276</v>
      </c>
      <c r="AN153">
        <f>AL153-VLOOKUP(AM153,'Bag weights'!A$1:B$20,2,FALSE)</f>
        <v>52.69</v>
      </c>
      <c r="AO153" s="141">
        <v>2.89</v>
      </c>
      <c r="AP153" s="142" t="s">
        <v>298</v>
      </c>
      <c r="AQ153" s="143">
        <f>AO153-VLOOKUP(AP153,'Bag weights'!A$1:B$20,2,FALSE)</f>
        <v>1.4900000000000002</v>
      </c>
      <c r="AT153">
        <f>AR153-VLOOKUP(AS153,'Bag weights'!A$1:B$20,2,FALSE)</f>
        <v>0</v>
      </c>
      <c r="AU153" s="141">
        <v>0.62</v>
      </c>
      <c r="AV153" s="142" t="s">
        <v>302</v>
      </c>
      <c r="AW153" s="143">
        <f>AU153-VLOOKUP(AV153,'Bag weights'!A$1:B$20,2,FALSE)</f>
        <v>0.62</v>
      </c>
      <c r="AX153">
        <f t="shared" si="1"/>
        <v>68.959999999999994</v>
      </c>
      <c r="AY153" s="16" t="s">
        <v>349</v>
      </c>
      <c r="BD153" s="120">
        <v>17</v>
      </c>
      <c r="BH153" s="151">
        <v>1.9</v>
      </c>
    </row>
    <row r="154" spans="1:60">
      <c r="A154" s="86" t="s">
        <v>334</v>
      </c>
      <c r="B154" s="87"/>
      <c r="C154" s="87">
        <v>1</v>
      </c>
      <c r="D154" s="87" t="s">
        <v>108</v>
      </c>
      <c r="E154" s="2"/>
      <c r="F154" s="2"/>
      <c r="G154" s="2"/>
      <c r="H154" s="141">
        <v>0.34</v>
      </c>
      <c r="I154" s="142" t="s">
        <v>302</v>
      </c>
      <c r="J154" s="143">
        <f>H154-VLOOKUP(I154,'Bag weights'!A:B,2,FALSE)</f>
        <v>0.34</v>
      </c>
      <c r="M154">
        <f>K154-VLOOKUP(L154,'Bag weights'!A$1:B$20,2,FALSE)</f>
        <v>0</v>
      </c>
      <c r="O154" s="122"/>
      <c r="P154">
        <f>N154-VLOOKUP(O154,'Bag weights'!A$1:B$20,2,FALSE)</f>
        <v>0</v>
      </c>
      <c r="S154">
        <f>Q154-VLOOKUP(R154,'Bag weights'!A$1:B$20,2,FALSE)</f>
        <v>0</v>
      </c>
      <c r="T154" s="16">
        <v>16.22</v>
      </c>
      <c r="U154" s="16" t="s">
        <v>294</v>
      </c>
      <c r="V154">
        <f>T154-VLOOKUP(U154,'Bag weights'!A$1:B$20,2,FALSE)</f>
        <v>1.8399999999999981</v>
      </c>
      <c r="W154" s="141">
        <v>0.31</v>
      </c>
      <c r="X154" s="142" t="s">
        <v>302</v>
      </c>
      <c r="Y154" s="143">
        <f>W154-VLOOKUP(X154,'Bag weights'!A$1:B$20,2,FALSE)</f>
        <v>0.31</v>
      </c>
      <c r="Z154" s="16">
        <v>16.989999999999998</v>
      </c>
      <c r="AA154" s="16" t="s">
        <v>294</v>
      </c>
      <c r="AB154">
        <f>Z154-VLOOKUP(AA154,'Bag weights'!A$1:B$20,2,FALSE)</f>
        <v>2.6099999999999977</v>
      </c>
      <c r="AC154" s="16">
        <v>19.989999999999998</v>
      </c>
      <c r="AD154" s="16" t="s">
        <v>294</v>
      </c>
      <c r="AE154">
        <f>AC154-VLOOKUP(AD154,'Bag weights'!A$1:B$20,2,FALSE)</f>
        <v>5.6099999999999977</v>
      </c>
      <c r="AF154" s="16">
        <v>17.07</v>
      </c>
      <c r="AG154" s="16" t="s">
        <v>294</v>
      </c>
      <c r="AH154">
        <f>AF154-VLOOKUP(AG154,'Bag weights'!A$1:B$20,2,FALSE)</f>
        <v>2.6899999999999995</v>
      </c>
      <c r="AI154" s="16">
        <v>20.78</v>
      </c>
      <c r="AJ154" s="16" t="s">
        <v>294</v>
      </c>
      <c r="AK154">
        <f>AI154-VLOOKUP(AJ154,'Bag weights'!A$1:B$20,2,FALSE)</f>
        <v>6.4</v>
      </c>
      <c r="AL154" s="16">
        <v>82.58</v>
      </c>
      <c r="AM154" s="16" t="s">
        <v>276</v>
      </c>
      <c r="AN154">
        <f>AL154-VLOOKUP(AM154,'Bag weights'!A$1:B$20,2,FALSE)</f>
        <v>61.629999999999995</v>
      </c>
      <c r="AO154" s="141">
        <v>4.96</v>
      </c>
      <c r="AP154" s="142" t="s">
        <v>296</v>
      </c>
      <c r="AQ154" s="143">
        <f>AO154-VLOOKUP(AP154,'Bag weights'!A$1:B$20,2,FALSE)</f>
        <v>2.4699999999999998</v>
      </c>
      <c r="AT154">
        <f>AR154-VLOOKUP(AS154,'Bag weights'!A$1:B$20,2,FALSE)</f>
        <v>0</v>
      </c>
      <c r="AU154" s="141">
        <v>0.38</v>
      </c>
      <c r="AV154" s="142" t="s">
        <v>302</v>
      </c>
      <c r="AW154" s="143">
        <f>AU154-VLOOKUP(AV154,'Bag weights'!A$1:B$20,2,FALSE)</f>
        <v>0.38</v>
      </c>
      <c r="AX154">
        <f t="shared" si="1"/>
        <v>83.9</v>
      </c>
      <c r="BD154" s="120">
        <v>16.600000000000001</v>
      </c>
      <c r="BH154" s="151">
        <v>2.38</v>
      </c>
    </row>
    <row r="155" spans="1:60">
      <c r="A155" s="87"/>
      <c r="B155" s="87"/>
      <c r="C155" s="87">
        <v>1</v>
      </c>
      <c r="D155" s="87" t="s">
        <v>109</v>
      </c>
      <c r="E155" s="2"/>
      <c r="F155" s="2"/>
      <c r="G155" s="2"/>
      <c r="H155" s="16">
        <v>3.88</v>
      </c>
      <c r="J155">
        <f>H155-VLOOKUP(I155,'Bag weights'!A:B,2,FALSE)</f>
        <v>3.88</v>
      </c>
      <c r="M155">
        <f>K155-VLOOKUP(L155,'Bag weights'!A$1:B$20,2,FALSE)</f>
        <v>0</v>
      </c>
      <c r="O155" s="122"/>
      <c r="P155">
        <f>N155-VLOOKUP(O155,'Bag weights'!A$1:B$20,2,FALSE)</f>
        <v>0</v>
      </c>
      <c r="S155">
        <f>Q155-VLOOKUP(R155,'Bag weights'!A$1:B$20,2,FALSE)</f>
        <v>0</v>
      </c>
      <c r="T155" s="16">
        <v>1.47</v>
      </c>
      <c r="V155">
        <f>T155-VLOOKUP(U155,'Bag weights'!A$1:B$20,2,FALSE)</f>
        <v>1.47</v>
      </c>
      <c r="Y155">
        <f>W155-VLOOKUP(X155,'Bag weights'!A$1:B$20,2,FALSE)</f>
        <v>0</v>
      </c>
      <c r="Z155" s="16">
        <v>2.73</v>
      </c>
      <c r="AB155">
        <f>Z155-VLOOKUP(AA155,'Bag weights'!A$1:B$20,2,FALSE)</f>
        <v>2.73</v>
      </c>
      <c r="AC155" s="16">
        <v>4.79</v>
      </c>
      <c r="AD155" s="16"/>
      <c r="AE155">
        <f>AC155-VLOOKUP(AD155,'Bag weights'!A$1:B$20,2,FALSE)</f>
        <v>4.79</v>
      </c>
      <c r="AF155" s="141">
        <v>0.23</v>
      </c>
      <c r="AG155" s="142" t="s">
        <v>302</v>
      </c>
      <c r="AH155" s="143">
        <f>AF155-VLOOKUP(AG155,'Bag weights'!A$1:B$20,2,FALSE)</f>
        <v>0.23</v>
      </c>
      <c r="AI155" s="16">
        <v>15.18</v>
      </c>
      <c r="AK155">
        <f>AI155-VLOOKUP(AJ155,'Bag weights'!A$1:B$20,2,FALSE)</f>
        <v>15.18</v>
      </c>
      <c r="AL155" s="16">
        <v>49.08</v>
      </c>
      <c r="AN155">
        <f>AL155-VLOOKUP(AM155,'Bag weights'!A$1:B$20,2,FALSE)</f>
        <v>49.08</v>
      </c>
      <c r="AO155" s="141">
        <v>4.6399999999999997</v>
      </c>
      <c r="AP155" s="142" t="s">
        <v>296</v>
      </c>
      <c r="AQ155" s="143">
        <f>AO155-VLOOKUP(AP155,'Bag weights'!A$1:B$20,2,FALSE)</f>
        <v>2.1499999999999995</v>
      </c>
      <c r="AT155">
        <f>AR155-VLOOKUP(AS155,'Bag weights'!A$1:B$20,2,FALSE)</f>
        <v>0</v>
      </c>
      <c r="AU155" s="141">
        <v>0.8</v>
      </c>
      <c r="AV155" s="142" t="s">
        <v>302</v>
      </c>
      <c r="AW155" s="143">
        <f>AU155-VLOOKUP(AV155,'Bag weights'!A$1:B$20,2,FALSE)</f>
        <v>0.8</v>
      </c>
      <c r="AX155">
        <f t="shared" si="1"/>
        <v>79.510000000000005</v>
      </c>
      <c r="BD155" s="120">
        <v>15.4</v>
      </c>
      <c r="BH155" s="151">
        <v>1.51</v>
      </c>
    </row>
    <row r="156" spans="1:60">
      <c r="A156" s="87"/>
      <c r="B156" s="87"/>
      <c r="C156" s="87">
        <v>1</v>
      </c>
      <c r="D156" s="87" t="s">
        <v>87</v>
      </c>
      <c r="E156" s="2"/>
      <c r="F156" s="2"/>
      <c r="G156" s="2"/>
      <c r="H156" s="141">
        <v>0.89</v>
      </c>
      <c r="I156" s="142" t="s">
        <v>302</v>
      </c>
      <c r="J156" s="143">
        <f>H156-VLOOKUP(I156,'Bag weights'!A:B,2,FALSE)</f>
        <v>0.89</v>
      </c>
      <c r="M156">
        <f>K156-VLOOKUP(L156,'Bag weights'!A$1:B$20,2,FALSE)</f>
        <v>0</v>
      </c>
      <c r="O156" s="122"/>
      <c r="P156">
        <f>N156-VLOOKUP(O156,'Bag weights'!A$1:B$20,2,FALSE)</f>
        <v>0</v>
      </c>
      <c r="S156">
        <f>Q156-VLOOKUP(R156,'Bag weights'!A$1:B$20,2,FALSE)</f>
        <v>0</v>
      </c>
      <c r="T156" s="16">
        <v>9.2100000000000009</v>
      </c>
      <c r="U156" s="16" t="s">
        <v>295</v>
      </c>
      <c r="V156">
        <f>T156-VLOOKUP(U156,'Bag weights'!A$1:B$20,2,FALSE)</f>
        <v>1.3800000000000008</v>
      </c>
      <c r="Y156">
        <f>W156-VLOOKUP(X156,'Bag weights'!A$1:B$20,2,FALSE)</f>
        <v>0</v>
      </c>
      <c r="Z156" s="16">
        <v>11.5</v>
      </c>
      <c r="AA156" s="16" t="s">
        <v>295</v>
      </c>
      <c r="AB156">
        <f>Z156-VLOOKUP(AA156,'Bag weights'!A$1:B$20,2,FALSE)</f>
        <v>3.67</v>
      </c>
      <c r="AC156" s="16">
        <v>16.16</v>
      </c>
      <c r="AD156" s="16" t="s">
        <v>295</v>
      </c>
      <c r="AE156">
        <f>AC156-VLOOKUP(AD156,'Bag weights'!A$1:B$20,2,FALSE)</f>
        <v>8.33</v>
      </c>
      <c r="AF156" s="141">
        <v>0.59</v>
      </c>
      <c r="AG156" s="142" t="s">
        <v>302</v>
      </c>
      <c r="AH156" s="143">
        <f>AF156-VLOOKUP(AG156,'Bag weights'!A$1:B$20,2,FALSE)</f>
        <v>0.59</v>
      </c>
      <c r="AI156" s="16">
        <v>14.08</v>
      </c>
      <c r="AJ156" s="16" t="s">
        <v>295</v>
      </c>
      <c r="AK156">
        <f>AI156-VLOOKUP(AJ156,'Bag weights'!A$1:B$20,2,FALSE)</f>
        <v>6.25</v>
      </c>
      <c r="AL156" s="16">
        <v>91.24</v>
      </c>
      <c r="AM156" s="16" t="s">
        <v>276</v>
      </c>
      <c r="AN156">
        <f>AL156-VLOOKUP(AM156,'Bag weights'!A$1:B$20,2,FALSE)</f>
        <v>70.289999999999992</v>
      </c>
      <c r="AO156" s="141">
        <v>5.18</v>
      </c>
      <c r="AP156" s="142" t="s">
        <v>296</v>
      </c>
      <c r="AQ156" s="143">
        <f>AO156-VLOOKUP(AP156,'Bag weights'!A$1:B$20,2,FALSE)</f>
        <v>2.6899999999999995</v>
      </c>
      <c r="AT156">
        <f>AR156-VLOOKUP(AS156,'Bag weights'!A$1:B$20,2,FALSE)</f>
        <v>0</v>
      </c>
      <c r="AU156" s="141">
        <v>7.0000000000000007E-2</v>
      </c>
      <c r="AV156" s="142" t="s">
        <v>302</v>
      </c>
      <c r="AW156" s="143">
        <f>AU156-VLOOKUP(AV156,'Bag weights'!A$1:B$20,2,FALSE)</f>
        <v>7.0000000000000007E-2</v>
      </c>
      <c r="AX156">
        <f t="shared" si="1"/>
        <v>94.089999999999989</v>
      </c>
      <c r="BD156" s="120">
        <v>23.9</v>
      </c>
      <c r="BH156" s="151">
        <v>4.26</v>
      </c>
    </row>
    <row r="157" spans="1:60">
      <c r="A157" s="87"/>
      <c r="B157" s="87"/>
      <c r="C157" s="87">
        <v>1</v>
      </c>
      <c r="D157" s="87" t="s">
        <v>79</v>
      </c>
      <c r="E157" s="2"/>
      <c r="F157" s="2"/>
      <c r="G157" s="2"/>
      <c r="H157" s="141">
        <v>3.33</v>
      </c>
      <c r="I157" s="142" t="s">
        <v>296</v>
      </c>
      <c r="J157" s="143">
        <f>H157-VLOOKUP(I157,'Bag weights'!A:B,2,FALSE)</f>
        <v>0.83999999999999986</v>
      </c>
      <c r="M157">
        <f>K157-VLOOKUP(L157,'Bag weights'!A$1:B$20,2,FALSE)</f>
        <v>0</v>
      </c>
      <c r="O157" s="122"/>
      <c r="P157">
        <f>N157-VLOOKUP(O157,'Bag weights'!A$1:B$20,2,FALSE)</f>
        <v>0</v>
      </c>
      <c r="S157">
        <f>Q157-VLOOKUP(R157,'Bag weights'!A$1:B$20,2,FALSE)</f>
        <v>0</v>
      </c>
      <c r="T157" s="16">
        <v>1.95</v>
      </c>
      <c r="V157">
        <f>T157-VLOOKUP(U157,'Bag weights'!A$1:B$20,2,FALSE)</f>
        <v>1.95</v>
      </c>
      <c r="W157" s="141">
        <v>0.48</v>
      </c>
      <c r="X157" s="142" t="s">
        <v>302</v>
      </c>
      <c r="Y157" s="143">
        <f>W157-VLOOKUP(X157,'Bag weights'!A$1:B$20,2,FALSE)</f>
        <v>0.48</v>
      </c>
      <c r="Z157" s="16">
        <v>2.79</v>
      </c>
      <c r="AB157">
        <f>Z157-VLOOKUP(AA157,'Bag weights'!A$1:B$20,2,FALSE)</f>
        <v>2.79</v>
      </c>
      <c r="AC157" s="16">
        <v>32.659999999999997</v>
      </c>
      <c r="AD157" s="16" t="s">
        <v>276</v>
      </c>
      <c r="AE157">
        <f>AC157-VLOOKUP(AD157,'Bag weights'!A$1:B$20,2,FALSE)</f>
        <v>11.709999999999997</v>
      </c>
      <c r="AF157" s="141">
        <v>0.18</v>
      </c>
      <c r="AG157" s="142" t="s">
        <v>302</v>
      </c>
      <c r="AH157" s="143">
        <f>AF157-VLOOKUP(AG157,'Bag weights'!A$1:B$20,2,FALSE)</f>
        <v>0.18</v>
      </c>
      <c r="AI157" s="16">
        <v>9.4499999999999993</v>
      </c>
      <c r="AK157">
        <f>AI157-VLOOKUP(AJ157,'Bag weights'!A$1:B$20,2,FALSE)</f>
        <v>9.4499999999999993</v>
      </c>
      <c r="AL157" s="16">
        <v>72.099999999999994</v>
      </c>
      <c r="AM157" s="16" t="s">
        <v>276</v>
      </c>
      <c r="AN157">
        <f>AL157-VLOOKUP(AM157,'Bag weights'!A$1:B$20,2,FALSE)</f>
        <v>51.149999999999991</v>
      </c>
      <c r="AO157" s="141">
        <v>6.03</v>
      </c>
      <c r="AP157" s="142" t="s">
        <v>296</v>
      </c>
      <c r="AQ157" s="143">
        <f>AO157-VLOOKUP(AP157,'Bag weights'!A$1:B$20,2,FALSE)</f>
        <v>3.54</v>
      </c>
      <c r="AT157">
        <f>AR157-VLOOKUP(AS157,'Bag weights'!A$1:B$20,2,FALSE)</f>
        <v>0</v>
      </c>
      <c r="AU157" s="141">
        <v>0.32</v>
      </c>
      <c r="AV157" s="142" t="s">
        <v>302</v>
      </c>
      <c r="AW157" s="143">
        <f>AU157-VLOOKUP(AV157,'Bag weights'!A$1:B$20,2,FALSE)</f>
        <v>0.32</v>
      </c>
      <c r="AX157">
        <f t="shared" si="1"/>
        <v>82.09</v>
      </c>
      <c r="BD157" s="120">
        <v>18.2</v>
      </c>
      <c r="BH157" s="151">
        <v>2.82</v>
      </c>
    </row>
    <row r="158" spans="1:60">
      <c r="A158" s="87"/>
      <c r="B158" s="87"/>
      <c r="C158" s="87">
        <v>2</v>
      </c>
      <c r="D158" s="87" t="s">
        <v>83</v>
      </c>
      <c r="E158" s="2"/>
      <c r="F158" s="2"/>
      <c r="G158" s="2"/>
      <c r="H158" s="16">
        <v>13.67</v>
      </c>
      <c r="I158" s="16" t="s">
        <v>295</v>
      </c>
      <c r="J158">
        <f>H158-VLOOKUP(I158,'Bag weights'!A:B,2,FALSE)</f>
        <v>5.84</v>
      </c>
      <c r="M158">
        <f>K158-VLOOKUP(L158,'Bag weights'!A$1:B$20,2,FALSE)</f>
        <v>0</v>
      </c>
      <c r="N158" s="16">
        <v>11.62</v>
      </c>
      <c r="O158" s="119" t="s">
        <v>295</v>
      </c>
      <c r="P158">
        <f>N158-VLOOKUP(O158,'Bag weights'!A$1:B$20,2,FALSE)</f>
        <v>3.7899999999999991</v>
      </c>
      <c r="S158">
        <f>Q158-VLOOKUP(R158,'Bag weights'!A$1:B$20,2,FALSE)</f>
        <v>0</v>
      </c>
      <c r="T158" s="16">
        <v>9.33</v>
      </c>
      <c r="U158" s="16" t="s">
        <v>295</v>
      </c>
      <c r="V158">
        <f>T158-VLOOKUP(U158,'Bag weights'!A$1:B$20,2,FALSE)</f>
        <v>1.5</v>
      </c>
      <c r="Y158">
        <f>W158-VLOOKUP(X158,'Bag weights'!A$1:B$20,2,FALSE)</f>
        <v>0</v>
      </c>
      <c r="Z158" s="16">
        <v>19.36</v>
      </c>
      <c r="AA158" s="16" t="s">
        <v>295</v>
      </c>
      <c r="AB158">
        <f>Z158-VLOOKUP(AA158,'Bag weights'!A$1:B$20,2,FALSE)</f>
        <v>11.53</v>
      </c>
      <c r="AC158" s="16">
        <v>50.02</v>
      </c>
      <c r="AD158" s="16" t="s">
        <v>276</v>
      </c>
      <c r="AE158">
        <f>AC158-VLOOKUP(AD158,'Bag weights'!A$1:B$20,2,FALSE)</f>
        <v>29.070000000000004</v>
      </c>
      <c r="AH158">
        <f>AF158-VLOOKUP(AG158,'Bag weights'!A$1:B$20,2,FALSE)</f>
        <v>0</v>
      </c>
      <c r="AI158" s="141">
        <v>0.84</v>
      </c>
      <c r="AJ158" s="142" t="s">
        <v>302</v>
      </c>
      <c r="AK158" s="143">
        <f>AI158-VLOOKUP(AJ158,'Bag weights'!A$1:B$20,2,FALSE)</f>
        <v>0.84</v>
      </c>
      <c r="AL158" s="16"/>
      <c r="AM158" s="16"/>
      <c r="AN158">
        <f>AL158-VLOOKUP(AM158,'Bag weights'!A$1:B$20,2,FALSE)</f>
        <v>0</v>
      </c>
      <c r="AO158" s="16">
        <v>11.03</v>
      </c>
      <c r="AP158" s="16" t="s">
        <v>295</v>
      </c>
      <c r="AQ158">
        <f>AO158-VLOOKUP(AP158,'Bag weights'!A$1:B$20,2,FALSE)</f>
        <v>3.1999999999999993</v>
      </c>
      <c r="AT158">
        <f>AR158-VLOOKUP(AS158,'Bag weights'!A$1:B$20,2,FALSE)</f>
        <v>0</v>
      </c>
      <c r="AU158" s="141">
        <v>0.54</v>
      </c>
      <c r="AV158" s="142" t="s">
        <v>302</v>
      </c>
      <c r="AW158" s="143">
        <f>AU158-VLOOKUP(AV158,'Bag weights'!A$1:B$20,2,FALSE)</f>
        <v>0.54</v>
      </c>
      <c r="AX158">
        <f t="shared" si="1"/>
        <v>55.77</v>
      </c>
      <c r="BD158" s="120">
        <v>13.3</v>
      </c>
      <c r="BH158" s="151">
        <v>2.5099999999999998</v>
      </c>
    </row>
    <row r="159" spans="1:60">
      <c r="A159" s="87"/>
      <c r="B159" s="87"/>
      <c r="C159" s="87">
        <v>2</v>
      </c>
      <c r="D159" s="87" t="s">
        <v>108</v>
      </c>
      <c r="E159" s="2"/>
      <c r="F159" s="2"/>
      <c r="G159" s="2"/>
      <c r="H159" s="16">
        <v>8.44</v>
      </c>
      <c r="J159">
        <f>H159-VLOOKUP(I159,'Bag weights'!A:B,2,FALSE)</f>
        <v>8.44</v>
      </c>
      <c r="M159">
        <f>K159-VLOOKUP(L159,'Bag weights'!A$1:B$20,2,FALSE)</f>
        <v>0</v>
      </c>
      <c r="N159" s="141">
        <v>5.66</v>
      </c>
      <c r="O159" s="142" t="s">
        <v>296</v>
      </c>
      <c r="P159" s="143">
        <f>N159-VLOOKUP(O159,'Bag weights'!A$1:B$20,2,FALSE)</f>
        <v>3.17</v>
      </c>
      <c r="S159">
        <f>Q159-VLOOKUP(R159,'Bag weights'!A$1:B$20,2,FALSE)</f>
        <v>0</v>
      </c>
      <c r="T159" s="16">
        <v>2.8</v>
      </c>
      <c r="V159">
        <f>T159-VLOOKUP(U159,'Bag weights'!A$1:B$20,2,FALSE)</f>
        <v>2.8</v>
      </c>
      <c r="Y159">
        <f>W159-VLOOKUP(X159,'Bag weights'!A$1:B$20,2,FALSE)</f>
        <v>0</v>
      </c>
      <c r="Z159" s="16">
        <v>4.2</v>
      </c>
      <c r="AB159">
        <f>Z159-VLOOKUP(AA159,'Bag weights'!A$1:B$20,2,FALSE)</f>
        <v>4.2</v>
      </c>
      <c r="AC159" s="16">
        <v>14.19</v>
      </c>
      <c r="AE159">
        <f>AC159-VLOOKUP(AD159,'Bag weights'!A$1:B$20,2,FALSE)</f>
        <v>14.19</v>
      </c>
      <c r="AF159" s="16">
        <v>6.11</v>
      </c>
      <c r="AH159">
        <f>AF159-VLOOKUP(AG159,'Bag weights'!A$1:B$20,2,FALSE)</f>
        <v>6.11</v>
      </c>
      <c r="AI159" s="141">
        <v>5.23</v>
      </c>
      <c r="AJ159" s="142" t="s">
        <v>296</v>
      </c>
      <c r="AK159" s="143">
        <f>AI159-VLOOKUP(AJ159,'Bag weights'!A$1:B$20,2,FALSE)</f>
        <v>2.74</v>
      </c>
      <c r="AL159" s="16">
        <v>30.4</v>
      </c>
      <c r="AN159">
        <f>AL159-VLOOKUP(AM159,'Bag weights'!A$1:B$20,2,FALSE)</f>
        <v>30.4</v>
      </c>
      <c r="AO159" s="141">
        <v>4.8499999999999996</v>
      </c>
      <c r="AP159" s="142" t="s">
        <v>296</v>
      </c>
      <c r="AQ159" s="143">
        <f>AO159-VLOOKUP(AP159,'Bag weights'!A$1:B$20,2,FALSE)</f>
        <v>2.3599999999999994</v>
      </c>
      <c r="AT159">
        <f>AR159-VLOOKUP(AS159,'Bag weights'!A$1:B$20,2,FALSE)</f>
        <v>0</v>
      </c>
      <c r="AU159" s="141">
        <v>0.52</v>
      </c>
      <c r="AV159" s="142" t="s">
        <v>302</v>
      </c>
      <c r="AW159" s="143">
        <f>AU159-VLOOKUP(AV159,'Bag weights'!A$1:B$20,2,FALSE)</f>
        <v>0.52</v>
      </c>
      <c r="AX159">
        <f t="shared" si="1"/>
        <v>74.41</v>
      </c>
      <c r="BD159" s="120">
        <v>22.1</v>
      </c>
      <c r="BH159" s="151">
        <v>2.19</v>
      </c>
    </row>
    <row r="160" spans="1:60">
      <c r="A160" s="87"/>
      <c r="B160" s="87"/>
      <c r="C160" s="87">
        <v>2</v>
      </c>
      <c r="D160" s="87" t="s">
        <v>109</v>
      </c>
      <c r="E160" s="2"/>
      <c r="F160" s="2"/>
      <c r="G160" s="2"/>
      <c r="H160" s="16">
        <v>11.42</v>
      </c>
      <c r="I160" s="16" t="s">
        <v>295</v>
      </c>
      <c r="J160">
        <f>H160-VLOOKUP(I160,'Bag weights'!A:B,2,FALSE)</f>
        <v>3.59</v>
      </c>
      <c r="M160">
        <f>K160-VLOOKUP(L160,'Bag weights'!A$1:B$20,2,FALSE)</f>
        <v>0</v>
      </c>
      <c r="N160" s="16">
        <v>21.45</v>
      </c>
      <c r="O160" s="119" t="s">
        <v>295</v>
      </c>
      <c r="P160">
        <f>N160-VLOOKUP(O160,'Bag weights'!A$1:B$20,2,FALSE)</f>
        <v>13.62</v>
      </c>
      <c r="S160">
        <f>Q160-VLOOKUP(R160,'Bag weights'!A$1:B$20,2,FALSE)</f>
        <v>0</v>
      </c>
      <c r="T160" s="16">
        <v>9.01</v>
      </c>
      <c r="U160" s="16" t="s">
        <v>295</v>
      </c>
      <c r="V160">
        <f>T160-VLOOKUP(U160,'Bag weights'!A$1:B$20,2,FALSE)</f>
        <v>1.1799999999999997</v>
      </c>
      <c r="Y160">
        <f>W160-VLOOKUP(X160,'Bag weights'!A$1:B$20,2,FALSE)</f>
        <v>0</v>
      </c>
      <c r="Z160" s="16">
        <v>13.51</v>
      </c>
      <c r="AA160" s="16" t="s">
        <v>295</v>
      </c>
      <c r="AB160">
        <f>Z160-VLOOKUP(AA160,'Bag weights'!A$1:B$20,2,FALSE)</f>
        <v>5.68</v>
      </c>
      <c r="AC160" s="16">
        <v>20.54</v>
      </c>
      <c r="AD160" s="16" t="s">
        <v>295</v>
      </c>
      <c r="AE160">
        <f>AC160-VLOOKUP(AD160,'Bag weights'!A$1:B$20,2,FALSE)</f>
        <v>12.709999999999999</v>
      </c>
      <c r="AH160">
        <f>AF160-VLOOKUP(AG160,'Bag weights'!A$1:B$20,2,FALSE)</f>
        <v>0</v>
      </c>
      <c r="AI160" s="16">
        <v>11.94</v>
      </c>
      <c r="AJ160" s="16" t="s">
        <v>295</v>
      </c>
      <c r="AK160">
        <f>AI160-VLOOKUP(AJ160,'Bag weights'!A$1:B$20,2,FALSE)</f>
        <v>4.1099999999999994</v>
      </c>
      <c r="AL160" s="16">
        <v>57.55</v>
      </c>
      <c r="AM160" s="16" t="s">
        <v>276</v>
      </c>
      <c r="AN160">
        <f>AL160-VLOOKUP(AM160,'Bag weights'!A$1:B$20,2,FALSE)</f>
        <v>36.599999999999994</v>
      </c>
      <c r="AO160" s="141">
        <v>5.04</v>
      </c>
      <c r="AP160" s="142" t="s">
        <v>296</v>
      </c>
      <c r="AQ160" s="143">
        <f>AO160-VLOOKUP(AP160,'Bag weights'!A$1:B$20,2,FALSE)</f>
        <v>2.5499999999999998</v>
      </c>
      <c r="AT160">
        <f>AR160-VLOOKUP(AS160,'Bag weights'!A$1:B$20,2,FALSE)</f>
        <v>0</v>
      </c>
      <c r="AU160" s="141">
        <v>0.98</v>
      </c>
      <c r="AV160" s="142" t="s">
        <v>302</v>
      </c>
      <c r="AW160" s="143">
        <f>AU160-VLOOKUP(AV160,'Bag weights'!A$1:B$20,2,FALSE)</f>
        <v>0.98</v>
      </c>
      <c r="AX160">
        <f t="shared" si="1"/>
        <v>80.039999999999992</v>
      </c>
      <c r="BD160" s="120">
        <v>9.6999999999999993</v>
      </c>
      <c r="BH160" s="151">
        <v>2.35</v>
      </c>
    </row>
    <row r="161" spans="1:60">
      <c r="A161" s="87"/>
      <c r="B161" s="87"/>
      <c r="C161" s="87">
        <v>2</v>
      </c>
      <c r="D161" s="87" t="s">
        <v>87</v>
      </c>
      <c r="E161" s="2"/>
      <c r="F161" s="2"/>
      <c r="G161" s="2"/>
      <c r="H161" s="141">
        <v>4.4800000000000004</v>
      </c>
      <c r="I161" s="142" t="s">
        <v>296</v>
      </c>
      <c r="J161" s="143">
        <f>H161-VLOOKUP(I161,'Bag weights'!A:B,2,FALSE)</f>
        <v>1.9900000000000002</v>
      </c>
      <c r="K161" s="141">
        <v>0.74</v>
      </c>
      <c r="L161" s="142" t="s">
        <v>302</v>
      </c>
      <c r="M161" s="143">
        <f>K161-VLOOKUP(L161,'Bag weights'!A$1:B$20,2,FALSE)</f>
        <v>0.74</v>
      </c>
      <c r="N161" s="16">
        <v>16.489999999999998</v>
      </c>
      <c r="O161" s="122"/>
      <c r="P161">
        <f>N161-VLOOKUP(O161,'Bag weights'!A$1:B$20,2,FALSE)</f>
        <v>16.489999999999998</v>
      </c>
      <c r="S161">
        <f>Q161-VLOOKUP(R161,'Bag weights'!A$1:B$20,2,FALSE)</f>
        <v>0</v>
      </c>
      <c r="T161" s="141">
        <v>3.36</v>
      </c>
      <c r="U161" s="142" t="s">
        <v>296</v>
      </c>
      <c r="V161" s="143">
        <f>T161-VLOOKUP(U161,'Bag weights'!A$1:B$20,2,FALSE)</f>
        <v>0.86999999999999966</v>
      </c>
      <c r="Y161">
        <f>W161-VLOOKUP(X161,'Bag weights'!A$1:B$20,2,FALSE)</f>
        <v>0</v>
      </c>
      <c r="Z161" s="146">
        <v>2.74</v>
      </c>
      <c r="AA161" s="146" t="s">
        <v>302</v>
      </c>
      <c r="AB161" s="143">
        <f>Z161-VLOOKUP(AA161,'Bag weights'!A$1:B$20,2,FALSE)</f>
        <v>2.74</v>
      </c>
      <c r="AC161" s="16">
        <v>12.14</v>
      </c>
      <c r="AE161">
        <f>AC161-VLOOKUP(AD161,'Bag weights'!A$1:B$20,2,FALSE)</f>
        <v>12.14</v>
      </c>
      <c r="AF161" s="141">
        <v>0.59</v>
      </c>
      <c r="AG161" s="142" t="s">
        <v>302</v>
      </c>
      <c r="AH161" s="143">
        <f>AF161-VLOOKUP(AG161,'Bag weights'!A$1:B$20,2,FALSE)</f>
        <v>0.59</v>
      </c>
      <c r="AI161" s="16">
        <v>7.88</v>
      </c>
      <c r="AK161">
        <f>AI161-VLOOKUP(AJ161,'Bag weights'!A$1:B$20,2,FALSE)</f>
        <v>7.88</v>
      </c>
      <c r="AL161" s="16">
        <v>47.71</v>
      </c>
      <c r="AN161">
        <f>AL161-VLOOKUP(AM161,'Bag weights'!A$1:B$20,2,FALSE)</f>
        <v>47.71</v>
      </c>
      <c r="AO161" s="141">
        <v>4.01</v>
      </c>
      <c r="AP161" s="142" t="s">
        <v>296</v>
      </c>
      <c r="AQ161" s="143">
        <f>AO161-VLOOKUP(AP161,'Bag weights'!A$1:B$20,2,FALSE)</f>
        <v>1.5199999999999996</v>
      </c>
      <c r="AT161">
        <f>AR161-VLOOKUP(AS161,'Bag weights'!A$1:B$20,2,FALSE)</f>
        <v>0</v>
      </c>
      <c r="AU161" s="141">
        <v>1.44</v>
      </c>
      <c r="AV161" s="142" t="s">
        <v>302</v>
      </c>
      <c r="AW161" s="143">
        <f>AU161-VLOOKUP(AV161,'Bag weights'!A$1:B$20,2,FALSE)</f>
        <v>1.44</v>
      </c>
      <c r="AX161">
        <f t="shared" si="1"/>
        <v>92.669999999999987</v>
      </c>
      <c r="BD161" s="120">
        <v>12.7</v>
      </c>
      <c r="BH161" s="151">
        <v>1.1200000000000001</v>
      </c>
    </row>
    <row r="162" spans="1:60">
      <c r="A162" s="87"/>
      <c r="B162" s="87"/>
      <c r="C162" s="87">
        <v>2</v>
      </c>
      <c r="D162" s="87" t="s">
        <v>79</v>
      </c>
      <c r="E162" s="2"/>
      <c r="F162" s="2"/>
      <c r="G162" s="2"/>
      <c r="H162" s="16">
        <v>3.07</v>
      </c>
      <c r="J162">
        <f>H162-VLOOKUP(I162,'Bag weights'!A:B,2,FALSE)</f>
        <v>3.07</v>
      </c>
      <c r="K162" s="141">
        <v>0.45</v>
      </c>
      <c r="L162" s="142" t="s">
        <v>302</v>
      </c>
      <c r="M162" s="143">
        <f>K162-VLOOKUP(L162,'Bag weights'!A$1:B$20,2,FALSE)</f>
        <v>0.45</v>
      </c>
      <c r="N162" s="16">
        <v>9.7200000000000006</v>
      </c>
      <c r="O162" s="122"/>
      <c r="P162">
        <f>N162-VLOOKUP(O162,'Bag weights'!A$1:B$20,2,FALSE)</f>
        <v>9.7200000000000006</v>
      </c>
      <c r="S162">
        <f>Q162-VLOOKUP(R162,'Bag weights'!A$1:B$20,2,FALSE)</f>
        <v>0</v>
      </c>
      <c r="T162" s="141">
        <v>3.77</v>
      </c>
      <c r="U162" s="142" t="s">
        <v>296</v>
      </c>
      <c r="V162" s="143">
        <f>T162-VLOOKUP(U162,'Bag weights'!A$1:B$20,2,FALSE)</f>
        <v>1.2799999999999998</v>
      </c>
      <c r="Y162">
        <f>W162-VLOOKUP(X162,'Bag weights'!A$1:B$20,2,FALSE)</f>
        <v>0</v>
      </c>
      <c r="Z162" s="16">
        <v>5.62</v>
      </c>
      <c r="AB162">
        <f>Z162-VLOOKUP(AA162,'Bag weights'!A$1:B$20,2,FALSE)</f>
        <v>5.62</v>
      </c>
      <c r="AC162" s="16">
        <v>12.95</v>
      </c>
      <c r="AE162">
        <f>AC162-VLOOKUP(AD162,'Bag weights'!A$1:B$20,2,FALSE)</f>
        <v>12.95</v>
      </c>
      <c r="AH162">
        <f>AF162-VLOOKUP(AG162,'Bag weights'!A$1:B$20,2,FALSE)</f>
        <v>0</v>
      </c>
      <c r="AI162" s="16">
        <v>2.98</v>
      </c>
      <c r="AK162">
        <f>AI162-VLOOKUP(AJ162,'Bag weights'!A$1:B$20,2,FALSE)</f>
        <v>2.98</v>
      </c>
      <c r="AL162" s="16">
        <v>47.95</v>
      </c>
      <c r="AN162">
        <f>AL162-VLOOKUP(AM162,'Bag weights'!A$1:B$20,2,FALSE)</f>
        <v>47.95</v>
      </c>
      <c r="AO162" s="16">
        <v>2.78</v>
      </c>
      <c r="AQ162">
        <f>AO162-VLOOKUP(AP162,'Bag weights'!A$1:B$20,2,FALSE)</f>
        <v>2.78</v>
      </c>
      <c r="AT162">
        <f>AR162-VLOOKUP(AS162,'Bag weights'!A$1:B$20,2,FALSE)</f>
        <v>0</v>
      </c>
      <c r="AU162" s="141">
        <v>4.9000000000000004</v>
      </c>
      <c r="AV162" s="142" t="s">
        <v>296</v>
      </c>
      <c r="AW162" s="143">
        <f>AU162-VLOOKUP(AV162,'Bag weights'!A$1:B$20,2,FALSE)</f>
        <v>2.41</v>
      </c>
      <c r="AX162">
        <f t="shared" si="1"/>
        <v>86.8</v>
      </c>
      <c r="BD162" s="120">
        <v>8.9</v>
      </c>
      <c r="BH162" s="151">
        <v>2.5299999999999998</v>
      </c>
    </row>
    <row r="163" spans="1:60">
      <c r="A163" s="87"/>
      <c r="B163" s="87"/>
      <c r="C163" s="87">
        <v>3</v>
      </c>
      <c r="D163" s="87" t="s">
        <v>83</v>
      </c>
      <c r="E163" s="2"/>
      <c r="F163" s="2"/>
      <c r="G163" s="2"/>
      <c r="H163" s="141">
        <v>0.3</v>
      </c>
      <c r="I163" s="142" t="s">
        <v>302</v>
      </c>
      <c r="J163" s="143">
        <f>H163-VLOOKUP(I163,'Bag weights'!A:B,2,FALSE)</f>
        <v>0.3</v>
      </c>
      <c r="M163">
        <f>K163-VLOOKUP(L163,'Bag weights'!A$1:B$20,2,FALSE)</f>
        <v>0</v>
      </c>
      <c r="N163" s="16">
        <v>9.4</v>
      </c>
      <c r="O163" s="119" t="s">
        <v>295</v>
      </c>
      <c r="P163">
        <f>N163-VLOOKUP(O163,'Bag weights'!A$1:B$20,2,FALSE)</f>
        <v>1.5700000000000003</v>
      </c>
      <c r="S163">
        <f>Q163-VLOOKUP(R163,'Bag weights'!A$1:B$20,2,FALSE)</f>
        <v>0</v>
      </c>
      <c r="T163" s="16">
        <v>10.38</v>
      </c>
      <c r="U163" s="16" t="s">
        <v>295</v>
      </c>
      <c r="V163">
        <f>T163-VLOOKUP(U163,'Bag weights'!A$1:B$20,2,FALSE)</f>
        <v>2.5500000000000007</v>
      </c>
      <c r="Y163">
        <f>W163-VLOOKUP(X163,'Bag weights'!A$1:B$20,2,FALSE)</f>
        <v>0</v>
      </c>
      <c r="Z163" s="16">
        <v>10.1</v>
      </c>
      <c r="AA163" s="16" t="s">
        <v>295</v>
      </c>
      <c r="AB163">
        <f>Z163-VLOOKUP(AA163,'Bag weights'!A$1:B$20,2,FALSE)</f>
        <v>2.2699999999999996</v>
      </c>
      <c r="AC163" s="16">
        <v>11.78</v>
      </c>
      <c r="AD163" s="16" t="s">
        <v>295</v>
      </c>
      <c r="AE163">
        <f>AC163-VLOOKUP(AD163,'Bag weights'!A$1:B$20,2,FALSE)</f>
        <v>3.9499999999999993</v>
      </c>
      <c r="AH163">
        <f>AF163-VLOOKUP(AG163,'Bag weights'!A$1:B$20,2,FALSE)</f>
        <v>0</v>
      </c>
      <c r="AI163" s="16">
        <v>9.51</v>
      </c>
      <c r="AJ163" s="16" t="s">
        <v>295</v>
      </c>
      <c r="AK163">
        <f>AI163-VLOOKUP(AJ163,'Bag weights'!A$1:B$20,2,FALSE)</f>
        <v>1.6799999999999997</v>
      </c>
      <c r="AL163" s="16">
        <v>107.19</v>
      </c>
      <c r="AM163" s="16" t="s">
        <v>332</v>
      </c>
      <c r="AN163">
        <f>AL163-VLOOKUP(AM163,'Bag weights'!A$1:B$20,2,FALSE)</f>
        <v>65.289999999999992</v>
      </c>
      <c r="AO163" s="141">
        <v>3.15</v>
      </c>
      <c r="AP163" s="142" t="s">
        <v>298</v>
      </c>
      <c r="AQ163" s="143">
        <f>AO163-VLOOKUP(AP163,'Bag weights'!A$1:B$20,2,FALSE)</f>
        <v>1.75</v>
      </c>
      <c r="AT163">
        <f>AR163-VLOOKUP(AS163,'Bag weights'!A$1:B$20,2,FALSE)</f>
        <v>0</v>
      </c>
      <c r="AU163" s="141">
        <v>0.32</v>
      </c>
      <c r="AV163" s="142" t="s">
        <v>302</v>
      </c>
      <c r="AW163" s="143">
        <f>AU163-VLOOKUP(AV163,'Bag weights'!A$1:B$20,2,FALSE)</f>
        <v>0.32</v>
      </c>
      <c r="AX163">
        <f t="shared" si="1"/>
        <v>79.359999999999985</v>
      </c>
      <c r="BD163" s="120">
        <v>9.4</v>
      </c>
      <c r="BH163" s="151">
        <v>1.86</v>
      </c>
    </row>
    <row r="164" spans="1:60">
      <c r="A164" s="87"/>
      <c r="B164" s="87"/>
      <c r="C164" s="87">
        <v>3</v>
      </c>
      <c r="D164" s="87" t="s">
        <v>108</v>
      </c>
      <c r="E164" s="2"/>
      <c r="F164" s="2"/>
      <c r="G164" s="2"/>
      <c r="H164" s="16">
        <v>9.0500000000000007</v>
      </c>
      <c r="I164" s="16" t="s">
        <v>295</v>
      </c>
      <c r="J164">
        <f>H164-VLOOKUP(I164,'Bag weights'!A:B,2,FALSE)</f>
        <v>1.2200000000000006</v>
      </c>
      <c r="M164">
        <f>K164-VLOOKUP(L164,'Bag weights'!A$1:B$20,2,FALSE)</f>
        <v>0</v>
      </c>
      <c r="N164" s="16">
        <v>11.05</v>
      </c>
      <c r="O164" s="119" t="s">
        <v>295</v>
      </c>
      <c r="P164">
        <f>N164-VLOOKUP(O164,'Bag weights'!A$1:B$20,2,FALSE)</f>
        <v>3.2200000000000006</v>
      </c>
      <c r="S164">
        <f>Q164-VLOOKUP(R164,'Bag weights'!A$1:B$20,2,FALSE)</f>
        <v>0</v>
      </c>
      <c r="T164" s="141">
        <v>0.43</v>
      </c>
      <c r="U164" s="142" t="s">
        <v>302</v>
      </c>
      <c r="V164" s="143">
        <f>T164-VLOOKUP(U164,'Bag weights'!A$1:B$20,2,FALSE)</f>
        <v>0.43</v>
      </c>
      <c r="Y164">
        <f>W164-VLOOKUP(X164,'Bag weights'!A$1:B$20,2,FALSE)</f>
        <v>0</v>
      </c>
      <c r="Z164" s="16">
        <v>17.239999999999998</v>
      </c>
      <c r="AA164" s="16" t="s">
        <v>295</v>
      </c>
      <c r="AB164">
        <f>Z164-VLOOKUP(AA164,'Bag weights'!A$1:B$20,2,FALSE)</f>
        <v>9.4099999999999984</v>
      </c>
      <c r="AC164" s="16">
        <v>43.49</v>
      </c>
      <c r="AD164" s="16" t="s">
        <v>276</v>
      </c>
      <c r="AE164">
        <f>AC164-VLOOKUP(AD164,'Bag weights'!A$1:B$20,2,FALSE)</f>
        <v>22.540000000000003</v>
      </c>
      <c r="AH164">
        <f>AF164-VLOOKUP(AG164,'Bag weights'!A$1:B$20,2,FALSE)</f>
        <v>0</v>
      </c>
      <c r="AI164" s="16">
        <v>9.25</v>
      </c>
      <c r="AJ164" s="16" t="s">
        <v>295</v>
      </c>
      <c r="AK164">
        <f>AI164-VLOOKUP(AJ164,'Bag weights'!A$1:B$20,2,FALSE)</f>
        <v>1.42</v>
      </c>
      <c r="AL164" s="16">
        <v>54.1</v>
      </c>
      <c r="AM164" s="16" t="s">
        <v>276</v>
      </c>
      <c r="AN164">
        <f>AL164-VLOOKUP(AM164,'Bag weights'!A$1:B$20,2,FALSE)</f>
        <v>33.150000000000006</v>
      </c>
      <c r="AO164" s="141">
        <v>3.98</v>
      </c>
      <c r="AP164" s="142" t="s">
        <v>296</v>
      </c>
      <c r="AQ164" s="143">
        <f>AO164-VLOOKUP(AP164,'Bag weights'!A$1:B$20,2,FALSE)</f>
        <v>1.4899999999999998</v>
      </c>
      <c r="AT164">
        <f>AR164-VLOOKUP(AS164,'Bag weights'!A$1:B$20,2,FALSE)</f>
        <v>0</v>
      </c>
      <c r="AU164" s="146">
        <v>0.54</v>
      </c>
      <c r="AV164" s="146" t="s">
        <v>302</v>
      </c>
      <c r="AW164" s="143">
        <f>AU164-VLOOKUP(AV164,'Bag weights'!A$1:B$20,2,FALSE)</f>
        <v>0.54</v>
      </c>
      <c r="AX164">
        <f t="shared" si="1"/>
        <v>72.88000000000001</v>
      </c>
      <c r="BD164" s="120">
        <v>9.6999999999999993</v>
      </c>
      <c r="BH164" s="151">
        <v>0.59</v>
      </c>
    </row>
    <row r="165" spans="1:60">
      <c r="A165" s="87"/>
      <c r="B165" s="87"/>
      <c r="C165" s="87">
        <v>3</v>
      </c>
      <c r="D165" s="87" t="s">
        <v>109</v>
      </c>
      <c r="E165" s="2"/>
      <c r="F165" s="2"/>
      <c r="G165" s="2"/>
      <c r="H165" s="16">
        <v>2.4900000000000002</v>
      </c>
      <c r="J165">
        <f>H165-VLOOKUP(I165,'Bag weights'!A:B,2,FALSE)</f>
        <v>2.4900000000000002</v>
      </c>
      <c r="K165" s="141">
        <v>0.23</v>
      </c>
      <c r="L165" s="142" t="s">
        <v>302</v>
      </c>
      <c r="M165" s="143">
        <f>K165-VLOOKUP(L165,'Bag weights'!A$1:B$20,2,FALSE)</f>
        <v>0.23</v>
      </c>
      <c r="N165" s="16">
        <v>4.18</v>
      </c>
      <c r="O165" s="122"/>
      <c r="P165">
        <f>N165-VLOOKUP(O165,'Bag weights'!A$1:B$20,2,FALSE)</f>
        <v>4.18</v>
      </c>
      <c r="S165">
        <f>Q165-VLOOKUP(R165,'Bag weights'!A$1:B$20,2,FALSE)</f>
        <v>0</v>
      </c>
      <c r="T165" s="16">
        <v>4.03</v>
      </c>
      <c r="V165">
        <f>T165-VLOOKUP(U165,'Bag weights'!A$1:B$20,2,FALSE)</f>
        <v>4.03</v>
      </c>
      <c r="Y165">
        <f>W165-VLOOKUP(X165,'Bag weights'!A$1:B$20,2,FALSE)</f>
        <v>0</v>
      </c>
      <c r="Z165" s="16">
        <v>1.83</v>
      </c>
      <c r="AB165">
        <f>Z165-VLOOKUP(AA165,'Bag weights'!A$1:B$20,2,FALSE)</f>
        <v>1.83</v>
      </c>
      <c r="AC165" s="16">
        <v>2.85</v>
      </c>
      <c r="AE165">
        <f>AC165-VLOOKUP(AD165,'Bag weights'!A$1:B$20,2,FALSE)</f>
        <v>2.85</v>
      </c>
      <c r="AF165" s="16">
        <v>1.1399999999999999</v>
      </c>
      <c r="AH165">
        <f>AF165-VLOOKUP(AG165,'Bag weights'!A$1:B$20,2,FALSE)</f>
        <v>1.1399999999999999</v>
      </c>
      <c r="AI165" s="16">
        <v>10.34</v>
      </c>
      <c r="AK165">
        <f>AI165-VLOOKUP(AJ165,'Bag weights'!A$1:B$20,2,FALSE)</f>
        <v>10.34</v>
      </c>
      <c r="AL165" s="16">
        <v>56.47</v>
      </c>
      <c r="AM165" s="16" t="s">
        <v>276</v>
      </c>
      <c r="AN165">
        <f>AL165-VLOOKUP(AM165,'Bag weights'!A$1:B$20,2,FALSE)</f>
        <v>35.519999999999996</v>
      </c>
      <c r="AO165" s="146">
        <v>3.12</v>
      </c>
      <c r="AP165" s="146" t="s">
        <v>302</v>
      </c>
      <c r="AQ165" s="143">
        <f>AO165-VLOOKUP(AP165,'Bag weights'!A$1:B$20,2,FALSE)</f>
        <v>3.12</v>
      </c>
      <c r="AT165">
        <f>AR165-VLOOKUP(AS165,'Bag weights'!A$1:B$20,2,FALSE)</f>
        <v>0</v>
      </c>
      <c r="AU165" s="141">
        <v>3.29</v>
      </c>
      <c r="AV165" s="142" t="s">
        <v>296</v>
      </c>
      <c r="AW165" s="143">
        <f>AU165-VLOOKUP(AV165,'Bag weights'!A$1:B$20,2,FALSE)</f>
        <v>0.79999999999999982</v>
      </c>
      <c r="AX165">
        <f t="shared" si="1"/>
        <v>65.73</v>
      </c>
      <c r="BD165" s="120">
        <v>8.8000000000000007</v>
      </c>
      <c r="BH165" s="151">
        <v>3.01</v>
      </c>
    </row>
    <row r="166" spans="1:60">
      <c r="A166" s="87"/>
      <c r="B166" s="87"/>
      <c r="C166" s="87">
        <v>3</v>
      </c>
      <c r="D166" s="87" t="s">
        <v>87</v>
      </c>
      <c r="E166" s="2"/>
      <c r="F166" s="2"/>
      <c r="G166" s="2"/>
      <c r="H166" s="141">
        <v>3.81</v>
      </c>
      <c r="I166" s="142" t="s">
        <v>296</v>
      </c>
      <c r="J166" s="143">
        <f>H166-VLOOKUP(I166,'Bag weights'!A:B,2,FALSE)</f>
        <v>1.3199999999999998</v>
      </c>
      <c r="M166">
        <f>K166-VLOOKUP(L166,'Bag weights'!A$1:B$20,2,FALSE)</f>
        <v>0</v>
      </c>
      <c r="N166" s="16">
        <v>11.17</v>
      </c>
      <c r="O166" s="119" t="s">
        <v>295</v>
      </c>
      <c r="P166">
        <f>N166-VLOOKUP(O166,'Bag weights'!A$1:B$20,2,FALSE)</f>
        <v>3.34</v>
      </c>
      <c r="S166">
        <f>Q166-VLOOKUP(R166,'Bag weights'!A$1:B$20,2,FALSE)</f>
        <v>0</v>
      </c>
      <c r="T166" s="16">
        <v>11.4</v>
      </c>
      <c r="U166" s="16" t="s">
        <v>295</v>
      </c>
      <c r="V166">
        <f>T166-VLOOKUP(U166,'Bag weights'!A$1:B$20,2,FALSE)</f>
        <v>3.5700000000000003</v>
      </c>
      <c r="Y166">
        <f>W166-VLOOKUP(X166,'Bag weights'!A$1:B$20,2,FALSE)</f>
        <v>0</v>
      </c>
      <c r="Z166" s="16">
        <v>26.14</v>
      </c>
      <c r="AA166" s="16" t="s">
        <v>295</v>
      </c>
      <c r="AB166">
        <f>Z166-VLOOKUP(AA166,'Bag weights'!A$1:B$20,2,FALSE)</f>
        <v>18.310000000000002</v>
      </c>
      <c r="AC166" s="16">
        <v>20.62</v>
      </c>
      <c r="AD166" s="16" t="s">
        <v>295</v>
      </c>
      <c r="AE166">
        <f>AC166-VLOOKUP(AD166,'Bag weights'!A$1:B$20,2,FALSE)</f>
        <v>12.790000000000001</v>
      </c>
      <c r="AH166">
        <f>AF166-VLOOKUP(AG166,'Bag weights'!A$1:B$20,2,FALSE)</f>
        <v>0</v>
      </c>
      <c r="AI166" s="16">
        <v>17.260000000000002</v>
      </c>
      <c r="AJ166" s="16" t="s">
        <v>295</v>
      </c>
      <c r="AK166">
        <f>AI166-VLOOKUP(AJ166,'Bag weights'!A$1:B$20,2,FALSE)</f>
        <v>9.4300000000000015</v>
      </c>
      <c r="AL166" s="16">
        <v>43.22</v>
      </c>
      <c r="AN166">
        <f>AL166-VLOOKUP(AM166,'Bag weights'!A$1:B$20,2,FALSE)</f>
        <v>43.22</v>
      </c>
      <c r="AO166" s="141">
        <v>5.68</v>
      </c>
      <c r="AP166" s="142" t="s">
        <v>296</v>
      </c>
      <c r="AQ166" s="143">
        <f>AO166-VLOOKUP(AP166,'Bag weights'!A$1:B$20,2,FALSE)</f>
        <v>3.1899999999999995</v>
      </c>
      <c r="AT166">
        <f>AR166-VLOOKUP(AS166,'Bag weights'!A$1:B$20,2,FALSE)</f>
        <v>0</v>
      </c>
      <c r="AU166" s="141">
        <v>0.82</v>
      </c>
      <c r="AV166" s="142" t="s">
        <v>302</v>
      </c>
      <c r="AW166" s="143">
        <f>AU166-VLOOKUP(AV166,'Bag weights'!A$1:B$20,2,FALSE)</f>
        <v>0.82</v>
      </c>
      <c r="AX166">
        <f t="shared" si="1"/>
        <v>95.169999999999987</v>
      </c>
      <c r="BD166" s="120">
        <v>10.3</v>
      </c>
      <c r="BH166" s="151">
        <v>2.92</v>
      </c>
    </row>
    <row r="167" spans="1:60">
      <c r="A167" s="87"/>
      <c r="B167" s="87"/>
      <c r="C167" s="87">
        <v>3</v>
      </c>
      <c r="D167" s="87" t="s">
        <v>79</v>
      </c>
      <c r="E167" s="2"/>
      <c r="F167" s="2"/>
      <c r="G167" s="2"/>
      <c r="H167" s="141">
        <v>3.34</v>
      </c>
      <c r="I167" s="142" t="s">
        <v>296</v>
      </c>
      <c r="J167" s="143">
        <f>H167-VLOOKUP(I167,'Bag weights'!A:B,2,FALSE)</f>
        <v>0.84999999999999964</v>
      </c>
      <c r="M167">
        <f>K167-VLOOKUP(L167,'Bag weights'!A$1:B$20,2,FALSE)</f>
        <v>0</v>
      </c>
      <c r="N167" s="16">
        <v>5.22</v>
      </c>
      <c r="O167" s="122"/>
      <c r="P167">
        <f>N167-VLOOKUP(O167,'Bag weights'!A$1:B$20,2,FALSE)</f>
        <v>5.22</v>
      </c>
      <c r="S167">
        <f>Q167-VLOOKUP(R167,'Bag weights'!A$1:B$20,2,FALSE)</f>
        <v>0</v>
      </c>
      <c r="T167" s="16">
        <v>1.1299999999999999</v>
      </c>
      <c r="V167">
        <f>T167-VLOOKUP(U167,'Bag weights'!A$1:B$20,2,FALSE)</f>
        <v>1.1299999999999999</v>
      </c>
      <c r="W167" s="141">
        <v>0.13</v>
      </c>
      <c r="X167" s="142" t="s">
        <v>302</v>
      </c>
      <c r="Y167" s="143">
        <f>W167-VLOOKUP(X167,'Bag weights'!A$1:B$20,2,FALSE)</f>
        <v>0.13</v>
      </c>
      <c r="Z167" s="16">
        <v>3.63</v>
      </c>
      <c r="AB167">
        <f>Z167-VLOOKUP(AA167,'Bag weights'!A$1:B$20,2,FALSE)</f>
        <v>3.63</v>
      </c>
      <c r="AC167" s="16">
        <v>9.32</v>
      </c>
      <c r="AE167">
        <f>AC167-VLOOKUP(AD167,'Bag weights'!A$1:B$20,2,FALSE)</f>
        <v>9.32</v>
      </c>
      <c r="AF167" s="141">
        <v>0.6</v>
      </c>
      <c r="AG167" s="142" t="s">
        <v>302</v>
      </c>
      <c r="AH167" s="143">
        <f>AF167-VLOOKUP(AG167,'Bag weights'!A$1:B$20,2,FALSE)</f>
        <v>0.6</v>
      </c>
      <c r="AI167" s="16">
        <v>7.72</v>
      </c>
      <c r="AK167">
        <f>AI167-VLOOKUP(AJ167,'Bag weights'!A$1:B$20,2,FALSE)</f>
        <v>7.72</v>
      </c>
      <c r="AL167" s="16">
        <v>60.3</v>
      </c>
      <c r="AM167" s="16" t="s">
        <v>276</v>
      </c>
      <c r="AN167">
        <f>AL167-VLOOKUP(AM167,'Bag weights'!A$1:B$20,2,FALSE)</f>
        <v>39.349999999999994</v>
      </c>
      <c r="AO167" s="141">
        <v>1.72</v>
      </c>
      <c r="AP167" s="142" t="s">
        <v>302</v>
      </c>
      <c r="AQ167" s="143">
        <f>AO167-VLOOKUP(AP167,'Bag weights'!A$1:B$20,2,FALSE)</f>
        <v>1.72</v>
      </c>
      <c r="AT167">
        <f>AR167-VLOOKUP(AS167,'Bag weights'!A$1:B$20,2,FALSE)</f>
        <v>0</v>
      </c>
      <c r="AU167" s="141">
        <v>0.76</v>
      </c>
      <c r="AV167" s="142" t="s">
        <v>302</v>
      </c>
      <c r="AW167" s="143">
        <f>AU167-VLOOKUP(AV167,'Bag weights'!A$1:B$20,2,FALSE)</f>
        <v>0.76</v>
      </c>
      <c r="AX167">
        <f t="shared" si="1"/>
        <v>69.67</v>
      </c>
      <c r="AY167" s="16" t="s">
        <v>350</v>
      </c>
      <c r="BD167" s="120">
        <v>11.2</v>
      </c>
      <c r="BH167" s="151">
        <v>1.57</v>
      </c>
    </row>
    <row r="168" spans="1:60">
      <c r="A168" s="87"/>
      <c r="B168" s="87"/>
      <c r="C168" s="87">
        <v>4</v>
      </c>
      <c r="D168" s="87" t="s">
        <v>83</v>
      </c>
      <c r="E168" s="2"/>
      <c r="F168" s="2"/>
      <c r="G168" s="2"/>
      <c r="H168" s="141">
        <v>3.43</v>
      </c>
      <c r="I168" s="142" t="s">
        <v>296</v>
      </c>
      <c r="J168" s="143">
        <f>H168-VLOOKUP(I168,'Bag weights'!A:B,2,FALSE)</f>
        <v>0.94</v>
      </c>
      <c r="M168">
        <f>K168-VLOOKUP(L168,'Bag weights'!A$1:B$20,2,FALSE)</f>
        <v>0</v>
      </c>
      <c r="N168" s="141">
        <v>0.19</v>
      </c>
      <c r="O168" s="142" t="s">
        <v>302</v>
      </c>
      <c r="P168" s="143">
        <f>N168-VLOOKUP(O168,'Bag weights'!A$1:B$20,2,FALSE)</f>
        <v>0.19</v>
      </c>
      <c r="S168">
        <f>Q168-VLOOKUP(R168,'Bag weights'!A$1:B$20,2,FALSE)</f>
        <v>0</v>
      </c>
      <c r="T168" s="16">
        <v>11.41</v>
      </c>
      <c r="U168" s="16" t="s">
        <v>295</v>
      </c>
      <c r="V168">
        <f>T168-VLOOKUP(U168,'Bag weights'!A$1:B$20,2,FALSE)</f>
        <v>3.58</v>
      </c>
      <c r="W168" s="146">
        <v>0.18</v>
      </c>
      <c r="X168" s="146" t="s">
        <v>302</v>
      </c>
      <c r="Y168" s="143">
        <f>W168-VLOOKUP(X168,'Bag weights'!A$1:B$20,2,FALSE)</f>
        <v>0.18</v>
      </c>
      <c r="Z168" s="16">
        <v>9.41</v>
      </c>
      <c r="AA168" s="16" t="s">
        <v>295</v>
      </c>
      <c r="AB168">
        <f>Z168-VLOOKUP(AA168,'Bag weights'!A$1:B$20,2,FALSE)</f>
        <v>1.58</v>
      </c>
      <c r="AC168" s="16">
        <v>17.989999999999998</v>
      </c>
      <c r="AD168" s="16" t="s">
        <v>295</v>
      </c>
      <c r="AE168">
        <f>AC168-VLOOKUP(AD168,'Bag weights'!A$1:B$20,2,FALSE)</f>
        <v>10.159999999999998</v>
      </c>
      <c r="AF168" s="141">
        <v>0.1</v>
      </c>
      <c r="AG168" s="142" t="s">
        <v>302</v>
      </c>
      <c r="AH168" s="143">
        <f>AF168-VLOOKUP(AG168,'Bag weights'!A$1:B$20,2,FALSE)</f>
        <v>0.1</v>
      </c>
      <c r="AI168" s="16">
        <v>23.19</v>
      </c>
      <c r="AJ168" s="16" t="s">
        <v>295</v>
      </c>
      <c r="AK168">
        <f>AI168-VLOOKUP(AJ168,'Bag weights'!A$1:B$20,2,FALSE)</f>
        <v>15.360000000000001</v>
      </c>
      <c r="AL168" s="16">
        <v>65.64</v>
      </c>
      <c r="AM168" s="16" t="s">
        <v>276</v>
      </c>
      <c r="AN168">
        <f>AL168-VLOOKUP(AM168,'Bag weights'!A$1:B$20,2,FALSE)</f>
        <v>44.69</v>
      </c>
      <c r="AO168" s="141">
        <v>4.57</v>
      </c>
      <c r="AP168" s="142" t="s">
        <v>296</v>
      </c>
      <c r="AQ168" s="143">
        <f>AO168-VLOOKUP(AP168,'Bag weights'!A$1:B$20,2,FALSE)</f>
        <v>2.08</v>
      </c>
      <c r="AT168">
        <f>AR168-VLOOKUP(AS168,'Bag weights'!A$1:B$20,2,FALSE)</f>
        <v>0</v>
      </c>
      <c r="AU168" s="146">
        <v>1.28</v>
      </c>
      <c r="AV168" s="146" t="s">
        <v>302</v>
      </c>
      <c r="AW168" s="143">
        <f>AU168-VLOOKUP(AV168,'Bag weights'!A$1:B$20,2,FALSE)</f>
        <v>1.28</v>
      </c>
      <c r="AX168">
        <f t="shared" si="1"/>
        <v>78.86</v>
      </c>
      <c r="BD168" s="120">
        <v>22</v>
      </c>
    </row>
    <row r="169" spans="1:60">
      <c r="A169" s="87"/>
      <c r="B169" s="87"/>
      <c r="C169" s="87">
        <v>4</v>
      </c>
      <c r="D169" s="87" t="s">
        <v>108</v>
      </c>
      <c r="E169" s="2"/>
      <c r="F169" s="2"/>
      <c r="G169" s="2"/>
      <c r="H169" s="141">
        <v>0.24</v>
      </c>
      <c r="I169" s="142" t="s">
        <v>302</v>
      </c>
      <c r="J169" s="143">
        <f>H169-VLOOKUP(I169,'Bag weights'!A:B,2,FALSE)</f>
        <v>0.24</v>
      </c>
      <c r="M169">
        <f>K169-VLOOKUP(L169,'Bag weights'!A$1:B$20,2,FALSE)</f>
        <v>0</v>
      </c>
      <c r="O169" s="122"/>
      <c r="P169">
        <f>N169-VLOOKUP(O169,'Bag weights'!A$1:B$20,2,FALSE)</f>
        <v>0</v>
      </c>
      <c r="S169">
        <f>Q169-VLOOKUP(R169,'Bag weights'!A$1:B$20,2,FALSE)</f>
        <v>0</v>
      </c>
      <c r="T169" s="16">
        <v>10.49</v>
      </c>
      <c r="U169" s="16" t="s">
        <v>295</v>
      </c>
      <c r="V169">
        <f>T169-VLOOKUP(U169,'Bag weights'!A$1:B$20,2,FALSE)</f>
        <v>2.66</v>
      </c>
      <c r="Y169">
        <f>W169-VLOOKUP(X169,'Bag weights'!A$1:B$20,2,FALSE)</f>
        <v>0</v>
      </c>
      <c r="Z169" s="16">
        <v>8.02</v>
      </c>
      <c r="AA169" s="16" t="s">
        <v>295</v>
      </c>
      <c r="AB169">
        <f>Z169-VLOOKUP(AA169,'Bag weights'!A$1:B$20,2,FALSE)</f>
        <v>0.1899999999999995</v>
      </c>
      <c r="AC169" s="16">
        <v>18.010000000000002</v>
      </c>
      <c r="AD169" s="16" t="s">
        <v>295</v>
      </c>
      <c r="AE169">
        <f>AC169-VLOOKUP(AD169,'Bag weights'!A$1:B$20,2,FALSE)</f>
        <v>10.180000000000001</v>
      </c>
      <c r="AH169">
        <f>AF169-VLOOKUP(AG169,'Bag weights'!A$1:B$20,2,FALSE)</f>
        <v>0</v>
      </c>
      <c r="AI169" s="16">
        <v>13.95</v>
      </c>
      <c r="AJ169" s="16" t="s">
        <v>295</v>
      </c>
      <c r="AK169">
        <f>AI169-VLOOKUP(AJ169,'Bag weights'!A$1:B$20,2,FALSE)</f>
        <v>6.1199999999999992</v>
      </c>
      <c r="AL169" s="16">
        <v>72.37</v>
      </c>
      <c r="AM169" s="16" t="s">
        <v>276</v>
      </c>
      <c r="AN169">
        <f>AL169-VLOOKUP(AM169,'Bag weights'!A$1:B$20,2,FALSE)</f>
        <v>51.42</v>
      </c>
      <c r="AO169" s="146">
        <v>5.57</v>
      </c>
      <c r="AP169" s="146" t="s">
        <v>302</v>
      </c>
      <c r="AQ169" s="143">
        <f>AO169-VLOOKUP(AP169,'Bag weights'!A$1:B$20,2,FALSE)</f>
        <v>5.57</v>
      </c>
      <c r="AT169">
        <f>AR169-VLOOKUP(AS169,'Bag weights'!A$1:B$20,2,FALSE)</f>
        <v>0</v>
      </c>
      <c r="AU169" s="141">
        <v>0.69</v>
      </c>
      <c r="AV169" s="142" t="s">
        <v>302</v>
      </c>
      <c r="AW169" s="143">
        <f>AU169-VLOOKUP(AV169,'Bag weights'!A$1:B$20,2,FALSE)</f>
        <v>0.69</v>
      </c>
      <c r="AX169">
        <f t="shared" si="1"/>
        <v>76.38</v>
      </c>
      <c r="BD169" s="120">
        <v>23.9</v>
      </c>
    </row>
    <row r="170" spans="1:60">
      <c r="A170" s="87"/>
      <c r="B170" s="87"/>
      <c r="C170" s="87">
        <v>4</v>
      </c>
      <c r="D170" s="87" t="s">
        <v>109</v>
      </c>
      <c r="E170" s="2"/>
      <c r="F170" s="2"/>
      <c r="G170" s="2"/>
      <c r="H170" s="16">
        <v>1.87</v>
      </c>
      <c r="J170">
        <f>H170-VLOOKUP(I170,'Bag weights'!A:B,2,FALSE)</f>
        <v>1.87</v>
      </c>
      <c r="M170">
        <f>K170-VLOOKUP(L170,'Bag weights'!A$1:B$20,2,FALSE)</f>
        <v>0</v>
      </c>
      <c r="O170" s="122"/>
      <c r="P170">
        <f>N170-VLOOKUP(O170,'Bag weights'!A$1:B$20,2,FALSE)</f>
        <v>0</v>
      </c>
      <c r="S170">
        <f>Q170-VLOOKUP(R170,'Bag weights'!A$1:B$20,2,FALSE)</f>
        <v>0</v>
      </c>
      <c r="T170" s="16">
        <v>2.4500000000000002</v>
      </c>
      <c r="V170">
        <f>T170-VLOOKUP(U170,'Bag weights'!A$1:B$20,2,FALSE)</f>
        <v>2.4500000000000002</v>
      </c>
      <c r="W170" s="141">
        <v>0.25</v>
      </c>
      <c r="X170" s="142" t="s">
        <v>302</v>
      </c>
      <c r="Y170" s="143">
        <f>W170-VLOOKUP(X170,'Bag weights'!A$1:B$20,2,FALSE)</f>
        <v>0.25</v>
      </c>
      <c r="Z170" s="16">
        <v>3.98</v>
      </c>
      <c r="AB170">
        <f>Z170-VLOOKUP(AA170,'Bag weights'!A$1:B$20,2,FALSE)</f>
        <v>3.98</v>
      </c>
      <c r="AC170" s="16">
        <v>6.01</v>
      </c>
      <c r="AE170">
        <f>AC170-VLOOKUP(AD170,'Bag weights'!A$1:B$20,2,FALSE)</f>
        <v>6.01</v>
      </c>
      <c r="AF170" s="141">
        <v>0.92</v>
      </c>
      <c r="AG170" s="142" t="s">
        <v>302</v>
      </c>
      <c r="AH170" s="143">
        <f>AF170-VLOOKUP(AG170,'Bag weights'!A$1:B$20,2,FALSE)</f>
        <v>0.92</v>
      </c>
      <c r="AI170" s="16">
        <v>1.91</v>
      </c>
      <c r="AK170">
        <f>AI170-VLOOKUP(AJ170,'Bag weights'!A$1:B$20,2,FALSE)</f>
        <v>1.91</v>
      </c>
      <c r="AL170" s="16">
        <v>52.61</v>
      </c>
      <c r="AN170">
        <f>AL170-VLOOKUP(AM170,'Bag weights'!A$1:B$20,2,FALSE)</f>
        <v>52.61</v>
      </c>
      <c r="AO170" s="141">
        <v>5.21</v>
      </c>
      <c r="AP170" s="142" t="s">
        <v>296</v>
      </c>
      <c r="AQ170" s="143">
        <f>AO170-VLOOKUP(AP170,'Bag weights'!A$1:B$20,2,FALSE)</f>
        <v>2.7199999999999998</v>
      </c>
      <c r="AT170">
        <f>AR170-VLOOKUP(AS170,'Bag weights'!A$1:B$20,2,FALSE)</f>
        <v>0</v>
      </c>
      <c r="AU170" s="141">
        <v>0.28000000000000003</v>
      </c>
      <c r="AV170" s="142" t="s">
        <v>302</v>
      </c>
      <c r="AW170" s="143">
        <f>AU170-VLOOKUP(AV170,'Bag weights'!A$1:B$20,2,FALSE)</f>
        <v>0.28000000000000003</v>
      </c>
      <c r="AX170">
        <f t="shared" si="1"/>
        <v>72.720000000000013</v>
      </c>
      <c r="AY170" s="16" t="s">
        <v>351</v>
      </c>
      <c r="BD170" s="120">
        <v>20.100000000000001</v>
      </c>
    </row>
    <row r="171" spans="1:60">
      <c r="A171" s="87"/>
      <c r="B171" s="87"/>
      <c r="C171" s="87">
        <v>4</v>
      </c>
      <c r="D171" s="87" t="s">
        <v>87</v>
      </c>
      <c r="E171" s="2"/>
      <c r="F171" s="2"/>
      <c r="G171" s="2"/>
      <c r="H171" s="16">
        <v>13.82</v>
      </c>
      <c r="I171" s="16" t="s">
        <v>295</v>
      </c>
      <c r="J171">
        <f>H171-VLOOKUP(I171,'Bag weights'!A:B,2,FALSE)</f>
        <v>5.99</v>
      </c>
      <c r="M171">
        <f>K171-VLOOKUP(L171,'Bag weights'!A$1:B$20,2,FALSE)</f>
        <v>0</v>
      </c>
      <c r="O171" s="122"/>
      <c r="P171">
        <f>N171-VLOOKUP(O171,'Bag weights'!A$1:B$20,2,FALSE)</f>
        <v>0</v>
      </c>
      <c r="S171">
        <f>Q171-VLOOKUP(R171,'Bag weights'!A$1:B$20,2,FALSE)</f>
        <v>0</v>
      </c>
      <c r="T171" s="16">
        <v>10.35</v>
      </c>
      <c r="U171" s="16" t="s">
        <v>295</v>
      </c>
      <c r="V171">
        <f>T171-VLOOKUP(U171,'Bag weights'!A$1:B$20,2,FALSE)</f>
        <v>2.5199999999999996</v>
      </c>
      <c r="W171" s="16">
        <v>0.1</v>
      </c>
      <c r="Y171">
        <f>W171-VLOOKUP(X171,'Bag weights'!A$1:B$20,2,FALSE)</f>
        <v>0.1</v>
      </c>
      <c r="Z171" s="16">
        <v>27.9</v>
      </c>
      <c r="AA171" s="16" t="s">
        <v>276</v>
      </c>
      <c r="AB171">
        <f>Z171-VLOOKUP(AA171,'Bag weights'!A$1:B$20,2,FALSE)</f>
        <v>6.9499999999999993</v>
      </c>
      <c r="AC171" s="16">
        <v>28.81</v>
      </c>
      <c r="AD171" s="16" t="s">
        <v>276</v>
      </c>
      <c r="AE171">
        <f>AC171-VLOOKUP(AD171,'Bag weights'!A$1:B$20,2,FALSE)</f>
        <v>7.8599999999999994</v>
      </c>
      <c r="AF171" s="141">
        <v>0.69</v>
      </c>
      <c r="AG171" s="142" t="s">
        <v>302</v>
      </c>
      <c r="AH171" s="143">
        <f>AF171-VLOOKUP(AG171,'Bag weights'!A$1:B$20,2,FALSE)</f>
        <v>0.69</v>
      </c>
      <c r="AI171" s="16">
        <v>9.92</v>
      </c>
      <c r="AJ171" s="16" t="s">
        <v>295</v>
      </c>
      <c r="AK171">
        <f>AI171-VLOOKUP(AJ171,'Bag weights'!A$1:B$20,2,FALSE)</f>
        <v>2.09</v>
      </c>
      <c r="AL171" s="16">
        <v>58.25</v>
      </c>
      <c r="AM171" s="16" t="s">
        <v>276</v>
      </c>
      <c r="AN171">
        <f>AL171-VLOOKUP(AM171,'Bag weights'!A$1:B$20,2,FALSE)</f>
        <v>37.299999999999997</v>
      </c>
      <c r="AO171" s="141">
        <v>6.63</v>
      </c>
      <c r="AP171" s="142" t="s">
        <v>296</v>
      </c>
      <c r="AQ171" s="143">
        <f>AO171-VLOOKUP(AP171,'Bag weights'!A$1:B$20,2,FALSE)</f>
        <v>4.1399999999999997</v>
      </c>
      <c r="AT171">
        <f>AR171-VLOOKUP(AS171,'Bag weights'!A$1:B$20,2,FALSE)</f>
        <v>0</v>
      </c>
      <c r="AU171" s="146">
        <v>0.64</v>
      </c>
      <c r="AV171" s="146" t="s">
        <v>302</v>
      </c>
      <c r="AW171" s="143">
        <f>AU171-VLOOKUP(AV171,'Bag weights'!A$1:B$20,2,FALSE)</f>
        <v>0.64</v>
      </c>
      <c r="AX171">
        <f t="shared" si="1"/>
        <v>67.64</v>
      </c>
      <c r="AY171" s="16" t="s">
        <v>352</v>
      </c>
      <c r="BD171" s="120">
        <v>20.399999999999999</v>
      </c>
      <c r="BH171" s="151">
        <v>4.34</v>
      </c>
    </row>
    <row r="172" spans="1:60">
      <c r="A172" s="87"/>
      <c r="B172" s="87"/>
      <c r="C172" s="87">
        <v>4</v>
      </c>
      <c r="D172" s="87" t="s">
        <v>79</v>
      </c>
      <c r="E172" s="2"/>
      <c r="F172" s="2"/>
      <c r="G172" s="2"/>
      <c r="H172" s="141">
        <v>3.31</v>
      </c>
      <c r="I172" s="142" t="s">
        <v>296</v>
      </c>
      <c r="J172" s="143">
        <f>H172-VLOOKUP(I172,'Bag weights'!A:B,2,FALSE)</f>
        <v>0.81999999999999984</v>
      </c>
      <c r="M172">
        <f>K172-VLOOKUP(L172,'Bag weights'!A$1:B$20,2,FALSE)</f>
        <v>0</v>
      </c>
      <c r="O172" s="122"/>
      <c r="P172">
        <f>N172-VLOOKUP(O172,'Bag weights'!A$1:B$20,2,FALSE)</f>
        <v>0</v>
      </c>
      <c r="S172">
        <f>Q172-VLOOKUP(R172,'Bag weights'!A$1:B$20,2,FALSE)</f>
        <v>0</v>
      </c>
      <c r="T172" s="16">
        <v>13.56</v>
      </c>
      <c r="U172" s="16" t="s">
        <v>295</v>
      </c>
      <c r="V172">
        <f>T172-VLOOKUP(U172,'Bag weights'!A$1:B$20,2,FALSE)</f>
        <v>5.73</v>
      </c>
      <c r="W172" s="141">
        <v>0.02</v>
      </c>
      <c r="X172" s="142" t="s">
        <v>302</v>
      </c>
      <c r="Y172" s="143">
        <f>W172-VLOOKUP(X172,'Bag weights'!A$1:B$20,2,FALSE)</f>
        <v>0.02</v>
      </c>
      <c r="Z172" s="141">
        <v>3.45</v>
      </c>
      <c r="AA172" s="142" t="s">
        <v>296</v>
      </c>
      <c r="AB172" s="143">
        <f>Z172-VLOOKUP(AA172,'Bag weights'!A$1:B$20,2,FALSE)</f>
        <v>0.96</v>
      </c>
      <c r="AC172" s="16">
        <v>38.979999999999997</v>
      </c>
      <c r="AD172" s="16" t="s">
        <v>276</v>
      </c>
      <c r="AE172">
        <f>AC172-VLOOKUP(AD172,'Bag weights'!A$1:B$20,2,FALSE)</f>
        <v>18.029999999999998</v>
      </c>
      <c r="AF172" s="141">
        <v>0.35</v>
      </c>
      <c r="AG172" s="142" t="s">
        <v>302</v>
      </c>
      <c r="AH172" s="143">
        <f>AF172-VLOOKUP(AG172,'Bag weights'!A$1:B$20,2,FALSE)</f>
        <v>0.35</v>
      </c>
      <c r="AI172" s="16">
        <v>15.79</v>
      </c>
      <c r="AJ172" s="16" t="s">
        <v>295</v>
      </c>
      <c r="AK172">
        <f>AI172-VLOOKUP(AJ172,'Bag weights'!A$1:B$20,2,FALSE)</f>
        <v>7.9599999999999991</v>
      </c>
      <c r="AL172" s="16">
        <v>51.52</v>
      </c>
      <c r="AM172" s="16" t="s">
        <v>276</v>
      </c>
      <c r="AN172">
        <f>AL172-VLOOKUP(AM172,'Bag weights'!A$1:B$20,2,FALSE)</f>
        <v>30.570000000000004</v>
      </c>
      <c r="AO172" s="141">
        <v>5.75</v>
      </c>
      <c r="AP172" s="142" t="s">
        <v>296</v>
      </c>
      <c r="AQ172" s="143">
        <f>AO172-VLOOKUP(AP172,'Bag weights'!A$1:B$20,2,FALSE)</f>
        <v>3.26</v>
      </c>
      <c r="AT172">
        <f>AR172-VLOOKUP(AS172,'Bag weights'!A$1:B$20,2,FALSE)</f>
        <v>0</v>
      </c>
      <c r="AU172" s="141">
        <v>0.6</v>
      </c>
      <c r="AV172" s="142" t="s">
        <v>302</v>
      </c>
      <c r="AW172" s="143">
        <f>AU172-VLOOKUP(AV172,'Bag weights'!A$1:B$20,2,FALSE)</f>
        <v>0.6</v>
      </c>
      <c r="AX172">
        <f t="shared" si="1"/>
        <v>67.7</v>
      </c>
      <c r="AY172" s="16" t="s">
        <v>353</v>
      </c>
      <c r="BD172" s="120">
        <v>22.6</v>
      </c>
      <c r="BH172" s="151">
        <v>1.28</v>
      </c>
    </row>
    <row r="173" spans="1:60">
      <c r="A173" s="87" t="s">
        <v>106</v>
      </c>
      <c r="B173" s="87" t="s">
        <v>110</v>
      </c>
      <c r="C173" s="87">
        <v>1</v>
      </c>
      <c r="D173" s="87" t="s">
        <v>83</v>
      </c>
      <c r="E173" s="2"/>
      <c r="F173" s="2"/>
      <c r="G173" s="2"/>
      <c r="H173" s="16">
        <v>9.35</v>
      </c>
      <c r="J173">
        <f>H173-VLOOKUP(I173,'Bag weights'!A:B,2,FALSE)</f>
        <v>9.35</v>
      </c>
      <c r="M173">
        <f>K173-VLOOKUP(L173,'Bag weights'!A$1:B$20,2,FALSE)</f>
        <v>0</v>
      </c>
      <c r="O173" s="122"/>
      <c r="P173">
        <f>N173-VLOOKUP(O173,'Bag weights'!A$1:B$20,2,FALSE)</f>
        <v>0</v>
      </c>
      <c r="S173">
        <f>Q173-VLOOKUP(R173,'Bag weights'!A$1:B$20,2,FALSE)</f>
        <v>0</v>
      </c>
      <c r="T173" s="16">
        <v>12.6</v>
      </c>
      <c r="U173" s="16" t="s">
        <v>295</v>
      </c>
      <c r="V173">
        <f>T173-VLOOKUP(U173,'Bag weights'!A$1:B$20,2,FALSE)</f>
        <v>4.7699999999999996</v>
      </c>
      <c r="Y173">
        <f>W173-VLOOKUP(X173,'Bag weights'!A$1:B$20,2,FALSE)</f>
        <v>0</v>
      </c>
      <c r="Z173" s="16">
        <v>10.24</v>
      </c>
      <c r="AA173" s="16" t="s">
        <v>295</v>
      </c>
      <c r="AB173">
        <f>Z173-VLOOKUP(AA173,'Bag weights'!A$1:B$20,2,FALSE)</f>
        <v>2.41</v>
      </c>
      <c r="AC173" s="16">
        <v>8.2899999999999991</v>
      </c>
      <c r="AD173" s="16" t="s">
        <v>295</v>
      </c>
      <c r="AE173">
        <f>AC173-VLOOKUP(AD173,'Bag weights'!A$1:B$20,2,FALSE)</f>
        <v>0.45999999999999908</v>
      </c>
      <c r="AH173">
        <f>AF173-VLOOKUP(AG173,'Bag weights'!A$1:B$20,2,FALSE)</f>
        <v>0</v>
      </c>
      <c r="AI173" s="16">
        <v>12.32</v>
      </c>
      <c r="AJ173" s="16" t="s">
        <v>295</v>
      </c>
      <c r="AK173">
        <f>AI173-VLOOKUP(AJ173,'Bag weights'!A$1:B$20,2,FALSE)</f>
        <v>4.49</v>
      </c>
      <c r="AL173" s="16">
        <v>43.7</v>
      </c>
      <c r="AM173" s="16" t="s">
        <v>295</v>
      </c>
      <c r="AN173">
        <f>AL173-VLOOKUP(AM173,'Bag weights'!A$1:B$20,2,FALSE)</f>
        <v>35.870000000000005</v>
      </c>
      <c r="AO173" s="16">
        <v>11.55</v>
      </c>
      <c r="AP173" s="16" t="s">
        <v>295</v>
      </c>
      <c r="AQ173">
        <f>AO173-VLOOKUP(AP173,'Bag weights'!A$1:B$20,2,FALSE)</f>
        <v>3.7200000000000006</v>
      </c>
      <c r="AT173">
        <f>AR173-VLOOKUP(AS173,'Bag weights'!A$1:B$20,2,FALSE)</f>
        <v>0</v>
      </c>
      <c r="AU173" s="16">
        <v>1.62</v>
      </c>
      <c r="AV173" s="16" t="s">
        <v>298</v>
      </c>
      <c r="AW173">
        <f>AU173-VLOOKUP(AV173,'Bag weights'!A$1:B$20,2,FALSE)</f>
        <v>0.2200000000000002</v>
      </c>
      <c r="AX173">
        <f t="shared" si="1"/>
        <v>61.07</v>
      </c>
      <c r="BD173" s="120">
        <v>9.9</v>
      </c>
      <c r="BH173" s="151">
        <v>1.22</v>
      </c>
    </row>
    <row r="174" spans="1:60">
      <c r="A174" s="86" t="s">
        <v>335</v>
      </c>
      <c r="B174" s="87"/>
      <c r="C174" s="87">
        <v>1</v>
      </c>
      <c r="D174" s="87" t="s">
        <v>85</v>
      </c>
      <c r="E174" s="2"/>
      <c r="F174" s="2"/>
      <c r="G174" s="2"/>
      <c r="H174" s="146">
        <v>1.46</v>
      </c>
      <c r="I174" s="146" t="s">
        <v>302</v>
      </c>
      <c r="J174" s="143">
        <f>H174-VLOOKUP(I174,'Bag weights'!A:B,2,FALSE)</f>
        <v>1.46</v>
      </c>
      <c r="M174">
        <f>K174-VLOOKUP(L174,'Bag weights'!A$1:B$20,2,FALSE)</f>
        <v>0</v>
      </c>
      <c r="O174" s="122"/>
      <c r="P174">
        <f>N174-VLOOKUP(O174,'Bag weights'!A$1:B$20,2,FALSE)</f>
        <v>0</v>
      </c>
      <c r="S174">
        <f>Q174-VLOOKUP(R174,'Bag weights'!A$1:B$20,2,FALSE)</f>
        <v>0</v>
      </c>
      <c r="T174" s="16">
        <v>15.8</v>
      </c>
      <c r="U174" s="16" t="s">
        <v>295</v>
      </c>
      <c r="V174">
        <f>T174-VLOOKUP(U174,'Bag weights'!A$1:B$20,2,FALSE)</f>
        <v>7.9700000000000006</v>
      </c>
      <c r="Y174">
        <f>W174-VLOOKUP(X174,'Bag weights'!A$1:B$20,2,FALSE)</f>
        <v>0</v>
      </c>
      <c r="AB174">
        <f>Z174-VLOOKUP(AA174,'Bag weights'!A$1:B$20,2,FALSE)</f>
        <v>0</v>
      </c>
      <c r="AC174" s="146">
        <v>0.1</v>
      </c>
      <c r="AD174" s="146" t="s">
        <v>302</v>
      </c>
      <c r="AE174" s="143">
        <f>AC174-VLOOKUP(AD174,'Bag weights'!A$1:B$20,2,FALSE)</f>
        <v>0.1</v>
      </c>
      <c r="AH174">
        <f>AF174-VLOOKUP(AG174,'Bag weights'!A$1:B$20,2,FALSE)</f>
        <v>0</v>
      </c>
      <c r="AK174">
        <f>AI174-VLOOKUP(AJ174,'Bag weights'!A$1:B$20,2,FALSE)</f>
        <v>0</v>
      </c>
      <c r="AL174" s="16">
        <v>61.4</v>
      </c>
      <c r="AM174" s="16" t="s">
        <v>276</v>
      </c>
      <c r="AN174">
        <f>AL174-VLOOKUP(AM174,'Bag weights'!A$1:B$20,2,FALSE)</f>
        <v>40.450000000000003</v>
      </c>
      <c r="AO174" s="146">
        <v>1.4</v>
      </c>
      <c r="AP174" s="146" t="s">
        <v>302</v>
      </c>
      <c r="AQ174" s="143">
        <f>AO174-VLOOKUP(AP174,'Bag weights'!A$1:B$20,2,FALSE)</f>
        <v>1.4</v>
      </c>
      <c r="AT174">
        <f>AR174-VLOOKUP(AS174,'Bag weights'!A$1:B$20,2,FALSE)</f>
        <v>0</v>
      </c>
      <c r="AU174" s="141">
        <v>1.06</v>
      </c>
      <c r="AV174" s="142" t="s">
        <v>302</v>
      </c>
      <c r="AW174" s="143">
        <f>AU174-VLOOKUP(AV174,'Bag weights'!A$1:B$20,2,FALSE)</f>
        <v>1.06</v>
      </c>
      <c r="AX174">
        <f t="shared" si="1"/>
        <v>51.38</v>
      </c>
      <c r="BD174" s="120">
        <v>15.8</v>
      </c>
      <c r="BH174" s="151">
        <v>0.96</v>
      </c>
    </row>
    <row r="175" spans="1:60">
      <c r="A175" s="87"/>
      <c r="B175" s="87"/>
      <c r="C175" s="87">
        <v>1</v>
      </c>
      <c r="D175" s="86" t="s">
        <v>87</v>
      </c>
      <c r="E175" s="21"/>
      <c r="F175" s="21"/>
      <c r="G175" s="21"/>
      <c r="H175" s="16">
        <v>15.65</v>
      </c>
      <c r="J175">
        <f>H175-VLOOKUP(I175,'Bag weights'!A:B,2,FALSE)</f>
        <v>15.65</v>
      </c>
      <c r="M175">
        <f>K175-VLOOKUP(L175,'Bag weights'!A$1:B$20,2,FALSE)</f>
        <v>0</v>
      </c>
      <c r="O175" s="122"/>
      <c r="P175">
        <f>N175-VLOOKUP(O175,'Bag weights'!A$1:B$20,2,FALSE)</f>
        <v>0</v>
      </c>
      <c r="S175">
        <f>Q175-VLOOKUP(R175,'Bag weights'!A$1:B$20,2,FALSE)</f>
        <v>0</v>
      </c>
      <c r="T175" s="16">
        <v>9.0399999999999991</v>
      </c>
      <c r="U175" s="16" t="s">
        <v>295</v>
      </c>
      <c r="V175">
        <f>T175-VLOOKUP(U175,'Bag weights'!A$1:B$20,2,FALSE)</f>
        <v>1.2099999999999991</v>
      </c>
      <c r="Y175">
        <f>W175-VLOOKUP(X175,'Bag weights'!A$1:B$20,2,FALSE)</f>
        <v>0</v>
      </c>
      <c r="Z175" s="16">
        <v>1.55</v>
      </c>
      <c r="AA175" s="16" t="s">
        <v>298</v>
      </c>
      <c r="AB175">
        <f>Z175-VLOOKUP(AA175,'Bag weights'!A$1:B$20,2,FALSE)</f>
        <v>0.15000000000000013</v>
      </c>
      <c r="AC175" s="16">
        <v>53.41</v>
      </c>
      <c r="AD175" s="16" t="s">
        <v>295</v>
      </c>
      <c r="AE175">
        <f>AC175-VLOOKUP(AD175,'Bag weights'!A$1:B$20,2,FALSE)</f>
        <v>45.58</v>
      </c>
      <c r="AF175" s="16">
        <v>3.15</v>
      </c>
      <c r="AG175" s="16" t="s">
        <v>296</v>
      </c>
      <c r="AH175">
        <f>AF175-VLOOKUP(AG175,'Bag weights'!A$1:B$20,2,FALSE)</f>
        <v>0.6599999999999997</v>
      </c>
      <c r="AI175" s="16"/>
      <c r="AK175">
        <f>AI175-VLOOKUP(AJ175,'Bag weights'!A$1:B$20,2,FALSE)</f>
        <v>0</v>
      </c>
      <c r="AL175" s="16">
        <v>33.15</v>
      </c>
      <c r="AM175" s="16" t="s">
        <v>295</v>
      </c>
      <c r="AN175">
        <f>AL175-VLOOKUP(AM175,'Bag weights'!A$1:B$20,2,FALSE)</f>
        <v>25.32</v>
      </c>
      <c r="AO175" s="16">
        <v>1.49</v>
      </c>
      <c r="AP175" s="16" t="s">
        <v>298</v>
      </c>
      <c r="AQ175">
        <f>AO175-VLOOKUP(AP175,'Bag weights'!A$1:B$20,2,FALSE)</f>
        <v>9.000000000000008E-2</v>
      </c>
      <c r="AT175">
        <f>AR175-VLOOKUP(AS175,'Bag weights'!A$1:B$20,2,FALSE)</f>
        <v>0</v>
      </c>
      <c r="AU175" s="16">
        <v>2.82</v>
      </c>
      <c r="AV175" s="16" t="s">
        <v>298</v>
      </c>
      <c r="AW175">
        <f>AU175-VLOOKUP(AV175,'Bag weights'!A$1:B$20,2,FALSE)</f>
        <v>1.42</v>
      </c>
      <c r="AX175">
        <f t="shared" si="1"/>
        <v>88.660000000000011</v>
      </c>
      <c r="BD175" s="120">
        <v>36.700000000000003</v>
      </c>
      <c r="BH175" s="151">
        <v>0.76</v>
      </c>
    </row>
    <row r="176" spans="1:60">
      <c r="A176" s="86" t="s">
        <v>336</v>
      </c>
      <c r="B176" s="87"/>
      <c r="C176" s="86">
        <v>1</v>
      </c>
      <c r="D176" s="86" t="s">
        <v>87</v>
      </c>
      <c r="E176" s="21"/>
      <c r="F176" s="21"/>
      <c r="G176" s="21"/>
      <c r="J176">
        <f>H176-VLOOKUP(I176,'Bag weights'!A:B,2,FALSE)</f>
        <v>0</v>
      </c>
      <c r="M176">
        <f>K176-VLOOKUP(L176,'Bag weights'!A$1:B$20,2,FALSE)</f>
        <v>0</v>
      </c>
      <c r="O176" s="122"/>
      <c r="P176">
        <f>N176-VLOOKUP(O176,'Bag weights'!A$1:B$20,2,FALSE)</f>
        <v>0</v>
      </c>
      <c r="S176">
        <f>Q176-VLOOKUP(R176,'Bag weights'!A$1:B$20,2,FALSE)</f>
        <v>0</v>
      </c>
      <c r="T176" s="16">
        <v>27.97</v>
      </c>
      <c r="U176" s="16" t="s">
        <v>294</v>
      </c>
      <c r="V176">
        <f>T176-VLOOKUP(U176,'Bag weights'!A$1:B$20,2,FALSE)</f>
        <v>13.589999999999998</v>
      </c>
      <c r="Y176">
        <f>W176-VLOOKUP(X176,'Bag weights'!A$1:B$20,2,FALSE)</f>
        <v>0</v>
      </c>
      <c r="Z176" s="16">
        <v>0.92</v>
      </c>
      <c r="AB176">
        <f>Z176-VLOOKUP(AA176,'Bag weights'!A$1:B$20,2,FALSE)</f>
        <v>0.92</v>
      </c>
      <c r="AC176" s="16">
        <v>1.66</v>
      </c>
      <c r="AE176">
        <f>AC176-VLOOKUP(AD176,'Bag weights'!A$1:B$20,2,FALSE)</f>
        <v>1.66</v>
      </c>
      <c r="AH176">
        <f>AF176-VLOOKUP(AG176,'Bag weights'!A$1:B$20,2,FALSE)</f>
        <v>0</v>
      </c>
      <c r="AI176" s="16"/>
      <c r="AK176">
        <f>AI176-VLOOKUP(AJ176,'Bag weights'!A$1:B$20,2,FALSE)</f>
        <v>0</v>
      </c>
      <c r="AL176" s="16"/>
      <c r="AM176" s="16"/>
      <c r="AN176">
        <f>AL176-VLOOKUP(AM176,'Bag weights'!A$1:B$20,2,FALSE)</f>
        <v>0</v>
      </c>
      <c r="AQ176">
        <f>AO176-VLOOKUP(AP176,'Bag weights'!A$1:B$20,2,FALSE)</f>
        <v>0</v>
      </c>
      <c r="AT176">
        <f>AR176-VLOOKUP(AS176,'Bag weights'!A$1:B$20,2,FALSE)</f>
        <v>0</v>
      </c>
      <c r="AW176">
        <f>AU176-VLOOKUP(AV176,'Bag weights'!A$1:B$20,2,FALSE)</f>
        <v>0</v>
      </c>
      <c r="AX176">
        <f t="shared" si="1"/>
        <v>16.169999999999998</v>
      </c>
      <c r="BH176" s="151"/>
    </row>
    <row r="177" spans="1:60">
      <c r="A177" s="87"/>
      <c r="B177" s="87"/>
      <c r="C177" s="87">
        <v>1</v>
      </c>
      <c r="D177" s="86" t="s">
        <v>79</v>
      </c>
      <c r="E177" s="21"/>
      <c r="F177" s="21"/>
      <c r="G177" s="21"/>
      <c r="J177">
        <f>H177-VLOOKUP(I177,'Bag weights'!A:B,2,FALSE)</f>
        <v>0</v>
      </c>
      <c r="M177">
        <f>K177-VLOOKUP(L177,'Bag weights'!A$1:B$20,2,FALSE)</f>
        <v>0</v>
      </c>
      <c r="O177" s="122"/>
      <c r="P177">
        <f>N177-VLOOKUP(O177,'Bag weights'!A$1:B$20,2,FALSE)</f>
        <v>0</v>
      </c>
      <c r="S177">
        <f>Q177-VLOOKUP(R177,'Bag weights'!A$1:B$20,2,FALSE)</f>
        <v>0</v>
      </c>
      <c r="T177" s="16">
        <v>21.82</v>
      </c>
      <c r="U177" s="16" t="s">
        <v>295</v>
      </c>
      <c r="V177">
        <f>T177-VLOOKUP(U177,'Bag weights'!A$1:B$20,2,FALSE)</f>
        <v>13.99</v>
      </c>
      <c r="Y177">
        <f>W177-VLOOKUP(X177,'Bag weights'!A$1:B$20,2,FALSE)</f>
        <v>0</v>
      </c>
      <c r="AB177">
        <f>Z177-VLOOKUP(AA177,'Bag weights'!A$1:B$20,2,FALSE)</f>
        <v>0</v>
      </c>
      <c r="AC177" s="16">
        <v>11.48</v>
      </c>
      <c r="AD177" s="16" t="s">
        <v>295</v>
      </c>
      <c r="AE177">
        <f>AC177-VLOOKUP(AD177,'Bag weights'!A$1:B$20,2,FALSE)</f>
        <v>3.6500000000000004</v>
      </c>
      <c r="AH177">
        <f>AF177-VLOOKUP(AG177,'Bag weights'!A$1:B$20,2,FALSE)</f>
        <v>0</v>
      </c>
      <c r="AI177" s="146">
        <v>0.52</v>
      </c>
      <c r="AJ177" s="146" t="s">
        <v>302</v>
      </c>
      <c r="AK177" s="143">
        <f>AI177-VLOOKUP(AJ177,'Bag weights'!A$1:B$20,2,FALSE)</f>
        <v>0.52</v>
      </c>
      <c r="AL177" s="16">
        <v>37.07</v>
      </c>
      <c r="AM177" s="16" t="s">
        <v>295</v>
      </c>
      <c r="AN177">
        <f>AL177-VLOOKUP(AM177,'Bag weights'!A$1:B$20,2,FALSE)</f>
        <v>29.240000000000002</v>
      </c>
      <c r="AO177" s="146">
        <v>0.83</v>
      </c>
      <c r="AP177" s="146" t="s">
        <v>302</v>
      </c>
      <c r="AQ177" s="143">
        <f>AO177-VLOOKUP(AP177,'Bag weights'!A$1:B$20,2,FALSE)</f>
        <v>0.83</v>
      </c>
      <c r="AT177">
        <f>AR177-VLOOKUP(AS177,'Bag weights'!A$1:B$20,2,FALSE)</f>
        <v>0</v>
      </c>
      <c r="AU177" s="146">
        <v>3.09</v>
      </c>
      <c r="AV177" s="146" t="s">
        <v>302</v>
      </c>
      <c r="AW177" s="143">
        <f>AU177-VLOOKUP(AV177,'Bag weights'!A$1:B$20,2,FALSE)</f>
        <v>3.09</v>
      </c>
      <c r="AX177">
        <f t="shared" si="1"/>
        <v>48.230000000000004</v>
      </c>
      <c r="BD177" s="120">
        <v>20.3</v>
      </c>
      <c r="BH177" s="151">
        <v>0.87</v>
      </c>
    </row>
    <row r="178" spans="1:60">
      <c r="A178" s="87"/>
      <c r="B178" s="87"/>
      <c r="C178" s="87">
        <v>1</v>
      </c>
      <c r="D178" s="86" t="s">
        <v>88</v>
      </c>
      <c r="E178" s="21"/>
      <c r="F178" s="21"/>
      <c r="G178" s="21"/>
      <c r="J178">
        <f>H178-VLOOKUP(I178,'Bag weights'!A:B,2,FALSE)</f>
        <v>0</v>
      </c>
      <c r="M178">
        <f>K178-VLOOKUP(L178,'Bag weights'!A$1:B$20,2,FALSE)</f>
        <v>0</v>
      </c>
      <c r="O178" s="122"/>
      <c r="P178">
        <f>N178-VLOOKUP(O178,'Bag weights'!A$1:B$20,2,FALSE)</f>
        <v>0</v>
      </c>
      <c r="S178">
        <f>Q178-VLOOKUP(R178,'Bag weights'!A$1:B$20,2,FALSE)</f>
        <v>0</v>
      </c>
      <c r="T178" s="16">
        <v>15.85</v>
      </c>
      <c r="U178" s="16" t="s">
        <v>295</v>
      </c>
      <c r="V178">
        <f>T178-VLOOKUP(U178,'Bag weights'!A$1:B$20,2,FALSE)</f>
        <v>8.02</v>
      </c>
      <c r="Y178">
        <f>W178-VLOOKUP(X178,'Bag weights'!A$1:B$20,2,FALSE)</f>
        <v>0</v>
      </c>
      <c r="AB178">
        <f>Z178-VLOOKUP(AA178,'Bag weights'!A$1:B$20,2,FALSE)</f>
        <v>0</v>
      </c>
      <c r="AE178">
        <f>AC178-VLOOKUP(AD178,'Bag weights'!A$1:B$20,2,FALSE)</f>
        <v>0</v>
      </c>
      <c r="AH178">
        <f>AF178-VLOOKUP(AG178,'Bag weights'!A$1:B$20,2,FALSE)</f>
        <v>0</v>
      </c>
      <c r="AK178">
        <f>AI178-VLOOKUP(AJ178,'Bag weights'!A$1:B$20,2,FALSE)</f>
        <v>0</v>
      </c>
      <c r="AL178" s="16">
        <v>78.28</v>
      </c>
      <c r="AM178" s="16" t="s">
        <v>276</v>
      </c>
      <c r="AN178">
        <f>AL178-VLOOKUP(AM178,'Bag weights'!A$1:B$20,2,FALSE)</f>
        <v>57.33</v>
      </c>
      <c r="AO178" s="146">
        <v>3</v>
      </c>
      <c r="AP178" s="146" t="s">
        <v>298</v>
      </c>
      <c r="AQ178" s="143">
        <f>AO178-VLOOKUP(AP178,'Bag weights'!A$1:B$20,2,FALSE)</f>
        <v>1.6</v>
      </c>
      <c r="AT178">
        <f>AR178-VLOOKUP(AS178,'Bag weights'!A$1:B$20,2,FALSE)</f>
        <v>0</v>
      </c>
      <c r="AU178" s="141">
        <v>1.55</v>
      </c>
      <c r="AV178" s="142" t="s">
        <v>302</v>
      </c>
      <c r="AW178" s="143">
        <f>AU178-VLOOKUP(AV178,'Bag weights'!A$1:B$20,2,FALSE)</f>
        <v>1.55</v>
      </c>
      <c r="AX178">
        <f t="shared" si="1"/>
        <v>66.95</v>
      </c>
      <c r="BD178" s="120">
        <v>21</v>
      </c>
      <c r="BH178" s="151">
        <v>2.31</v>
      </c>
    </row>
    <row r="179" spans="1:60">
      <c r="A179" s="87"/>
      <c r="B179" s="87"/>
      <c r="C179" s="87">
        <v>2</v>
      </c>
      <c r="D179" s="87" t="s">
        <v>83</v>
      </c>
      <c r="E179" s="2"/>
      <c r="F179" s="2"/>
      <c r="G179" s="2"/>
      <c r="H179" s="16" t="s">
        <v>339</v>
      </c>
      <c r="I179" s="16"/>
      <c r="J179" t="e">
        <f>H179-VLOOKUP(I179,'Bag weights'!A:B,2,FALSE)</f>
        <v>#VALUE!</v>
      </c>
      <c r="M179">
        <f>K179-VLOOKUP(L179,'Bag weights'!A$1:B$20,2,FALSE)</f>
        <v>0</v>
      </c>
      <c r="O179" s="122"/>
      <c r="P179">
        <f>N179-VLOOKUP(O179,'Bag weights'!A$1:B$20,2,FALSE)</f>
        <v>0</v>
      </c>
      <c r="S179">
        <f>Q179-VLOOKUP(R179,'Bag weights'!A$1:B$20,2,FALSE)</f>
        <v>0</v>
      </c>
      <c r="V179">
        <f>T179-VLOOKUP(U179,'Bag weights'!A$1:B$20,2,FALSE)</f>
        <v>0</v>
      </c>
      <c r="Y179">
        <f>W179-VLOOKUP(X179,'Bag weights'!A$1:B$20,2,FALSE)</f>
        <v>0</v>
      </c>
      <c r="Z179" s="16" t="s">
        <v>340</v>
      </c>
      <c r="AA179" s="16"/>
      <c r="AB179" t="e">
        <f>Z179-VLOOKUP(AA179,'Bag weights'!A$1:B$20,2,FALSE)</f>
        <v>#VALUE!</v>
      </c>
      <c r="AH179">
        <f>AF179-VLOOKUP(AG179,'Bag weights'!A$1:B$20,2,FALSE)</f>
        <v>0</v>
      </c>
      <c r="AK179">
        <f>AI179-VLOOKUP(AJ179,'Bag weights'!A$1:B$20,2,FALSE)</f>
        <v>0</v>
      </c>
      <c r="AN179">
        <f>AL179-VLOOKUP(AM179,'Bag weights'!A$1:B$20,2,FALSE)</f>
        <v>0</v>
      </c>
      <c r="AQ179">
        <f>AO179-VLOOKUP(AP179,'Bag weights'!A$1:B$20,2,FALSE)</f>
        <v>0</v>
      </c>
      <c r="AT179">
        <f>AR179-VLOOKUP(AS179,'Bag weights'!A$1:B$20,2,FALSE)</f>
        <v>0</v>
      </c>
      <c r="AW179">
        <f>AU179-VLOOKUP(AV179,'Bag weights'!A$1:B$20,2,FALSE)</f>
        <v>0</v>
      </c>
      <c r="AX179" t="e">
        <f t="shared" ref="AX179:AX191" si="2">SUM(AT179+AQ179+AN179+AK179+AH179+AE180+AB179+Y179+V179+S179+J179+P179+M179)</f>
        <v>#VALUE!</v>
      </c>
      <c r="BA179" s="16" t="s">
        <v>354</v>
      </c>
      <c r="BD179" s="120">
        <v>20.2</v>
      </c>
      <c r="BH179" s="151">
        <v>1.42</v>
      </c>
    </row>
    <row r="180" spans="1:60">
      <c r="A180" s="87"/>
      <c r="B180" s="87"/>
      <c r="C180" s="87">
        <v>2</v>
      </c>
      <c r="D180" s="87" t="s">
        <v>85</v>
      </c>
      <c r="E180" s="2"/>
      <c r="F180" s="2"/>
      <c r="G180" s="2"/>
      <c r="J180">
        <f>H180-VLOOKUP(I180,'Bag weights'!A:B,2,FALSE)</f>
        <v>0</v>
      </c>
      <c r="M180">
        <f>K180-VLOOKUP(L180,'Bag weights'!A$1:B$20,2,FALSE)</f>
        <v>0</v>
      </c>
      <c r="O180" s="122"/>
      <c r="P180">
        <f>N180-VLOOKUP(O180,'Bag weights'!A$1:B$20,2,FALSE)</f>
        <v>0</v>
      </c>
      <c r="S180">
        <f>Q180-VLOOKUP(R180,'Bag weights'!A$1:B$20,2,FALSE)</f>
        <v>0</v>
      </c>
      <c r="T180" s="16">
        <v>10.91</v>
      </c>
      <c r="U180" s="16" t="s">
        <v>295</v>
      </c>
      <c r="V180">
        <f>T180-VLOOKUP(U180,'Bag weights'!A$1:B$20,2,FALSE)</f>
        <v>3.08</v>
      </c>
      <c r="Y180">
        <f>W180-VLOOKUP(X180,'Bag weights'!A$1:B$20,2,FALSE)</f>
        <v>0</v>
      </c>
      <c r="AB180">
        <f>Z180-VLOOKUP(AA180,'Bag weights'!A$1:B$20,2,FALSE)</f>
        <v>0</v>
      </c>
      <c r="AC180" s="16">
        <v>11.35</v>
      </c>
      <c r="AD180" s="16" t="s">
        <v>295</v>
      </c>
      <c r="AE180">
        <f>AC180-VLOOKUP(AD180,'Bag weights'!A$1:B$20,2,FALSE)</f>
        <v>3.5199999999999996</v>
      </c>
      <c r="AF180" s="141">
        <v>0.64</v>
      </c>
      <c r="AG180" s="142" t="s">
        <v>302</v>
      </c>
      <c r="AH180" s="143">
        <f>AF180-VLOOKUP(AG180,'Bag weights'!A$1:B$20,2,FALSE)</f>
        <v>0.64</v>
      </c>
      <c r="AI180" s="16">
        <v>18.84</v>
      </c>
      <c r="AJ180" s="16" t="s">
        <v>295</v>
      </c>
      <c r="AK180">
        <f>AI180-VLOOKUP(AJ180,'Bag weights'!A$1:B$20,2,FALSE)</f>
        <v>11.01</v>
      </c>
      <c r="AL180" s="16">
        <v>65.22</v>
      </c>
      <c r="AM180" s="16" t="s">
        <v>276</v>
      </c>
      <c r="AN180">
        <f>AL180-VLOOKUP(AM180,'Bag weights'!A$1:B$20,2,FALSE)</f>
        <v>44.269999999999996</v>
      </c>
      <c r="AQ180">
        <f>AO180-VLOOKUP(AP180,'Bag weights'!A$1:B$20,2,FALSE)</f>
        <v>0</v>
      </c>
      <c r="AT180">
        <f>AR180-VLOOKUP(AS180,'Bag weights'!A$1:B$20,2,FALSE)</f>
        <v>0</v>
      </c>
      <c r="AU180" s="141">
        <v>0.7</v>
      </c>
      <c r="AV180" s="142" t="s">
        <v>302</v>
      </c>
      <c r="AW180" s="143">
        <f>AU180-VLOOKUP(AV180,'Bag weights'!A$1:B$20,2,FALSE)</f>
        <v>0.7</v>
      </c>
      <c r="AX180">
        <f t="shared" si="2"/>
        <v>66.47</v>
      </c>
      <c r="BD180" s="120">
        <v>8.9</v>
      </c>
      <c r="BH180" s="151">
        <v>0.99</v>
      </c>
    </row>
    <row r="181" spans="1:60">
      <c r="A181" s="87"/>
      <c r="B181" s="87"/>
      <c r="C181" s="87">
        <v>2</v>
      </c>
      <c r="D181" s="87" t="s">
        <v>87</v>
      </c>
      <c r="E181" s="2"/>
      <c r="F181" s="2"/>
      <c r="G181" s="2"/>
      <c r="J181">
        <f>H181-VLOOKUP(I181,'Bag weights'!A:B,2,FALSE)</f>
        <v>0</v>
      </c>
      <c r="M181">
        <f>K181-VLOOKUP(L181,'Bag weights'!A$1:B$20,2,FALSE)</f>
        <v>0</v>
      </c>
      <c r="O181" s="122"/>
      <c r="P181">
        <f>N181-VLOOKUP(O181,'Bag weights'!A$1:B$20,2,FALSE)</f>
        <v>0</v>
      </c>
      <c r="S181">
        <f>Q181-VLOOKUP(R181,'Bag weights'!A$1:B$20,2,FALSE)</f>
        <v>0</v>
      </c>
      <c r="T181" s="16">
        <v>12.6</v>
      </c>
      <c r="U181" s="16" t="s">
        <v>295</v>
      </c>
      <c r="V181">
        <f>T181-VLOOKUP(U181,'Bag weights'!A$1:B$20,2,FALSE)</f>
        <v>4.7699999999999996</v>
      </c>
      <c r="Y181">
        <f>W181-VLOOKUP(X181,'Bag weights'!A$1:B$20,2,FALSE)</f>
        <v>0</v>
      </c>
      <c r="Z181" s="146">
        <v>1.87</v>
      </c>
      <c r="AA181" s="146" t="s">
        <v>298</v>
      </c>
      <c r="AB181" s="143">
        <f>Z181-VLOOKUP(AA181,'Bag weights'!A$1:B$20,2,FALSE)</f>
        <v>0.4700000000000002</v>
      </c>
      <c r="AC181" s="16">
        <v>15.3</v>
      </c>
      <c r="AD181" s="16" t="s">
        <v>295</v>
      </c>
      <c r="AE181">
        <f>AC181-VLOOKUP(AD181,'Bag weights'!A$1:B$20,2,FALSE)</f>
        <v>7.4700000000000006</v>
      </c>
      <c r="AH181">
        <f>AF181-VLOOKUP(AG181,'Bag weights'!A$1:B$20,2,FALSE)</f>
        <v>0</v>
      </c>
      <c r="AI181" s="16">
        <v>15.25</v>
      </c>
      <c r="AJ181" s="16" t="s">
        <v>295</v>
      </c>
      <c r="AK181">
        <f>AI181-VLOOKUP(AJ181,'Bag weights'!A$1:B$20,2,FALSE)</f>
        <v>7.42</v>
      </c>
      <c r="AL181" s="16">
        <v>58.96</v>
      </c>
      <c r="AM181" s="16" t="s">
        <v>276</v>
      </c>
      <c r="AN181">
        <f>AL181-VLOOKUP(AM181,'Bag weights'!A$1:B$20,2,FALSE)</f>
        <v>38.010000000000005</v>
      </c>
      <c r="AO181" s="146">
        <v>5.26</v>
      </c>
      <c r="AP181" s="146" t="s">
        <v>296</v>
      </c>
      <c r="AQ181" s="143">
        <f>AO181-VLOOKUP(AP181,'Bag weights'!A$1:B$20,2,FALSE)</f>
        <v>2.7699999999999996</v>
      </c>
      <c r="AT181">
        <f>AR181-VLOOKUP(AS181,'Bag weights'!A$1:B$20,2,FALSE)</f>
        <v>0</v>
      </c>
      <c r="AU181" s="146">
        <v>8.81</v>
      </c>
      <c r="AV181" s="146" t="s">
        <v>296</v>
      </c>
      <c r="AW181" s="143">
        <f>AU181-VLOOKUP(AV181,'Bag weights'!A$1:B$20,2,FALSE)</f>
        <v>6.32</v>
      </c>
      <c r="AX181">
        <f t="shared" si="2"/>
        <v>70.929999999999993</v>
      </c>
      <c r="BD181" s="120">
        <v>22</v>
      </c>
      <c r="BH181" s="151">
        <v>1.68</v>
      </c>
    </row>
    <row r="182" spans="1:60">
      <c r="A182" s="87"/>
      <c r="B182" s="87"/>
      <c r="C182" s="87">
        <v>2</v>
      </c>
      <c r="D182" s="87" t="s">
        <v>79</v>
      </c>
      <c r="E182" s="2"/>
      <c r="F182" s="2"/>
      <c r="G182" s="2"/>
      <c r="H182" s="146">
        <v>4.5</v>
      </c>
      <c r="I182" s="146" t="s">
        <v>302</v>
      </c>
      <c r="J182" s="143">
        <f>H182-VLOOKUP(I182,'Bag weights'!A:B,2,FALSE)</f>
        <v>4.5</v>
      </c>
      <c r="M182">
        <f>K182-VLOOKUP(L182,'Bag weights'!A$1:B$20,2,FALSE)</f>
        <v>0</v>
      </c>
      <c r="O182" s="122"/>
      <c r="P182">
        <f>N182-VLOOKUP(O182,'Bag weights'!A$1:B$20,2,FALSE)</f>
        <v>0</v>
      </c>
      <c r="S182">
        <f>Q182-VLOOKUP(R182,'Bag weights'!A$1:B$20,2,FALSE)</f>
        <v>0</v>
      </c>
      <c r="T182" s="16">
        <v>13.65</v>
      </c>
      <c r="U182" s="16" t="s">
        <v>295</v>
      </c>
      <c r="V182">
        <f>T182-VLOOKUP(U182,'Bag weights'!A$1:B$20,2,FALSE)</f>
        <v>5.82</v>
      </c>
      <c r="Y182">
        <f>W182-VLOOKUP(X182,'Bag weights'!A$1:B$20,2,FALSE)</f>
        <v>0</v>
      </c>
      <c r="AB182">
        <f>Z182-VLOOKUP(AA182,'Bag weights'!A$1:B$20,2,FALSE)</f>
        <v>0</v>
      </c>
      <c r="AC182" s="16">
        <v>25.32</v>
      </c>
      <c r="AD182" s="16" t="s">
        <v>295</v>
      </c>
      <c r="AE182">
        <f>AC182-VLOOKUP(AD182,'Bag weights'!A$1:B$20,2,FALSE)</f>
        <v>17.490000000000002</v>
      </c>
      <c r="AF182" s="141">
        <v>0.3</v>
      </c>
      <c r="AG182" s="142" t="s">
        <v>302</v>
      </c>
      <c r="AH182" s="143">
        <f>AF182-VLOOKUP(AG182,'Bag weights'!A$1:B$20,2,FALSE)</f>
        <v>0.3</v>
      </c>
      <c r="AI182" s="16">
        <v>17.79</v>
      </c>
      <c r="AJ182" s="16" t="s">
        <v>295</v>
      </c>
      <c r="AK182">
        <f>AI182-VLOOKUP(AJ182,'Bag weights'!A$1:B$20,2,FALSE)</f>
        <v>9.9599999999999991</v>
      </c>
      <c r="AL182" s="16">
        <v>29.25</v>
      </c>
      <c r="AM182" s="16" t="s">
        <v>295</v>
      </c>
      <c r="AN182">
        <f>AL182-VLOOKUP(AM182,'Bag weights'!A$1:B$20,2,FALSE)</f>
        <v>21.42</v>
      </c>
      <c r="AO182" s="146">
        <v>5.67</v>
      </c>
      <c r="AP182" s="146" t="s">
        <v>296</v>
      </c>
      <c r="AQ182" s="143">
        <f>AO182-VLOOKUP(AP182,'Bag weights'!A$1:B$20,2,FALSE)</f>
        <v>3.1799999999999997</v>
      </c>
      <c r="AR182" s="16"/>
      <c r="AT182">
        <f>AR182-VLOOKUP(AS182,'Bag weights'!A$1:B$20,2,FALSE)</f>
        <v>0</v>
      </c>
      <c r="AU182" s="146">
        <v>1.82</v>
      </c>
      <c r="AV182" s="146" t="s">
        <v>298</v>
      </c>
      <c r="AW182" s="143">
        <f>AU182-VLOOKUP(AV182,'Bag weights'!A$1:B$20,2,FALSE)</f>
        <v>0.42000000000000015</v>
      </c>
      <c r="AX182">
        <f t="shared" si="2"/>
        <v>53.23</v>
      </c>
      <c r="BD182" s="120">
        <v>15</v>
      </c>
      <c r="BH182" s="151">
        <v>1.1200000000000001</v>
      </c>
    </row>
    <row r="183" spans="1:60">
      <c r="A183" s="87"/>
      <c r="B183" s="87"/>
      <c r="C183" s="87">
        <v>2</v>
      </c>
      <c r="D183" s="87" t="s">
        <v>88</v>
      </c>
      <c r="E183" s="2"/>
      <c r="F183" s="2"/>
      <c r="G183" s="2"/>
      <c r="J183">
        <f>H183-VLOOKUP(I183,'Bag weights'!A:B,2,FALSE)</f>
        <v>0</v>
      </c>
      <c r="M183">
        <f>K183-VLOOKUP(L183,'Bag weights'!A$1:B$20,2,FALSE)</f>
        <v>0</v>
      </c>
      <c r="O183" s="122"/>
      <c r="P183">
        <f>N183-VLOOKUP(O183,'Bag weights'!A$1:B$20,2,FALSE)</f>
        <v>0</v>
      </c>
      <c r="S183">
        <f>Q183-VLOOKUP(R183,'Bag weights'!A$1:B$20,2,FALSE)</f>
        <v>0</v>
      </c>
      <c r="T183" s="16">
        <v>14</v>
      </c>
      <c r="U183" s="16" t="s">
        <v>295</v>
      </c>
      <c r="V183">
        <f>T183-VLOOKUP(U183,'Bag weights'!A$1:B$20,2,FALSE)</f>
        <v>6.17</v>
      </c>
      <c r="Y183">
        <f>W183-VLOOKUP(X183,'Bag weights'!A$1:B$20,2,FALSE)</f>
        <v>0</v>
      </c>
      <c r="AB183">
        <f>Z183-VLOOKUP(AA183,'Bag weights'!A$1:B$20,2,FALSE)</f>
        <v>0</v>
      </c>
      <c r="AC183" s="16">
        <v>15.88</v>
      </c>
      <c r="AD183" s="16" t="s">
        <v>295</v>
      </c>
      <c r="AE183">
        <f>AC183-VLOOKUP(AD183,'Bag weights'!A$1:B$20,2,FALSE)</f>
        <v>8.0500000000000007</v>
      </c>
      <c r="AH183">
        <f>AF183-VLOOKUP(AG183,'Bag weights'!A$1:B$20,2,FALSE)</f>
        <v>0</v>
      </c>
      <c r="AK183">
        <f>AI183-VLOOKUP(AJ183,'Bag weights'!A$1:B$20,2,FALSE)</f>
        <v>0</v>
      </c>
      <c r="AL183" s="16">
        <v>60.93</v>
      </c>
      <c r="AM183" s="16" t="s">
        <v>276</v>
      </c>
      <c r="AN183">
        <f>AL183-VLOOKUP(AM183,'Bag weights'!A$1:B$20,2,FALSE)</f>
        <v>39.980000000000004</v>
      </c>
      <c r="AO183" s="146">
        <v>1.81</v>
      </c>
      <c r="AP183" s="146" t="s">
        <v>302</v>
      </c>
      <c r="AQ183" s="143">
        <f>AO183-VLOOKUP(AP183,'Bag weights'!A$1:B$20,2,FALSE)</f>
        <v>1.81</v>
      </c>
      <c r="AT183">
        <f>AR183-VLOOKUP(AS183,'Bag weights'!A$1:B$20,2,FALSE)</f>
        <v>0</v>
      </c>
      <c r="AU183" s="146">
        <v>4.5999999999999996</v>
      </c>
      <c r="AV183" s="146" t="s">
        <v>296</v>
      </c>
      <c r="AW183" s="143">
        <f>AU183-VLOOKUP(AV183,'Bag weights'!A$1:B$20,2,FALSE)</f>
        <v>2.1099999999999994</v>
      </c>
      <c r="AX183">
        <f t="shared" si="2"/>
        <v>47.960000000000008</v>
      </c>
      <c r="BD183" s="120">
        <v>19.100000000000001</v>
      </c>
      <c r="BH183" s="151">
        <v>1.98</v>
      </c>
    </row>
    <row r="184" spans="1:60">
      <c r="A184" s="87"/>
      <c r="B184" s="87"/>
      <c r="C184" s="87">
        <v>3</v>
      </c>
      <c r="D184" s="87" t="s">
        <v>83</v>
      </c>
      <c r="E184" s="2"/>
      <c r="F184" s="2"/>
      <c r="G184" s="2"/>
      <c r="H184" s="16" t="s">
        <v>339</v>
      </c>
      <c r="I184" s="16"/>
      <c r="J184" t="e">
        <f>H184-VLOOKUP(I184,'Bag weights'!A:B,2,FALSE)</f>
        <v>#VALUE!</v>
      </c>
      <c r="M184">
        <f>K184-VLOOKUP(L184,'Bag weights'!A$1:B$20,2,FALSE)</f>
        <v>0</v>
      </c>
      <c r="O184" s="122"/>
      <c r="P184">
        <f>N184-VLOOKUP(O184,'Bag weights'!A$1:B$20,2,FALSE)</f>
        <v>0</v>
      </c>
      <c r="S184">
        <f>Q184-VLOOKUP(R184,'Bag weights'!A$1:B$20,2,FALSE)</f>
        <v>0</v>
      </c>
      <c r="V184">
        <f>T184-VLOOKUP(U184,'Bag weights'!A$1:B$20,2,FALSE)</f>
        <v>0</v>
      </c>
      <c r="Y184">
        <f>W184-VLOOKUP(X184,'Bag weights'!A$1:B$20,2,FALSE)</f>
        <v>0</v>
      </c>
      <c r="Z184" s="16" t="s">
        <v>341</v>
      </c>
      <c r="AA184" s="16"/>
      <c r="AB184" t="e">
        <f>Z184-VLOOKUP(AA184,'Bag weights'!A$1:B$20,2,FALSE)</f>
        <v>#VALUE!</v>
      </c>
      <c r="AE184">
        <f>AC184-VLOOKUP(AD184,'Bag weights'!A$1:B$20,2,FALSE)</f>
        <v>0</v>
      </c>
      <c r="AH184">
        <f>AF184-VLOOKUP(AG184,'Bag weights'!A$1:B$20,2,FALSE)</f>
        <v>0</v>
      </c>
      <c r="AK184">
        <f>AI184-VLOOKUP(AJ184,'Bag weights'!A$1:B$20,2,FALSE)</f>
        <v>0</v>
      </c>
      <c r="AN184">
        <f>AL184-VLOOKUP(AM184,'Bag weights'!A$1:B$20,2,FALSE)</f>
        <v>0</v>
      </c>
      <c r="AQ184">
        <f>AO184-VLOOKUP(AP184,'Bag weights'!A$1:B$20,2,FALSE)</f>
        <v>0</v>
      </c>
      <c r="AT184">
        <f>AR184-VLOOKUP(AS184,'Bag weights'!A$1:B$20,2,FALSE)</f>
        <v>0</v>
      </c>
      <c r="AW184">
        <f>AU184-VLOOKUP(AV184,'Bag weights'!A$1:B$20,2,FALSE)</f>
        <v>0</v>
      </c>
      <c r="AX184" t="e">
        <f t="shared" si="2"/>
        <v>#VALUE!</v>
      </c>
      <c r="BA184" s="16" t="s">
        <v>355</v>
      </c>
      <c r="BD184" s="120">
        <v>24</v>
      </c>
      <c r="BH184" s="151">
        <v>0.96</v>
      </c>
    </row>
    <row r="185" spans="1:60">
      <c r="A185" s="87"/>
      <c r="B185" s="87"/>
      <c r="C185" s="87">
        <v>3</v>
      </c>
      <c r="D185" s="87" t="s">
        <v>85</v>
      </c>
      <c r="E185" s="2"/>
      <c r="F185" s="2"/>
      <c r="G185" s="2"/>
      <c r="J185">
        <f>H185-VLOOKUP(I185,'Bag weights'!A:B,2,FALSE)</f>
        <v>0</v>
      </c>
      <c r="M185">
        <f>K185-VLOOKUP(L185,'Bag weights'!A$1:B$20,2,FALSE)</f>
        <v>0</v>
      </c>
      <c r="O185" s="122"/>
      <c r="P185">
        <f>N185-VLOOKUP(O185,'Bag weights'!A$1:B$20,2,FALSE)</f>
        <v>0</v>
      </c>
      <c r="S185">
        <f>Q185-VLOOKUP(R185,'Bag weights'!A$1:B$20,2,FALSE)</f>
        <v>0</v>
      </c>
      <c r="T185" s="16">
        <v>10.54</v>
      </c>
      <c r="U185" s="16" t="s">
        <v>295</v>
      </c>
      <c r="V185">
        <f>T185-VLOOKUP(U185,'Bag weights'!A$1:B$20,2,FALSE)</f>
        <v>2.7099999999999991</v>
      </c>
      <c r="Y185">
        <f>W185-VLOOKUP(X185,'Bag weights'!A$1:B$20,2,FALSE)</f>
        <v>0</v>
      </c>
      <c r="Z185" s="16">
        <v>13.4</v>
      </c>
      <c r="AA185" s="16" t="s">
        <v>295</v>
      </c>
      <c r="AB185">
        <f>Z185-VLOOKUP(AA185,'Bag weights'!A$1:B$20,2,FALSE)</f>
        <v>5.57</v>
      </c>
      <c r="AC185" s="16">
        <v>13.86</v>
      </c>
      <c r="AD185" s="16" t="s">
        <v>295</v>
      </c>
      <c r="AE185">
        <f>AC185-VLOOKUP(AD185,'Bag weights'!A$1:B$20,2,FALSE)</f>
        <v>6.0299999999999994</v>
      </c>
      <c r="AF185" s="146">
        <v>0.67</v>
      </c>
      <c r="AG185" s="146" t="s">
        <v>302</v>
      </c>
      <c r="AH185" s="143">
        <f>AF185-VLOOKUP(AG185,'Bag weights'!A$1:B$20,2,FALSE)</f>
        <v>0.67</v>
      </c>
      <c r="AK185">
        <f>AI185-VLOOKUP(AJ185,'Bag weights'!A$1:B$20,2,FALSE)</f>
        <v>0</v>
      </c>
      <c r="AL185" s="16">
        <v>55.71</v>
      </c>
      <c r="AM185" s="16" t="s">
        <v>294</v>
      </c>
      <c r="AN185">
        <f>AL185-VLOOKUP(AM185,'Bag weights'!A$1:B$20,2,FALSE)</f>
        <v>41.33</v>
      </c>
      <c r="AO185" s="146">
        <v>0.87</v>
      </c>
      <c r="AP185" s="146" t="s">
        <v>302</v>
      </c>
      <c r="AQ185" s="143">
        <f>AO185-VLOOKUP(AP185,'Bag weights'!A$1:B$20,2,FALSE)</f>
        <v>0.87</v>
      </c>
      <c r="AT185">
        <f>AR185-VLOOKUP(AS185,'Bag weights'!A$1:B$20,2,FALSE)</f>
        <v>0</v>
      </c>
      <c r="AU185" s="146">
        <v>0.36</v>
      </c>
      <c r="AV185" s="146" t="s">
        <v>302</v>
      </c>
      <c r="AW185" s="143">
        <f>AU185-VLOOKUP(AV185,'Bag weights'!A$1:B$20,2,FALSE)</f>
        <v>0.36</v>
      </c>
      <c r="AX185">
        <f t="shared" si="2"/>
        <v>53.379999999999995</v>
      </c>
      <c r="BD185" s="120">
        <v>19.100000000000001</v>
      </c>
      <c r="BG185" s="16" t="s">
        <v>356</v>
      </c>
    </row>
    <row r="186" spans="1:60">
      <c r="A186" s="87"/>
      <c r="B186" s="87"/>
      <c r="C186" s="87">
        <v>3</v>
      </c>
      <c r="D186" s="86" t="s">
        <v>87</v>
      </c>
      <c r="E186" s="21"/>
      <c r="F186" s="21"/>
      <c r="G186" s="21"/>
      <c r="H186" s="146">
        <v>0.6</v>
      </c>
      <c r="I186" s="146" t="s">
        <v>302</v>
      </c>
      <c r="J186" s="143">
        <f>H186-VLOOKUP(I186,'Bag weights'!A:B,2,FALSE)</f>
        <v>0.6</v>
      </c>
      <c r="M186">
        <f>K186-VLOOKUP(L186,'Bag weights'!A$1:B$20,2,FALSE)</f>
        <v>0</v>
      </c>
      <c r="O186" s="122"/>
      <c r="P186">
        <f>N186-VLOOKUP(O186,'Bag weights'!A$1:B$20,2,FALSE)</f>
        <v>0</v>
      </c>
      <c r="S186">
        <f>Q186-VLOOKUP(R186,'Bag weights'!A$1:B$20,2,FALSE)</f>
        <v>0</v>
      </c>
      <c r="T186" s="16">
        <v>17.63</v>
      </c>
      <c r="U186" s="16" t="s">
        <v>295</v>
      </c>
      <c r="V186">
        <f>T186-VLOOKUP(U186,'Bag weights'!A$1:B$20,2,FALSE)</f>
        <v>9.7999999999999989</v>
      </c>
      <c r="Y186">
        <f>W186-VLOOKUP(X186,'Bag weights'!A$1:B$20,2,FALSE)</f>
        <v>0</v>
      </c>
      <c r="Z186" s="16">
        <v>11.25</v>
      </c>
      <c r="AA186" s="16" t="s">
        <v>295</v>
      </c>
      <c r="AB186">
        <f>Z186-VLOOKUP(AA186,'Bag weights'!A$1:B$20,2,FALSE)</f>
        <v>3.42</v>
      </c>
      <c r="AC186" s="16">
        <v>10.06</v>
      </c>
      <c r="AD186" s="16" t="s">
        <v>295</v>
      </c>
      <c r="AE186">
        <f>AC186-VLOOKUP(AD186,'Bag weights'!A$1:B$20,2,FALSE)</f>
        <v>2.2300000000000004</v>
      </c>
      <c r="AF186" s="146">
        <v>0.34</v>
      </c>
      <c r="AG186" s="146" t="s">
        <v>302</v>
      </c>
      <c r="AH186" s="143">
        <f>AF186-VLOOKUP(AG186,'Bag weights'!A$1:B$20,2,FALSE)</f>
        <v>0.34</v>
      </c>
      <c r="AI186" s="16">
        <v>11.45</v>
      </c>
      <c r="AJ186" s="16" t="s">
        <v>295</v>
      </c>
      <c r="AK186">
        <f>AI186-VLOOKUP(AJ186,'Bag weights'!A$1:B$20,2,FALSE)</f>
        <v>3.6199999999999992</v>
      </c>
      <c r="AL186" s="16">
        <v>59.56</v>
      </c>
      <c r="AM186" s="16" t="s">
        <v>295</v>
      </c>
      <c r="AN186">
        <f>AL186-VLOOKUP(AM186,'Bag weights'!A$1:B$20,2,FALSE)</f>
        <v>51.730000000000004</v>
      </c>
      <c r="AO186" s="146">
        <v>4.07</v>
      </c>
      <c r="AP186" s="146" t="s">
        <v>302</v>
      </c>
      <c r="AQ186" s="143">
        <f>AO186-VLOOKUP(AP186,'Bag weights'!A$1:B$20,2,FALSE)</f>
        <v>4.07</v>
      </c>
      <c r="AT186">
        <f>AR186-VLOOKUP(AS186,'Bag weights'!A$1:B$20,2,FALSE)</f>
        <v>0</v>
      </c>
      <c r="AU186" s="146">
        <v>4.79</v>
      </c>
      <c r="AV186" s="146" t="s">
        <v>302</v>
      </c>
      <c r="AW186" s="143">
        <f>AU186-VLOOKUP(AV186,'Bag weights'!A$1:B$20,2,FALSE)</f>
        <v>4.79</v>
      </c>
      <c r="AX186">
        <f t="shared" si="2"/>
        <v>76.53</v>
      </c>
      <c r="BD186" s="120">
        <v>11.5</v>
      </c>
      <c r="BH186" s="151">
        <v>1.55</v>
      </c>
    </row>
    <row r="187" spans="1:60">
      <c r="A187" s="87"/>
      <c r="B187" s="87"/>
      <c r="C187" s="87">
        <v>3</v>
      </c>
      <c r="D187" s="87" t="s">
        <v>79</v>
      </c>
      <c r="E187" s="2"/>
      <c r="F187" s="2"/>
      <c r="G187" s="2"/>
      <c r="H187" s="16">
        <v>8.9499999999999993</v>
      </c>
      <c r="J187">
        <f>H187-VLOOKUP(I187,'Bag weights'!A:B,2,FALSE)</f>
        <v>8.9499999999999993</v>
      </c>
      <c r="M187">
        <f>K187-VLOOKUP(L187,'Bag weights'!A$1:B$20,2,FALSE)</f>
        <v>0</v>
      </c>
      <c r="O187" s="122"/>
      <c r="P187">
        <f>N187-VLOOKUP(O187,'Bag weights'!A$1:B$20,2,FALSE)</f>
        <v>0</v>
      </c>
      <c r="S187">
        <f>Q187-VLOOKUP(R187,'Bag weights'!A$1:B$20,2,FALSE)</f>
        <v>0</v>
      </c>
      <c r="T187" s="16">
        <v>17.829999999999998</v>
      </c>
      <c r="U187" s="16" t="s">
        <v>295</v>
      </c>
      <c r="V187">
        <f>T187-VLOOKUP(U187,'Bag weights'!A$1:B$20,2,FALSE)</f>
        <v>9.9999999999999982</v>
      </c>
      <c r="Y187">
        <f>W187-VLOOKUP(X187,'Bag weights'!A$1:B$20,2,FALSE)</f>
        <v>0</v>
      </c>
      <c r="Z187" s="16">
        <v>15.91</v>
      </c>
      <c r="AA187" s="16" t="s">
        <v>295</v>
      </c>
      <c r="AB187">
        <f>Z187-VLOOKUP(AA187,'Bag weights'!A$1:B$20,2,FALSE)</f>
        <v>8.08</v>
      </c>
      <c r="AC187" s="16">
        <v>10.78</v>
      </c>
      <c r="AD187" s="16" t="s">
        <v>295</v>
      </c>
      <c r="AE187">
        <f>AC187-VLOOKUP(AD187,'Bag weights'!A$1:B$20,2,FALSE)</f>
        <v>2.9499999999999993</v>
      </c>
      <c r="AF187" s="146">
        <v>0.31</v>
      </c>
      <c r="AG187" s="146" t="s">
        <v>302</v>
      </c>
      <c r="AH187" s="143">
        <f>AF187-VLOOKUP(AG187,'Bag weights'!A$1:B$20,2,FALSE)</f>
        <v>0.31</v>
      </c>
      <c r="AK187">
        <f>AI187-VLOOKUP(AJ187,'Bag weights'!A$1:B$20,2,FALSE)</f>
        <v>0</v>
      </c>
      <c r="AL187" s="16">
        <v>68.67</v>
      </c>
      <c r="AM187" s="16" t="s">
        <v>276</v>
      </c>
      <c r="AN187">
        <f>AL187-VLOOKUP(AM187,'Bag weights'!A$1:B$20,2,FALSE)</f>
        <v>47.72</v>
      </c>
      <c r="AO187" s="146">
        <v>1.28</v>
      </c>
      <c r="AP187" s="146" t="s">
        <v>302</v>
      </c>
      <c r="AQ187" s="143">
        <f>AO187-VLOOKUP(AP187,'Bag weights'!A$1:B$20,2,FALSE)</f>
        <v>1.28</v>
      </c>
      <c r="AT187">
        <f>AR187-VLOOKUP(AS187,'Bag weights'!A$1:B$20,2,FALSE)</f>
        <v>0</v>
      </c>
      <c r="AU187" s="146">
        <v>0.64</v>
      </c>
      <c r="AV187" s="146" t="s">
        <v>302</v>
      </c>
      <c r="AW187" s="143">
        <f>AU187-VLOOKUP(AV187,'Bag weights'!A$1:B$20,2,FALSE)</f>
        <v>0.64</v>
      </c>
      <c r="AX187">
        <f t="shared" si="2"/>
        <v>79.2</v>
      </c>
      <c r="BD187" s="120">
        <v>24.6</v>
      </c>
      <c r="BG187" s="16" t="s">
        <v>356</v>
      </c>
      <c r="BH187" s="152"/>
    </row>
    <row r="188" spans="1:60">
      <c r="A188" s="87"/>
      <c r="B188" s="87"/>
      <c r="C188" s="87">
        <v>3</v>
      </c>
      <c r="D188" s="87" t="s">
        <v>88</v>
      </c>
      <c r="E188" s="2"/>
      <c r="F188" s="2"/>
      <c r="G188" s="2"/>
      <c r="H188" s="141">
        <v>0.24</v>
      </c>
      <c r="I188" s="142" t="s">
        <v>302</v>
      </c>
      <c r="J188" s="143">
        <f>H188-VLOOKUP(I188,'Bag weights'!A:B,2,FALSE)</f>
        <v>0.24</v>
      </c>
      <c r="M188">
        <f>K188-VLOOKUP(L188,'Bag weights'!A$1:B$20,2,FALSE)</f>
        <v>0</v>
      </c>
      <c r="O188" s="122"/>
      <c r="P188">
        <f>N188-VLOOKUP(O188,'Bag weights'!A$1:B$20,2,FALSE)</f>
        <v>0</v>
      </c>
      <c r="S188">
        <f>Q188-VLOOKUP(R188,'Bag weights'!A$1:B$20,2,FALSE)</f>
        <v>0</v>
      </c>
      <c r="T188" s="16">
        <v>14.04</v>
      </c>
      <c r="U188" s="16" t="s">
        <v>295</v>
      </c>
      <c r="V188">
        <f>T188-VLOOKUP(U188,'Bag weights'!A$1:B$20,2,FALSE)</f>
        <v>6.2099999999999991</v>
      </c>
      <c r="Y188">
        <f>W188-VLOOKUP(X188,'Bag weights'!A$1:B$20,2,FALSE)</f>
        <v>0</v>
      </c>
      <c r="Z188" s="16">
        <v>11.32</v>
      </c>
      <c r="AA188" s="16" t="s">
        <v>295</v>
      </c>
      <c r="AB188">
        <f>Z188-VLOOKUP(AA188,'Bag weights'!A$1:B$20,2,FALSE)</f>
        <v>3.49</v>
      </c>
      <c r="AC188" s="16">
        <v>10.69</v>
      </c>
      <c r="AD188" s="16" t="s">
        <v>295</v>
      </c>
      <c r="AE188">
        <f>AC188-VLOOKUP(AD188,'Bag weights'!A$1:B$20,2,FALSE)</f>
        <v>2.8599999999999994</v>
      </c>
      <c r="AF188" s="141">
        <v>0.65</v>
      </c>
      <c r="AG188" s="142" t="s">
        <v>302</v>
      </c>
      <c r="AH188" s="143">
        <f>AF188-VLOOKUP(AG188,'Bag weights'!A$1:B$20,2,FALSE)</f>
        <v>0.65</v>
      </c>
      <c r="AI188" s="16">
        <v>33.79</v>
      </c>
      <c r="AJ188" s="16" t="s">
        <v>295</v>
      </c>
      <c r="AK188">
        <f>AI188-VLOOKUP(AJ188,'Bag weights'!A$1:B$20,2,FALSE)</f>
        <v>25.96</v>
      </c>
      <c r="AL188" s="16">
        <v>30.61</v>
      </c>
      <c r="AM188" s="16" t="s">
        <v>295</v>
      </c>
      <c r="AN188">
        <f>AL188-VLOOKUP(AM188,'Bag weights'!A$1:B$20,2,FALSE)</f>
        <v>22.78</v>
      </c>
      <c r="AO188" s="146">
        <v>7.57</v>
      </c>
      <c r="AP188" s="146" t="s">
        <v>296</v>
      </c>
      <c r="AQ188" s="143">
        <f>AO188-VLOOKUP(AP188,'Bag weights'!A$1:B$20,2,FALSE)</f>
        <v>5.08</v>
      </c>
      <c r="AT188">
        <f>AR188-VLOOKUP(AS188,'Bag weights'!A$1:B$20,2,FALSE)</f>
        <v>0</v>
      </c>
      <c r="AU188" s="146">
        <v>3.27</v>
      </c>
      <c r="AV188" s="146" t="s">
        <v>296</v>
      </c>
      <c r="AW188" s="143">
        <f>AU188-VLOOKUP(AV188,'Bag weights'!A$1:B$20,2,FALSE)</f>
        <v>0.7799999999999998</v>
      </c>
      <c r="AX188">
        <f t="shared" si="2"/>
        <v>66.05</v>
      </c>
      <c r="BD188" s="120">
        <v>7.7</v>
      </c>
      <c r="BG188" s="16" t="s">
        <v>356</v>
      </c>
      <c r="BH188" s="152"/>
    </row>
    <row r="189" spans="1:60">
      <c r="A189" s="87"/>
      <c r="B189" s="87"/>
      <c r="C189" s="87">
        <v>4</v>
      </c>
      <c r="D189" s="87" t="s">
        <v>83</v>
      </c>
      <c r="E189" s="2"/>
      <c r="F189" s="2"/>
      <c r="G189" s="2"/>
      <c r="J189">
        <f>H189-VLOOKUP(I189,'Bag weights'!A:B,2,FALSE)</f>
        <v>0</v>
      </c>
      <c r="M189">
        <f>K189-VLOOKUP(L189,'Bag weights'!A$1:B$20,2,FALSE)</f>
        <v>0</v>
      </c>
      <c r="O189" s="122"/>
      <c r="P189">
        <f>N189-VLOOKUP(O189,'Bag weights'!A$1:B$20,2,FALSE)</f>
        <v>0</v>
      </c>
      <c r="S189">
        <f>Q189-VLOOKUP(R189,'Bag weights'!A$1:B$20,2,FALSE)</f>
        <v>0</v>
      </c>
      <c r="T189" s="16">
        <v>24.36</v>
      </c>
      <c r="U189" s="16" t="s">
        <v>295</v>
      </c>
      <c r="V189">
        <f>T189-VLOOKUP(U189,'Bag weights'!A$1:B$20,2,FALSE)</f>
        <v>16.53</v>
      </c>
      <c r="Y189">
        <f>W189-VLOOKUP(X189,'Bag weights'!A$1:B$20,2,FALSE)</f>
        <v>0</v>
      </c>
      <c r="AB189">
        <f>Z189-VLOOKUP(AA189,'Bag weights'!A$1:B$20,2,FALSE)</f>
        <v>0</v>
      </c>
      <c r="AC189" s="16">
        <v>4.13</v>
      </c>
      <c r="AD189" s="16" t="s">
        <v>296</v>
      </c>
      <c r="AE189">
        <f>AC189-VLOOKUP(AD189,'Bag weights'!A$1:B$20,2,FALSE)</f>
        <v>1.6399999999999997</v>
      </c>
      <c r="AH189">
        <f>AF189-VLOOKUP(AG189,'Bag weights'!A$1:B$20,2,FALSE)</f>
        <v>0</v>
      </c>
      <c r="AI189" s="16">
        <v>21.24</v>
      </c>
      <c r="AJ189" s="16" t="s">
        <v>295</v>
      </c>
      <c r="AK189">
        <f>AI189-VLOOKUP(AJ189,'Bag weights'!A$1:B$20,2,FALSE)</f>
        <v>13.409999999999998</v>
      </c>
      <c r="AL189" s="16">
        <v>40.36</v>
      </c>
      <c r="AM189" s="16" t="s">
        <v>295</v>
      </c>
      <c r="AN189">
        <f>AL189-VLOOKUP(AM189,'Bag weights'!A$1:B$20,2,FALSE)</f>
        <v>32.53</v>
      </c>
      <c r="AO189" s="16"/>
      <c r="AQ189">
        <f>AO189-VLOOKUP(AP189,'Bag weights'!A$1:B$20,2,FALSE)</f>
        <v>0</v>
      </c>
      <c r="AT189">
        <f>AR189-VLOOKUP(AS189,'Bag weights'!A$1:B$20,2,FALSE)</f>
        <v>0</v>
      </c>
      <c r="AU189" s="146">
        <v>2.11</v>
      </c>
      <c r="AV189" s="146" t="s">
        <v>298</v>
      </c>
      <c r="AW189" s="143">
        <f>AU189-VLOOKUP(AV189,'Bag weights'!A$1:B$20,2,FALSE)</f>
        <v>0.71</v>
      </c>
      <c r="AX189">
        <f t="shared" si="2"/>
        <v>73.14</v>
      </c>
      <c r="BD189" s="120">
        <v>17.899999999999999</v>
      </c>
      <c r="BH189" s="151">
        <v>1.44</v>
      </c>
    </row>
    <row r="190" spans="1:60">
      <c r="A190" s="87"/>
      <c r="B190" s="87"/>
      <c r="C190" s="87">
        <v>4</v>
      </c>
      <c r="D190" s="87" t="s">
        <v>85</v>
      </c>
      <c r="E190" s="2"/>
      <c r="F190" s="2"/>
      <c r="G190" s="2"/>
      <c r="J190">
        <f>H190-VLOOKUP(I190,'Bag weights'!A:B,2,FALSE)</f>
        <v>0</v>
      </c>
      <c r="M190">
        <f>K190-VLOOKUP(L190,'Bag weights'!A$1:B$20,2,FALSE)</f>
        <v>0</v>
      </c>
      <c r="O190" s="122"/>
      <c r="P190">
        <f>N190-VLOOKUP(O190,'Bag weights'!A$1:B$20,2,FALSE)</f>
        <v>0</v>
      </c>
      <c r="S190">
        <f>Q190-VLOOKUP(R190,'Bag weights'!A$1:B$20,2,FALSE)</f>
        <v>0</v>
      </c>
      <c r="V190">
        <f>T190-VLOOKUP(U190,'Bag weights'!A$1:B$20,2,FALSE)</f>
        <v>0</v>
      </c>
      <c r="Y190">
        <f>W190-VLOOKUP(X190,'Bag weights'!A$1:B$20,2,FALSE)</f>
        <v>0</v>
      </c>
      <c r="AB190">
        <f>Z190-VLOOKUP(AA190,'Bag weights'!A$1:B$20,2,FALSE)</f>
        <v>0</v>
      </c>
      <c r="AC190" s="16">
        <v>18.5</v>
      </c>
      <c r="AD190" s="16" t="s">
        <v>295</v>
      </c>
      <c r="AE190">
        <f>AC190-VLOOKUP(AD190,'Bag weights'!A$1:B$20,2,FALSE)</f>
        <v>10.67</v>
      </c>
      <c r="AH190">
        <f>AF190-VLOOKUP(AG190,'Bag weights'!A$1:B$20,2,FALSE)</f>
        <v>0</v>
      </c>
      <c r="AI190" s="16">
        <v>12.63</v>
      </c>
      <c r="AJ190" s="16" t="s">
        <v>295</v>
      </c>
      <c r="AK190">
        <f>AI190-VLOOKUP(AJ190,'Bag weights'!A$1:B$20,2,FALSE)</f>
        <v>4.8000000000000007</v>
      </c>
      <c r="AL190" s="16">
        <v>28.59</v>
      </c>
      <c r="AM190" s="16" t="s">
        <v>295</v>
      </c>
      <c r="AN190">
        <f>AL190-VLOOKUP(AM190,'Bag weights'!A$1:B$20,2,FALSE)</f>
        <v>20.759999999999998</v>
      </c>
      <c r="AO190" s="146">
        <v>4.24</v>
      </c>
      <c r="AP190" s="146" t="s">
        <v>296</v>
      </c>
      <c r="AQ190" s="143">
        <f>AO190-VLOOKUP(AP190,'Bag weights'!A$1:B$20,2,FALSE)</f>
        <v>1.75</v>
      </c>
      <c r="AT190">
        <f>AR190-VLOOKUP(AS190,'Bag weights'!A$1:B$20,2,FALSE)</f>
        <v>0</v>
      </c>
      <c r="AU190" s="146">
        <v>8.18</v>
      </c>
      <c r="AV190" s="146" t="s">
        <v>296</v>
      </c>
      <c r="AW190" s="143">
        <f>AU190-VLOOKUP(AV190,'Bag weights'!A$1:B$20,2,FALSE)</f>
        <v>5.6899999999999995</v>
      </c>
      <c r="AX190">
        <f t="shared" si="2"/>
        <v>44.17</v>
      </c>
      <c r="BD190" s="120">
        <v>44.2</v>
      </c>
      <c r="BH190" s="151">
        <v>0.35</v>
      </c>
    </row>
    <row r="191" spans="1:60">
      <c r="A191" s="87"/>
      <c r="B191" s="87"/>
      <c r="C191" s="87">
        <v>4</v>
      </c>
      <c r="D191" s="87" t="s">
        <v>87</v>
      </c>
      <c r="E191" s="2"/>
      <c r="F191" s="2"/>
      <c r="G191" s="2"/>
      <c r="J191">
        <f>H191-VLOOKUP(I191,'Bag weights'!A:B,2,FALSE)</f>
        <v>0</v>
      </c>
      <c r="M191">
        <f>K191-VLOOKUP(L191,'Bag weights'!A$1:B$20,2,FALSE)</f>
        <v>0</v>
      </c>
      <c r="O191" s="119"/>
      <c r="P191">
        <f>N191-VLOOKUP(O191,'Bag weights'!A$1:B$20,2,FALSE)</f>
        <v>0</v>
      </c>
      <c r="S191">
        <f>Q191-VLOOKUP(R191,'Bag weights'!A$1:B$20,2,FALSE)</f>
        <v>0</v>
      </c>
      <c r="T191" s="16">
        <v>45.47</v>
      </c>
      <c r="U191" s="16" t="s">
        <v>276</v>
      </c>
      <c r="V191">
        <f>T191-VLOOKUP(U191,'Bag weights'!A$1:B$20,2,FALSE)</f>
        <v>24.52</v>
      </c>
      <c r="Y191">
        <f>W191-VLOOKUP(X191,'Bag weights'!A$1:B$20,2,FALSE)</f>
        <v>0</v>
      </c>
      <c r="Z191" s="141">
        <v>0.12</v>
      </c>
      <c r="AA191" s="142" t="s">
        <v>302</v>
      </c>
      <c r="AB191" s="143">
        <f>Z191-VLOOKUP(AA191,'Bag weights'!A$1:B$20,2,FALSE)</f>
        <v>0.12</v>
      </c>
      <c r="AC191" s="16">
        <v>24.69</v>
      </c>
      <c r="AD191" s="16" t="s">
        <v>295</v>
      </c>
      <c r="AE191">
        <f>AC191-VLOOKUP(AD191,'Bag weights'!A$1:B$20,2,FALSE)</f>
        <v>16.86</v>
      </c>
      <c r="AF191" s="146">
        <v>4.2300000000000004</v>
      </c>
      <c r="AG191" s="146" t="s">
        <v>296</v>
      </c>
      <c r="AH191" s="143">
        <f>AF191-VLOOKUP(AG191,'Bag weights'!A$1:B$20,2,FALSE)</f>
        <v>1.7400000000000002</v>
      </c>
      <c r="AI191" s="16">
        <v>12.74</v>
      </c>
      <c r="AJ191" s="16" t="s">
        <v>295</v>
      </c>
      <c r="AK191">
        <f>AI191-VLOOKUP(AJ191,'Bag weights'!A$1:B$20,2,FALSE)</f>
        <v>4.91</v>
      </c>
      <c r="AL191" s="16">
        <v>30.54</v>
      </c>
      <c r="AM191" s="16" t="s">
        <v>295</v>
      </c>
      <c r="AN191">
        <f>AL191-VLOOKUP(AM191,'Bag weights'!A$1:B$20,2,FALSE)</f>
        <v>22.71</v>
      </c>
      <c r="AO191" s="146">
        <v>2.57</v>
      </c>
      <c r="AP191" s="146" t="s">
        <v>298</v>
      </c>
      <c r="AQ191" s="143">
        <f>AO191-VLOOKUP(AP191,'Bag weights'!A$1:B$20,2,FALSE)</f>
        <v>1.17</v>
      </c>
      <c r="AT191">
        <f>AR191-VLOOKUP(AS191,'Bag weights'!A$1:B$20,2,FALSE)</f>
        <v>0</v>
      </c>
      <c r="AU191" s="146">
        <v>6.55</v>
      </c>
      <c r="AV191" s="146" t="s">
        <v>296</v>
      </c>
      <c r="AW191" s="143">
        <f>AU191-VLOOKUP(AV191,'Bag weights'!A$1:B$20,2,FALSE)</f>
        <v>4.0599999999999996</v>
      </c>
      <c r="AX191">
        <f t="shared" si="2"/>
        <v>89.55</v>
      </c>
      <c r="BD191" s="120">
        <v>30.2</v>
      </c>
      <c r="BH191" s="151">
        <v>3.28</v>
      </c>
    </row>
    <row r="192" spans="1:60">
      <c r="A192" s="87"/>
      <c r="B192" s="87"/>
      <c r="C192" s="87">
        <v>4</v>
      </c>
      <c r="D192" s="87" t="s">
        <v>79</v>
      </c>
      <c r="E192" s="2"/>
      <c r="F192" s="2"/>
      <c r="G192" s="2"/>
      <c r="J192">
        <f>H192-VLOOKUP(I192,'Bag weights'!A:B,2,FALSE)</f>
        <v>0</v>
      </c>
      <c r="M192">
        <f>K192-VLOOKUP(L192,'Bag weights'!A$1:B$20,2,FALSE)</f>
        <v>0</v>
      </c>
      <c r="O192" s="119"/>
      <c r="P192">
        <f>N192-VLOOKUP(O192,'Bag weights'!A$1:B$20,2,FALSE)</f>
        <v>0</v>
      </c>
      <c r="S192">
        <f>Q192-VLOOKUP(R192,'Bag weights'!A$1:B$20,2,FALSE)</f>
        <v>0</v>
      </c>
      <c r="T192" s="16">
        <v>33.244999999999997</v>
      </c>
      <c r="U192" s="16" t="s">
        <v>294</v>
      </c>
      <c r="V192">
        <f>T192-VLOOKUP(U192,'Bag weights'!A$1:B$20,2,FALSE)</f>
        <v>18.864999999999995</v>
      </c>
      <c r="Y192">
        <f>W192-VLOOKUP(X192,'Bag weights'!A$1:B$20,2,FALSE)</f>
        <v>0</v>
      </c>
      <c r="Z192" s="16">
        <v>9.09</v>
      </c>
      <c r="AA192" s="16" t="s">
        <v>295</v>
      </c>
      <c r="AB192">
        <f>Z192-VLOOKUP(AA192,'Bag weights'!A$1:B$20,2,FALSE)</f>
        <v>1.2599999999999998</v>
      </c>
      <c r="AC192" s="16">
        <v>48.76</v>
      </c>
      <c r="AD192" s="16" t="s">
        <v>294</v>
      </c>
      <c r="AE192">
        <f>AC192-VLOOKUP(AD192,'Bag weights'!A$1:B$20,2,FALSE)</f>
        <v>34.379999999999995</v>
      </c>
      <c r="AF192" s="16"/>
      <c r="AH192">
        <f>AF192-VLOOKUP(AG192,'Bag weights'!A$1:B$20,2,FALSE)</f>
        <v>0</v>
      </c>
      <c r="AI192" s="146">
        <v>0.16</v>
      </c>
      <c r="AJ192" s="146" t="s">
        <v>302</v>
      </c>
      <c r="AK192" s="143">
        <f>AI192-VLOOKUP(AJ192,'Bag weights'!A$1:B$20,2,FALSE)</f>
        <v>0.16</v>
      </c>
      <c r="AL192" s="16">
        <v>32.33</v>
      </c>
      <c r="AM192" s="16" t="s">
        <v>294</v>
      </c>
      <c r="AN192">
        <f>AL192-VLOOKUP(AM192,'Bag weights'!A$1:B$20,2,FALSE)</f>
        <v>17.949999999999996</v>
      </c>
      <c r="AO192" s="146">
        <v>1.1100000000000001</v>
      </c>
      <c r="AP192" s="146" t="s">
        <v>302</v>
      </c>
      <c r="AQ192" s="143">
        <f>AO192-VLOOKUP(AP192,'Bag weights'!A$1:B$20,2,FALSE)</f>
        <v>1.1100000000000001</v>
      </c>
      <c r="AT192">
        <f>AR192-VLOOKUP(AS192,'Bag weights'!A$1:B$20,2,FALSE)</f>
        <v>0</v>
      </c>
      <c r="AU192" s="146">
        <v>2.09</v>
      </c>
      <c r="AV192" s="146" t="s">
        <v>302</v>
      </c>
      <c r="AW192" s="143">
        <f>AU192-VLOOKUP(AV192,'Bag weights'!A$1:B$20,2,FALSE)</f>
        <v>2.09</v>
      </c>
      <c r="AX192" t="e">
        <f>SUM(AT192+AQ192+AN192+AK192+AH192+#REF!+AB192+Y192+V192+S192+J192+P192+M192)</f>
        <v>#REF!</v>
      </c>
      <c r="BH192" s="152"/>
    </row>
    <row r="193" spans="1:60">
      <c r="A193" s="87"/>
      <c r="B193" s="87"/>
      <c r="C193" s="21">
        <v>4</v>
      </c>
      <c r="D193" s="86" t="s">
        <v>88</v>
      </c>
      <c r="E193" s="21"/>
      <c r="F193" s="21"/>
      <c r="G193" s="21"/>
      <c r="H193" s="16">
        <v>1.47</v>
      </c>
      <c r="J193">
        <f>H193-VLOOKUP(I193,'Bag weights'!A:B,2,FALSE)</f>
        <v>1.47</v>
      </c>
      <c r="M193">
        <f>K193-VLOOKUP(L193,'Bag weights'!A$1:B$20,2,FALSE)</f>
        <v>0</v>
      </c>
      <c r="N193" s="16">
        <v>1.54</v>
      </c>
      <c r="O193" s="119"/>
      <c r="P193">
        <f>N193-VLOOKUP(O193,'Bag weights'!A$1:B$20,2,FALSE)</f>
        <v>1.54</v>
      </c>
      <c r="S193">
        <f>Q193-VLOOKUP(R193,'Bag weights'!A$1:B$20,2,FALSE)</f>
        <v>0</v>
      </c>
      <c r="T193" s="16"/>
      <c r="V193">
        <f>T193-VLOOKUP(U193,'Bag weights'!A$1:B$20,2,FALSE)</f>
        <v>0</v>
      </c>
      <c r="Y193">
        <f>W193-VLOOKUP(X193,'Bag weights'!A$1:B$20,2,FALSE)</f>
        <v>0</v>
      </c>
      <c r="Z193" s="16">
        <v>1.68</v>
      </c>
      <c r="AA193" s="16" t="s">
        <v>298</v>
      </c>
      <c r="AB193">
        <f>Z193-VLOOKUP(AA193,'Bag weights'!A$1:B$20,2,FALSE)</f>
        <v>0.28000000000000003</v>
      </c>
      <c r="AC193" s="16">
        <v>2.67</v>
      </c>
      <c r="AD193" s="16" t="s">
        <v>296</v>
      </c>
      <c r="AE193">
        <f>AC193-VLOOKUP(AD193,'Bag weights'!A$1:B$20,2,FALSE)</f>
        <v>0.17999999999999972</v>
      </c>
      <c r="AH193">
        <f>AF193-VLOOKUP(AG193,'Bag weights'!A$1:B$20,2,FALSE)</f>
        <v>0</v>
      </c>
      <c r="AK193">
        <f>AI193-VLOOKUP(AJ193,'Bag weights'!A$1:B$20,2,FALSE)</f>
        <v>0</v>
      </c>
      <c r="AN193">
        <f>AL193-VLOOKUP(AM193,'Bag weights'!A$1:B$20,2,FALSE)</f>
        <v>0</v>
      </c>
      <c r="AQ193">
        <f>AO193-VLOOKUP(AP193,'Bag weights'!A$1:B$20,2,FALSE)</f>
        <v>0</v>
      </c>
      <c r="AT193">
        <f>AR193-VLOOKUP(AS193,'Bag weights'!A$1:B$20,2,FALSE)</f>
        <v>0</v>
      </c>
      <c r="AU193" s="16">
        <v>0.89</v>
      </c>
      <c r="AW193">
        <f>AU193-VLOOKUP(AV193,'Bag weights'!A$1:B$20,2,FALSE)</f>
        <v>0.89</v>
      </c>
      <c r="AX193">
        <f t="shared" ref="AX193:AX234" si="3">SUM(AT193+AQ193+AN193+AK193+AH193+AE193+AB193+Y193+V193+S193+J193+P193+M193)</f>
        <v>3.4699999999999998</v>
      </c>
      <c r="AY193" s="16"/>
      <c r="BH193" s="152"/>
    </row>
    <row r="194" spans="1:60">
      <c r="A194" s="87"/>
      <c r="B194" s="87"/>
      <c r="C194" s="16">
        <v>4</v>
      </c>
      <c r="D194" s="86" t="s">
        <v>315</v>
      </c>
      <c r="E194" s="21"/>
      <c r="F194" s="21"/>
      <c r="G194" s="21"/>
      <c r="J194">
        <f>H194-VLOOKUP(I194,'Bag weights'!A:B,2,FALSE)</f>
        <v>0</v>
      </c>
      <c r="M194">
        <f>K194-VLOOKUP(L194,'Bag weights'!A$1:B$20,2,FALSE)</f>
        <v>0</v>
      </c>
      <c r="O194" s="119"/>
      <c r="P194">
        <f>N194-VLOOKUP(O194,'Bag weights'!A$1:B$20,2,FALSE)</f>
        <v>0</v>
      </c>
      <c r="S194">
        <f>Q194-VLOOKUP(R194,'Bag weights'!A$1:B$20,2,FALSE)</f>
        <v>0</v>
      </c>
      <c r="T194" s="16">
        <v>22.97</v>
      </c>
      <c r="V194">
        <f>T194-VLOOKUP(U194,'Bag weights'!A$1:B$20,2,FALSE)</f>
        <v>22.97</v>
      </c>
      <c r="Y194">
        <f>W194-VLOOKUP(X194,'Bag weights'!A$1:B$20,2,FALSE)</f>
        <v>0</v>
      </c>
      <c r="AB194">
        <f>Z194-VLOOKUP(AA194,'Bag weights'!A$1:B$20,2,FALSE)</f>
        <v>0</v>
      </c>
      <c r="AC194" s="141">
        <v>0.27</v>
      </c>
      <c r="AD194" s="142" t="s">
        <v>302</v>
      </c>
      <c r="AE194" s="143">
        <f>AC194-VLOOKUP(AD194,'Bag weights'!A$1:B$20,2,FALSE)</f>
        <v>0.27</v>
      </c>
      <c r="AH194">
        <f>AF194-VLOOKUP(AG194,'Bag weights'!A$1:B$20,2,FALSE)</f>
        <v>0</v>
      </c>
      <c r="AI194" s="16">
        <v>18.84</v>
      </c>
      <c r="AJ194" s="16" t="s">
        <v>295</v>
      </c>
      <c r="AK194">
        <f>AI194-VLOOKUP(AJ194,'Bag weights'!A$1:B$20,2,FALSE)</f>
        <v>11.01</v>
      </c>
      <c r="AL194" s="16">
        <v>22.2</v>
      </c>
      <c r="AM194" s="16" t="s">
        <v>295</v>
      </c>
      <c r="AN194">
        <f>AL194-VLOOKUP(AM194,'Bag weights'!A$1:B$20,2,FALSE)</f>
        <v>14.37</v>
      </c>
      <c r="AO194" s="146">
        <v>5.99</v>
      </c>
      <c r="AP194" s="146" t="s">
        <v>296</v>
      </c>
      <c r="AQ194" s="143">
        <f>AO194-VLOOKUP(AP194,'Bag weights'!A$1:B$20,2,FALSE)</f>
        <v>3.5</v>
      </c>
      <c r="AT194">
        <f>AR194-VLOOKUP(AS194,'Bag weights'!A$1:B$20,2,FALSE)</f>
        <v>0</v>
      </c>
      <c r="AU194" s="146">
        <v>2.6</v>
      </c>
      <c r="AV194" s="146" t="s">
        <v>298</v>
      </c>
      <c r="AW194" s="143">
        <f>AU194-VLOOKUP(AV194,'Bag weights'!A$1:B$20,2,FALSE)</f>
        <v>1.2000000000000002</v>
      </c>
      <c r="AX194">
        <f t="shared" si="3"/>
        <v>52.11999999999999</v>
      </c>
      <c r="BD194" s="120">
        <v>11.5</v>
      </c>
      <c r="BH194" s="151">
        <v>0.81</v>
      </c>
    </row>
    <row r="195" spans="1:60">
      <c r="A195" s="87" t="s">
        <v>112</v>
      </c>
      <c r="B195" s="87" t="s">
        <v>113</v>
      </c>
      <c r="C195" s="87">
        <v>1</v>
      </c>
      <c r="D195" s="87" t="s">
        <v>83</v>
      </c>
      <c r="E195" s="2"/>
      <c r="F195" s="2"/>
      <c r="G195" s="2"/>
      <c r="J195">
        <f>H195-VLOOKUP(I195,'Bag weights'!A:B,2,FALSE)</f>
        <v>0</v>
      </c>
      <c r="K195" s="16"/>
      <c r="L195" s="16"/>
      <c r="M195">
        <f>K195-VLOOKUP(L195,'Bag weights'!A$1:B$20,2,FALSE)</f>
        <v>0</v>
      </c>
      <c r="N195" s="141">
        <v>0.79</v>
      </c>
      <c r="O195" s="142" t="s">
        <v>302</v>
      </c>
      <c r="P195" s="143">
        <f>N195-VLOOKUP(O195,'Bag weights'!A$1:B$20,2,FALSE)</f>
        <v>0.79</v>
      </c>
      <c r="S195">
        <f>Q195-VLOOKUP(R195,'Bag weights'!A$1:B$20,2,FALSE)</f>
        <v>0</v>
      </c>
      <c r="T195" s="16">
        <v>4.6399999999999997</v>
      </c>
      <c r="U195" s="16" t="s">
        <v>302</v>
      </c>
      <c r="V195">
        <f>T195-VLOOKUP(U195,'Bag weights'!A$1:B$20,2,FALSE)</f>
        <v>4.6399999999999997</v>
      </c>
      <c r="W195" s="141">
        <v>0.06</v>
      </c>
      <c r="X195" s="142" t="s">
        <v>302</v>
      </c>
      <c r="Y195" s="143">
        <f>W195-VLOOKUP(X195,'Bag weights'!A$1:B$20,2,FALSE)</f>
        <v>0.06</v>
      </c>
      <c r="Z195" s="16"/>
      <c r="AA195" s="16"/>
      <c r="AB195">
        <f>Z195-VLOOKUP(AA195,'Bag weights'!A$1:B$20,2,FALSE)</f>
        <v>0</v>
      </c>
      <c r="AC195" s="16">
        <v>34.46</v>
      </c>
      <c r="AD195" s="16" t="s">
        <v>276</v>
      </c>
      <c r="AE195">
        <f>AC195-VLOOKUP(AD195,'Bag weights'!A$1:B$20,2,FALSE)</f>
        <v>13.510000000000002</v>
      </c>
      <c r="AH195">
        <f>AF195-VLOOKUP(AG195,'Bag weights'!A$1:B$20,2,FALSE)</f>
        <v>0</v>
      </c>
      <c r="AI195" s="16">
        <v>32.07</v>
      </c>
      <c r="AJ195" s="16" t="s">
        <v>276</v>
      </c>
      <c r="AK195">
        <f>AI195-VLOOKUP(AJ195,'Bag weights'!A$1:B$20,2,FALSE)</f>
        <v>11.120000000000001</v>
      </c>
      <c r="AL195" s="16">
        <v>30.86</v>
      </c>
      <c r="AM195" s="16" t="s">
        <v>276</v>
      </c>
      <c r="AN195">
        <f>AL195-VLOOKUP(AM195,'Bag weights'!A$1:B$20,2,FALSE)</f>
        <v>9.91</v>
      </c>
      <c r="AO195" s="16">
        <v>5.19</v>
      </c>
      <c r="AP195" s="16" t="s">
        <v>295</v>
      </c>
      <c r="AQ195">
        <f>AO195-VLOOKUP(AP195,'Bag weights'!A$1:B$20,2,FALSE)</f>
        <v>-2.6399999999999997</v>
      </c>
      <c r="AT195">
        <f>AR195-VLOOKUP(AS195,'Bag weights'!A$1:B$20,2,FALSE)</f>
        <v>0</v>
      </c>
      <c r="AU195" s="146">
        <v>3.72</v>
      </c>
      <c r="AV195" s="146" t="s">
        <v>296</v>
      </c>
      <c r="AW195" s="143">
        <f>AU195-VLOOKUP(AV195,'Bag weights'!A$1:B$20,2,FALSE)</f>
        <v>1.23</v>
      </c>
      <c r="AX195">
        <f t="shared" si="3"/>
        <v>37.39</v>
      </c>
      <c r="BD195" s="120">
        <v>8.1999999999999993</v>
      </c>
      <c r="BH195" s="151">
        <v>0.89</v>
      </c>
    </row>
    <row r="196" spans="1:60">
      <c r="A196" s="87"/>
      <c r="B196" s="87"/>
      <c r="C196" s="87">
        <v>1</v>
      </c>
      <c r="D196" s="87" t="s">
        <v>108</v>
      </c>
      <c r="E196" s="2"/>
      <c r="F196" s="2"/>
      <c r="G196" s="2"/>
      <c r="J196">
        <f>H196-VLOOKUP(I196,'Bag weights'!A:B,2,FALSE)</f>
        <v>0</v>
      </c>
      <c r="K196" s="16"/>
      <c r="L196" s="16"/>
      <c r="M196">
        <f>K196-VLOOKUP(L196,'Bag weights'!A$1:B$20,2,FALSE)</f>
        <v>0</v>
      </c>
      <c r="N196" s="141">
        <v>0.84</v>
      </c>
      <c r="O196" s="142" t="s">
        <v>302</v>
      </c>
      <c r="P196" s="143">
        <f>N196-VLOOKUP(O196,'Bag weights'!A$1:B$20,2,FALSE)</f>
        <v>0.84</v>
      </c>
      <c r="S196">
        <f>Q196-VLOOKUP(R196,'Bag weights'!A$1:B$20,2,FALSE)</f>
        <v>0</v>
      </c>
      <c r="T196" s="141">
        <v>0.38</v>
      </c>
      <c r="U196" s="142" t="s">
        <v>302</v>
      </c>
      <c r="V196" s="143">
        <f>T196-VLOOKUP(U196,'Bag weights'!A$1:B$20,2,FALSE)</f>
        <v>0.38</v>
      </c>
      <c r="W196" s="16">
        <v>0</v>
      </c>
      <c r="X196" s="16"/>
      <c r="Y196">
        <f>W196-VLOOKUP(X196,'Bag weights'!A$1:B$20,2,FALSE)</f>
        <v>0</v>
      </c>
      <c r="Z196" s="16">
        <v>9.1300000000000008</v>
      </c>
      <c r="AA196" s="16" t="s">
        <v>295</v>
      </c>
      <c r="AB196">
        <f>Z196-VLOOKUP(AA196,'Bag weights'!A$1:B$20,2,FALSE)</f>
        <v>1.3000000000000007</v>
      </c>
      <c r="AC196" s="16">
        <v>40.630000000000003</v>
      </c>
      <c r="AD196" s="16" t="s">
        <v>276</v>
      </c>
      <c r="AE196">
        <f>AC196-VLOOKUP(AD196,'Bag weights'!A$1:B$20,2,FALSE)</f>
        <v>19.680000000000003</v>
      </c>
      <c r="AH196">
        <f>AF196-VLOOKUP(AG196,'Bag weights'!A$1:B$20,2,FALSE)</f>
        <v>0</v>
      </c>
      <c r="AI196" s="16">
        <v>44.74</v>
      </c>
      <c r="AJ196" s="16" t="s">
        <v>276</v>
      </c>
      <c r="AK196">
        <f>AI196-VLOOKUP(AJ196,'Bag weights'!A$1:B$20,2,FALSE)</f>
        <v>23.790000000000003</v>
      </c>
      <c r="AL196" s="16">
        <v>34.5</v>
      </c>
      <c r="AM196" s="16" t="s">
        <v>276</v>
      </c>
      <c r="AN196">
        <f>AL196-VLOOKUP(AM196,'Bag weights'!A$1:B$20,2,FALSE)</f>
        <v>13.55</v>
      </c>
      <c r="AO196" s="16">
        <v>13.76</v>
      </c>
      <c r="AP196" s="16" t="s">
        <v>295</v>
      </c>
      <c r="AQ196">
        <f>AO196-VLOOKUP(AP196,'Bag weights'!A$1:B$20,2,FALSE)</f>
        <v>5.93</v>
      </c>
      <c r="AT196">
        <f>AR196-VLOOKUP(AS196,'Bag weights'!A$1:B$20,2,FALSE)</f>
        <v>0</v>
      </c>
      <c r="AW196">
        <f>AU196-VLOOKUP(AV196,'Bag weights'!A$1:B$20,2,FALSE)</f>
        <v>0</v>
      </c>
      <c r="AX196">
        <f t="shared" si="3"/>
        <v>65.47</v>
      </c>
      <c r="BD196" s="120">
        <v>7.8</v>
      </c>
      <c r="BH196" s="151">
        <v>1.36</v>
      </c>
    </row>
    <row r="197" spans="1:60">
      <c r="A197" s="87"/>
      <c r="B197" s="87"/>
      <c r="C197" s="87">
        <v>1</v>
      </c>
      <c r="D197" s="86" t="s">
        <v>287</v>
      </c>
      <c r="E197" s="21"/>
      <c r="F197" s="21"/>
      <c r="G197" s="21"/>
      <c r="J197">
        <f>H197-VLOOKUP(I197,'Bag weights'!A:B,2,FALSE)</f>
        <v>0</v>
      </c>
      <c r="K197" s="16"/>
      <c r="L197" s="16"/>
      <c r="M197">
        <f>K197-VLOOKUP(L197,'Bag weights'!A$1:B$20,2,FALSE)</f>
        <v>0</v>
      </c>
      <c r="N197" s="141">
        <v>0.56999999999999995</v>
      </c>
      <c r="O197" s="142" t="s">
        <v>302</v>
      </c>
      <c r="P197" s="143">
        <f>N197-VLOOKUP(O197,'Bag weights'!A$1:B$20,2,FALSE)</f>
        <v>0.56999999999999995</v>
      </c>
      <c r="S197">
        <f>Q197-VLOOKUP(R197,'Bag weights'!A$1:B$20,2,FALSE)</f>
        <v>0</v>
      </c>
      <c r="T197" s="16">
        <v>9.56</v>
      </c>
      <c r="U197" s="16" t="s">
        <v>295</v>
      </c>
      <c r="V197">
        <f>T197-VLOOKUP(U197,'Bag weights'!A$1:B$20,2,FALSE)</f>
        <v>1.7300000000000004</v>
      </c>
      <c r="W197" s="141">
        <v>0.47</v>
      </c>
      <c r="X197" s="142" t="s">
        <v>302</v>
      </c>
      <c r="Y197" s="143">
        <f>W197-VLOOKUP(X197,'Bag weights'!A$1:B$20,2,FALSE)</f>
        <v>0.47</v>
      </c>
      <c r="AB197">
        <f>Z197-VLOOKUP(AA197,'Bag weights'!A$1:B$20,2,FALSE)</f>
        <v>0</v>
      </c>
      <c r="AC197" s="16">
        <v>20.100000000000001</v>
      </c>
      <c r="AD197" s="16" t="s">
        <v>302</v>
      </c>
      <c r="AE197">
        <f>AC197-VLOOKUP(AD197,'Bag weights'!A$1:B$20,2,FALSE)</f>
        <v>20.100000000000001</v>
      </c>
      <c r="AF197" s="141">
        <v>0.43</v>
      </c>
      <c r="AG197" s="142" t="s">
        <v>302</v>
      </c>
      <c r="AH197" s="143">
        <f>AF197-VLOOKUP(AG197,'Bag weights'!A$1:B$20,2,FALSE)</f>
        <v>0.43</v>
      </c>
      <c r="AI197" s="16">
        <v>31.19</v>
      </c>
      <c r="AJ197" s="16" t="s">
        <v>276</v>
      </c>
      <c r="AK197">
        <f>AI197-VLOOKUP(AJ197,'Bag weights'!A$1:B$20,2,FALSE)</f>
        <v>10.240000000000002</v>
      </c>
      <c r="AL197" s="16">
        <v>46.07</v>
      </c>
      <c r="AM197" s="16" t="s">
        <v>276</v>
      </c>
      <c r="AN197">
        <f>AL197-VLOOKUP(AM197,'Bag weights'!A$1:B$20,2,FALSE)</f>
        <v>25.12</v>
      </c>
      <c r="AO197" s="16">
        <v>12.08</v>
      </c>
      <c r="AP197" s="16" t="s">
        <v>295</v>
      </c>
      <c r="AQ197">
        <f>AO197-VLOOKUP(AP197,'Bag weights'!A$1:B$20,2,FALSE)</f>
        <v>4.25</v>
      </c>
      <c r="AT197">
        <f>AR197-VLOOKUP(AS197,'Bag weights'!A$1:B$20,2,FALSE)</f>
        <v>0</v>
      </c>
      <c r="AU197" s="141">
        <v>0.14000000000000001</v>
      </c>
      <c r="AV197" s="142" t="s">
        <v>302</v>
      </c>
      <c r="AW197" s="143">
        <f>AU197-VLOOKUP(AV197,'Bag weights'!A$1:B$20,2,FALSE)</f>
        <v>0.14000000000000001</v>
      </c>
      <c r="AX197">
        <f t="shared" si="3"/>
        <v>62.910000000000004</v>
      </c>
      <c r="BD197" s="120">
        <v>4.5</v>
      </c>
      <c r="BH197" s="151">
        <v>0.98</v>
      </c>
    </row>
    <row r="198" spans="1:60">
      <c r="A198" s="87"/>
      <c r="B198" s="87"/>
      <c r="C198" s="87">
        <v>1</v>
      </c>
      <c r="D198" s="86" t="s">
        <v>109</v>
      </c>
      <c r="E198" s="21"/>
      <c r="F198" s="21"/>
      <c r="G198" s="21"/>
      <c r="J198">
        <f>H198-VLOOKUP(I198,'Bag weights'!A:B,2,FALSE)</f>
        <v>0</v>
      </c>
      <c r="K198" s="16"/>
      <c r="L198" s="16"/>
      <c r="M198">
        <f>K198-VLOOKUP(L198,'Bag weights'!A$1:B$20,2,FALSE)</f>
        <v>0</v>
      </c>
      <c r="N198" s="141">
        <v>0.05</v>
      </c>
      <c r="O198" s="142" t="s">
        <v>302</v>
      </c>
      <c r="P198" s="143">
        <f>N198-VLOOKUP(O198,'Bag weights'!A$1:B$20,2,FALSE)</f>
        <v>0.05</v>
      </c>
      <c r="S198">
        <f>Q198-VLOOKUP(R198,'Bag weights'!A$1:B$20,2,FALSE)</f>
        <v>0</v>
      </c>
      <c r="T198" s="141">
        <v>0.15</v>
      </c>
      <c r="U198" s="142" t="s">
        <v>302</v>
      </c>
      <c r="V198" s="143">
        <f>T198-VLOOKUP(U198,'Bag weights'!A$1:B$20,2,FALSE)</f>
        <v>0.15</v>
      </c>
      <c r="Y198">
        <f>W198-VLOOKUP(X198,'Bag weights'!A$1:B$20,2,FALSE)</f>
        <v>0</v>
      </c>
      <c r="AB198">
        <f>Z198-VLOOKUP(AA198,'Bag weights'!A$1:B$20,2,FALSE)</f>
        <v>0</v>
      </c>
      <c r="AC198" s="16">
        <v>4.7300000000000004</v>
      </c>
      <c r="AD198" s="16" t="s">
        <v>302</v>
      </c>
      <c r="AE198">
        <f>AC198-VLOOKUP(AD198,'Bag weights'!A$1:B$20,2,FALSE)</f>
        <v>4.7300000000000004</v>
      </c>
      <c r="AF198" s="146">
        <v>1.96</v>
      </c>
      <c r="AG198" s="146" t="s">
        <v>298</v>
      </c>
      <c r="AH198" s="143">
        <f>AF198-VLOOKUP(AG198,'Bag weights'!A$1:B$20,2,FALSE)</f>
        <v>0.56000000000000005</v>
      </c>
      <c r="AI198" s="16">
        <v>23.51</v>
      </c>
      <c r="AJ198" s="16" t="s">
        <v>295</v>
      </c>
      <c r="AK198">
        <f>AI198-VLOOKUP(AJ198,'Bag weights'!A$1:B$20,2,FALSE)</f>
        <v>15.680000000000001</v>
      </c>
      <c r="AL198" s="16">
        <v>23.39</v>
      </c>
      <c r="AM198" s="16" t="s">
        <v>295</v>
      </c>
      <c r="AN198">
        <f>AL198-VLOOKUP(AM198,'Bag weights'!A$1:B$20,2,FALSE)</f>
        <v>15.56</v>
      </c>
      <c r="AO198" s="16">
        <v>17.809999999999999</v>
      </c>
      <c r="AP198" s="16" t="s">
        <v>295</v>
      </c>
      <c r="AQ198">
        <f>AO198-VLOOKUP(AP198,'Bag weights'!A$1:B$20,2,FALSE)</f>
        <v>9.9799999999999986</v>
      </c>
      <c r="AT198">
        <f>AR198-VLOOKUP(AS198,'Bag weights'!A$1:B$20,2,FALSE)</f>
        <v>0</v>
      </c>
      <c r="AW198">
        <f>AU198-VLOOKUP(AV198,'Bag weights'!A$1:B$20,2,FALSE)</f>
        <v>0</v>
      </c>
      <c r="AX198">
        <f t="shared" si="3"/>
        <v>46.71</v>
      </c>
      <c r="BD198" s="120">
        <v>8.1999999999999993</v>
      </c>
      <c r="BH198" s="151">
        <v>0.56999999999999995</v>
      </c>
    </row>
    <row r="199" spans="1:60">
      <c r="A199" s="87"/>
      <c r="B199" s="87"/>
      <c r="C199" s="87">
        <v>1</v>
      </c>
      <c r="D199" s="86" t="s">
        <v>87</v>
      </c>
      <c r="E199" s="21"/>
      <c r="F199" s="21"/>
      <c r="G199" s="21"/>
      <c r="J199">
        <f>H199-VLOOKUP(I199,'Bag weights'!A:B,2,FALSE)</f>
        <v>0</v>
      </c>
      <c r="K199" s="16"/>
      <c r="L199" s="16"/>
      <c r="M199">
        <f>K199-VLOOKUP(L199,'Bag weights'!A$1:B$20,2,FALSE)</f>
        <v>0</v>
      </c>
      <c r="N199" s="141">
        <v>0.23</v>
      </c>
      <c r="O199" s="142" t="s">
        <v>302</v>
      </c>
      <c r="P199" s="143">
        <f>N199-VLOOKUP(O199,'Bag weights'!A$1:B$20,2,FALSE)</f>
        <v>0.23</v>
      </c>
      <c r="S199">
        <f>Q199-VLOOKUP(R199,'Bag weights'!A$1:B$20,2,FALSE)</f>
        <v>0</v>
      </c>
      <c r="T199" s="146">
        <v>3.31</v>
      </c>
      <c r="U199" s="146" t="s">
        <v>296</v>
      </c>
      <c r="V199" s="143">
        <f>T199-VLOOKUP(U199,'Bag weights'!A$1:B$20,2,FALSE)</f>
        <v>0.81999999999999984</v>
      </c>
      <c r="X199" s="16"/>
      <c r="Y199">
        <f>W199-VLOOKUP(X199,'Bag weights'!A$1:B$20,2,FALSE)</f>
        <v>0</v>
      </c>
      <c r="AB199">
        <f>Z199-VLOOKUP(AA199,'Bag weights'!A$1:B$20,2,FALSE)</f>
        <v>0</v>
      </c>
      <c r="AC199" s="16">
        <v>35.340000000000003</v>
      </c>
      <c r="AD199" s="16" t="s">
        <v>276</v>
      </c>
      <c r="AE199">
        <f>AC199-VLOOKUP(AD199,'Bag weights'!A$1:B$20,2,FALSE)</f>
        <v>14.390000000000004</v>
      </c>
      <c r="AF199" s="16">
        <v>4.2</v>
      </c>
      <c r="AG199" s="16" t="s">
        <v>295</v>
      </c>
      <c r="AH199">
        <f>AF199-VLOOKUP(AG199,'Bag weights'!A$1:B$20,2,FALSE)</f>
        <v>-3.63</v>
      </c>
      <c r="AI199" s="16">
        <v>45.94</v>
      </c>
      <c r="AJ199" s="16" t="s">
        <v>276</v>
      </c>
      <c r="AK199">
        <f>AI199-VLOOKUP(AJ199,'Bag weights'!A$1:B$20,2,FALSE)</f>
        <v>24.99</v>
      </c>
      <c r="AL199" s="16">
        <v>34.799999999999997</v>
      </c>
      <c r="AM199" s="16" t="s">
        <v>276</v>
      </c>
      <c r="AN199">
        <f>AL199-VLOOKUP(AM199,'Bag weights'!A$1:B$20,2,FALSE)</f>
        <v>13.849999999999998</v>
      </c>
      <c r="AO199" s="16">
        <v>12.07</v>
      </c>
      <c r="AP199" s="16" t="s">
        <v>295</v>
      </c>
      <c r="AQ199">
        <f>AO199-VLOOKUP(AP199,'Bag weights'!A$1:B$20,2,FALSE)</f>
        <v>4.24</v>
      </c>
      <c r="AT199">
        <f>AR199-VLOOKUP(AS199,'Bag weights'!A$1:B$20,2,FALSE)</f>
        <v>0</v>
      </c>
      <c r="AU199" s="146">
        <v>2.96</v>
      </c>
      <c r="AV199" s="146" t="s">
        <v>296</v>
      </c>
      <c r="AW199" s="143">
        <f>AU199-VLOOKUP(AV199,'Bag weights'!A$1:B$20,2,FALSE)</f>
        <v>0.46999999999999975</v>
      </c>
      <c r="AX199">
        <f t="shared" si="3"/>
        <v>54.89</v>
      </c>
      <c r="BD199" s="120">
        <v>5.0999999999999996</v>
      </c>
      <c r="BH199" s="151">
        <v>1.45</v>
      </c>
    </row>
    <row r="200" spans="1:60">
      <c r="A200" s="87"/>
      <c r="B200" s="87"/>
      <c r="C200" s="87">
        <v>2</v>
      </c>
      <c r="D200" s="87" t="s">
        <v>83</v>
      </c>
      <c r="E200" s="2"/>
      <c r="F200" s="2"/>
      <c r="G200" s="2"/>
      <c r="H200" s="141">
        <v>0.85</v>
      </c>
      <c r="I200" s="142" t="s">
        <v>302</v>
      </c>
      <c r="J200" s="143">
        <f>H200-VLOOKUP(I200,'Bag weights'!A:B,2,FALSE)</f>
        <v>0.85</v>
      </c>
      <c r="K200" s="16"/>
      <c r="L200" s="16"/>
      <c r="M200">
        <f>K200-VLOOKUP(L200,'Bag weights'!A$1:B$20,2,FALSE)</f>
        <v>0</v>
      </c>
      <c r="N200" s="141">
        <v>0.53</v>
      </c>
      <c r="O200" s="142" t="s">
        <v>302</v>
      </c>
      <c r="P200" s="143">
        <f>N200-VLOOKUP(O200,'Bag weights'!A$1:B$20,2,FALSE)</f>
        <v>0.53</v>
      </c>
      <c r="Q200" s="16"/>
      <c r="R200" s="16"/>
      <c r="S200">
        <f>Q200-VLOOKUP(R200,'Bag weights'!A$1:B$20,2,FALSE)</f>
        <v>0</v>
      </c>
      <c r="T200" s="141">
        <v>0.12</v>
      </c>
      <c r="U200" s="142" t="s">
        <v>302</v>
      </c>
      <c r="V200" s="143">
        <f>T200-VLOOKUP(U200,'Bag weights'!A$1:B$20,2,FALSE)</f>
        <v>0.12</v>
      </c>
      <c r="W200" s="141">
        <v>0.28999999999999998</v>
      </c>
      <c r="X200" s="142" t="s">
        <v>302</v>
      </c>
      <c r="Y200" s="143">
        <f>W200-VLOOKUP(X200,'Bag weights'!A$1:B$20,2,FALSE)</f>
        <v>0.28999999999999998</v>
      </c>
      <c r="Z200" s="16"/>
      <c r="AA200" s="16"/>
      <c r="AB200">
        <f>Z200-VLOOKUP(AA200,'Bag weights'!A$1:B$20,2,FALSE)</f>
        <v>0</v>
      </c>
      <c r="AC200" s="16">
        <v>12.79</v>
      </c>
      <c r="AD200" s="16"/>
      <c r="AE200">
        <f>AC200-VLOOKUP(AD200,'Bag weights'!A$1:B$20,2,FALSE)</f>
        <v>12.79</v>
      </c>
      <c r="AF200" s="141">
        <v>0.12</v>
      </c>
      <c r="AG200" s="142" t="s">
        <v>302</v>
      </c>
      <c r="AH200" s="143">
        <f>AF200-VLOOKUP(AG200,'Bag weights'!A$1:B$20,2,FALSE)</f>
        <v>0.12</v>
      </c>
      <c r="AI200" s="16">
        <v>9.8800000000000008</v>
      </c>
      <c r="AJ200" s="16"/>
      <c r="AK200">
        <f>AI200-VLOOKUP(AJ200,'Bag weights'!A$1:B$20,2,FALSE)</f>
        <v>9.8800000000000008</v>
      </c>
      <c r="AL200" s="16">
        <v>58.49</v>
      </c>
      <c r="AM200" s="16"/>
      <c r="AN200">
        <f>AL200-VLOOKUP(AM200,'Bag weights'!A$1:B$20,2,FALSE)</f>
        <v>58.49</v>
      </c>
      <c r="AO200" s="141">
        <v>6.52</v>
      </c>
      <c r="AP200" s="142" t="s">
        <v>296</v>
      </c>
      <c r="AQ200" s="143">
        <f>AO200-VLOOKUP(AP200,'Bag weights'!A$1:B$20,2,FALSE)</f>
        <v>4.0299999999999994</v>
      </c>
      <c r="AR200" s="16"/>
      <c r="AS200" s="16"/>
      <c r="AT200">
        <f>AR200-VLOOKUP(AS200,'Bag weights'!A$1:B$20,2,FALSE)</f>
        <v>0</v>
      </c>
      <c r="AU200" s="141">
        <v>0.33</v>
      </c>
      <c r="AV200" s="142" t="s">
        <v>302</v>
      </c>
      <c r="AW200" s="143">
        <f>AU200-VLOOKUP(AV200,'Bag weights'!A$1:B$20,2,FALSE)</f>
        <v>0.33</v>
      </c>
      <c r="AX200">
        <f t="shared" si="3"/>
        <v>87.100000000000009</v>
      </c>
      <c r="AZ200" s="16" t="s">
        <v>357</v>
      </c>
      <c r="BA200" s="16" t="s">
        <v>358</v>
      </c>
      <c r="BD200" s="120">
        <v>4.5999999999999996</v>
      </c>
      <c r="BH200" s="151">
        <v>1.1299999999999999</v>
      </c>
    </row>
    <row r="201" spans="1:60">
      <c r="A201" s="87"/>
      <c r="B201" s="87"/>
      <c r="C201" s="87">
        <v>2</v>
      </c>
      <c r="D201" s="87" t="s">
        <v>108</v>
      </c>
      <c r="E201" s="2"/>
      <c r="F201" s="2"/>
      <c r="G201" s="2"/>
      <c r="J201">
        <f>H201-VLOOKUP(I201,'Bag weights'!A:B,2,FALSE)</f>
        <v>0</v>
      </c>
      <c r="K201" s="16"/>
      <c r="L201" s="16"/>
      <c r="M201">
        <f>K201-VLOOKUP(L201,'Bag weights'!A$1:B$20,2,FALSE)</f>
        <v>0</v>
      </c>
      <c r="N201" s="141">
        <v>0.56000000000000005</v>
      </c>
      <c r="O201" s="142" t="s">
        <v>302</v>
      </c>
      <c r="P201" s="143">
        <f>N201-VLOOKUP(O201,'Bag weights'!A$1:B$20,2,FALSE)</f>
        <v>0.56000000000000005</v>
      </c>
      <c r="S201">
        <f>Q201-VLOOKUP(R201,'Bag weights'!A$1:B$20,2,FALSE)</f>
        <v>0</v>
      </c>
      <c r="T201" s="141">
        <v>0.38</v>
      </c>
      <c r="U201" s="142" t="s">
        <v>302</v>
      </c>
      <c r="V201" s="143">
        <f>T201-VLOOKUP(U201,'Bag weights'!A$1:B$20,2,FALSE)</f>
        <v>0.38</v>
      </c>
      <c r="W201" s="141">
        <v>0.22</v>
      </c>
      <c r="X201" s="142" t="s">
        <v>302</v>
      </c>
      <c r="Y201" s="143">
        <f>W201-VLOOKUP(X201,'Bag weights'!A$1:B$20,2,FALSE)</f>
        <v>0.22</v>
      </c>
      <c r="AB201">
        <f>Z201-VLOOKUP(AA201,'Bag weights'!A$1:B$20,2,FALSE)</f>
        <v>0</v>
      </c>
      <c r="AC201" s="16">
        <v>11.57</v>
      </c>
      <c r="AD201" s="16" t="s">
        <v>295</v>
      </c>
      <c r="AE201">
        <f>AC201-VLOOKUP(AD201,'Bag weights'!A$1:B$20,2,FALSE)</f>
        <v>3.74</v>
      </c>
      <c r="AF201" s="146">
        <v>3.56</v>
      </c>
      <c r="AG201" s="146" t="s">
        <v>296</v>
      </c>
      <c r="AH201" s="143">
        <f>AF201-VLOOKUP(AG201,'Bag weights'!A$1:B$20,2,FALSE)</f>
        <v>1.0699999999999998</v>
      </c>
      <c r="AI201" s="16">
        <v>45.35</v>
      </c>
      <c r="AJ201" s="16" t="s">
        <v>276</v>
      </c>
      <c r="AK201">
        <f>AI201-VLOOKUP(AJ201,'Bag weights'!A$1:B$20,2,FALSE)</f>
        <v>24.400000000000002</v>
      </c>
      <c r="AL201" s="16">
        <v>46.12</v>
      </c>
      <c r="AM201" s="16" t="s">
        <v>276</v>
      </c>
      <c r="AN201">
        <f>AL201-VLOOKUP(AM201,'Bag weights'!A$1:B$20,2,FALSE)</f>
        <v>25.169999999999998</v>
      </c>
      <c r="AO201" s="146">
        <v>6.22</v>
      </c>
      <c r="AP201" s="146" t="s">
        <v>296</v>
      </c>
      <c r="AQ201" s="143">
        <f>AO201-VLOOKUP(AP201,'Bag weights'!A$1:B$20,2,FALSE)</f>
        <v>3.7299999999999995</v>
      </c>
      <c r="AT201">
        <f>AR201-VLOOKUP(AS201,'Bag weights'!A$1:B$20,2,FALSE)</f>
        <v>0</v>
      </c>
      <c r="AU201" s="146">
        <v>1.85</v>
      </c>
      <c r="AV201" s="146" t="s">
        <v>298</v>
      </c>
      <c r="AW201" s="143">
        <f>AU201-VLOOKUP(AV201,'Bag weights'!A$1:B$20,2,FALSE)</f>
        <v>0.45000000000000018</v>
      </c>
      <c r="AX201">
        <f t="shared" si="3"/>
        <v>59.27</v>
      </c>
      <c r="BD201" s="120">
        <v>4.5</v>
      </c>
      <c r="BH201" s="151">
        <v>0.85</v>
      </c>
    </row>
    <row r="202" spans="1:60">
      <c r="A202" s="87"/>
      <c r="B202" s="87"/>
      <c r="C202" s="87">
        <v>2</v>
      </c>
      <c r="D202" s="86" t="s">
        <v>287</v>
      </c>
      <c r="E202" s="21"/>
      <c r="F202" s="21"/>
      <c r="G202" s="21"/>
      <c r="J202">
        <f>H202-VLOOKUP(I202,'Bag weights'!A:B,2,FALSE)</f>
        <v>0</v>
      </c>
      <c r="K202" s="16"/>
      <c r="L202" s="16"/>
      <c r="M202">
        <f>K202-VLOOKUP(L202,'Bag weights'!A$1:B$20,2,FALSE)</f>
        <v>0</v>
      </c>
      <c r="N202" s="141">
        <v>0.52</v>
      </c>
      <c r="O202" s="142" t="s">
        <v>302</v>
      </c>
      <c r="P202" s="143">
        <f>N202-VLOOKUP(O202,'Bag weights'!A$1:B$20,2,FALSE)</f>
        <v>0.52</v>
      </c>
      <c r="S202">
        <f>Q202-VLOOKUP(R202,'Bag weights'!A$1:B$20,2,FALSE)</f>
        <v>0</v>
      </c>
      <c r="T202" s="141">
        <v>0.31</v>
      </c>
      <c r="U202" s="142" t="s">
        <v>302</v>
      </c>
      <c r="V202" s="143">
        <f>T202-VLOOKUP(U202,'Bag weights'!A$1:B$20,2,FALSE)</f>
        <v>0.31</v>
      </c>
      <c r="Y202">
        <f>W202-VLOOKUP(X202,'Bag weights'!A$1:B$20,2,FALSE)</f>
        <v>0</v>
      </c>
      <c r="AB202">
        <f>Z202-VLOOKUP(AA202,'Bag weights'!A$1:B$20,2,FALSE)</f>
        <v>0</v>
      </c>
      <c r="AC202" s="16">
        <v>15.64</v>
      </c>
      <c r="AD202" s="16" t="s">
        <v>295</v>
      </c>
      <c r="AE202">
        <f>AC202-VLOOKUP(AD202,'Bag weights'!A$1:B$20,2,FALSE)</f>
        <v>7.8100000000000005</v>
      </c>
      <c r="AF202" s="16">
        <v>9.19</v>
      </c>
      <c r="AG202" s="16" t="s">
        <v>295</v>
      </c>
      <c r="AH202">
        <f>AF202-VLOOKUP(AG202,'Bag weights'!A$1:B$20,2,FALSE)</f>
        <v>1.3599999999999994</v>
      </c>
      <c r="AI202" s="16">
        <v>47.99</v>
      </c>
      <c r="AJ202" s="16" t="s">
        <v>276</v>
      </c>
      <c r="AK202">
        <f>AI202-VLOOKUP(AJ202,'Bag weights'!A$1:B$20,2,FALSE)</f>
        <v>27.040000000000003</v>
      </c>
      <c r="AL202" s="16">
        <v>35.299999999999997</v>
      </c>
      <c r="AM202" s="16" t="s">
        <v>276</v>
      </c>
      <c r="AN202">
        <f>AL202-VLOOKUP(AM202,'Bag weights'!A$1:B$20,2,FALSE)</f>
        <v>14.349999999999998</v>
      </c>
      <c r="AO202" s="16">
        <v>14.08</v>
      </c>
      <c r="AP202" s="16" t="s">
        <v>295</v>
      </c>
      <c r="AQ202">
        <f>AO202-VLOOKUP(AP202,'Bag weights'!A$1:B$20,2,FALSE)</f>
        <v>6.25</v>
      </c>
      <c r="AT202">
        <f>AR202-VLOOKUP(AS202,'Bag weights'!A$1:B$20,2,FALSE)</f>
        <v>0</v>
      </c>
      <c r="AU202" s="146">
        <v>3.52</v>
      </c>
      <c r="AV202" s="146" t="s">
        <v>296</v>
      </c>
      <c r="AW202" s="143">
        <f>AU202-VLOOKUP(AV202,'Bag weights'!A$1:B$20,2,FALSE)</f>
        <v>1.0299999999999998</v>
      </c>
      <c r="AX202">
        <f t="shared" si="3"/>
        <v>57.640000000000008</v>
      </c>
      <c r="BD202" s="120">
        <v>5.3</v>
      </c>
      <c r="BH202" s="151">
        <v>0.34</v>
      </c>
    </row>
    <row r="203" spans="1:60">
      <c r="A203" s="87"/>
      <c r="B203" s="87"/>
      <c r="C203" s="86">
        <v>2</v>
      </c>
      <c r="D203" s="86" t="s">
        <v>109</v>
      </c>
      <c r="E203" s="21"/>
      <c r="F203" s="21"/>
      <c r="G203" s="21"/>
      <c r="J203">
        <f>H203-VLOOKUP(I203,'Bag weights'!A:B,2,FALSE)</f>
        <v>0</v>
      </c>
      <c r="K203" s="16"/>
      <c r="L203" s="16"/>
      <c r="M203">
        <f>K203-VLOOKUP(L203,'Bag weights'!A$1:B$20,2,FALSE)</f>
        <v>0</v>
      </c>
      <c r="N203" s="141">
        <v>0.57999999999999996</v>
      </c>
      <c r="O203" s="142" t="s">
        <v>302</v>
      </c>
      <c r="P203" s="143">
        <f>N203-VLOOKUP(O203,'Bag weights'!A$1:B$20,2,FALSE)</f>
        <v>0.57999999999999996</v>
      </c>
      <c r="S203">
        <f>Q203-VLOOKUP(R203,'Bag weights'!A$1:B$20,2,FALSE)</f>
        <v>0</v>
      </c>
      <c r="T203" s="141">
        <v>0.2</v>
      </c>
      <c r="U203" s="142" t="s">
        <v>302</v>
      </c>
      <c r="V203" s="143">
        <f>T203-VLOOKUP(U203,'Bag weights'!A$1:B$20,2,FALSE)</f>
        <v>0.2</v>
      </c>
      <c r="W203" s="141">
        <v>0.05</v>
      </c>
      <c r="X203" s="142" t="s">
        <v>302</v>
      </c>
      <c r="Y203" s="143">
        <f>W203-VLOOKUP(X203,'Bag weights'!A$1:B$20,2,FALSE)</f>
        <v>0.05</v>
      </c>
      <c r="AB203">
        <f>Z203-VLOOKUP(AA203,'Bag weights'!A$1:B$20,2,FALSE)</f>
        <v>0</v>
      </c>
      <c r="AC203" s="16">
        <v>36.520000000000003</v>
      </c>
      <c r="AD203" s="16" t="s">
        <v>276</v>
      </c>
      <c r="AE203">
        <f>AC203-VLOOKUP(AD203,'Bag weights'!A$1:B$20,2,FALSE)</f>
        <v>15.570000000000004</v>
      </c>
      <c r="AF203" s="16">
        <v>10.6</v>
      </c>
      <c r="AG203" s="16" t="s">
        <v>295</v>
      </c>
      <c r="AH203">
        <f>AF203-VLOOKUP(AG203,'Bag weights'!A$1:B$20,2,FALSE)</f>
        <v>2.7699999999999996</v>
      </c>
      <c r="AI203" s="16">
        <v>45.44</v>
      </c>
      <c r="AJ203" s="16" t="s">
        <v>276</v>
      </c>
      <c r="AK203">
        <f>AI203-VLOOKUP(AJ203,'Bag weights'!A$1:B$20,2,FALSE)</f>
        <v>24.49</v>
      </c>
      <c r="AL203" s="16">
        <v>39.450000000000003</v>
      </c>
      <c r="AM203" s="16" t="s">
        <v>276</v>
      </c>
      <c r="AN203">
        <f>AL203-VLOOKUP(AM203,'Bag weights'!A$1:B$20,2,FALSE)</f>
        <v>18.500000000000004</v>
      </c>
      <c r="AO203" s="141">
        <v>5.04</v>
      </c>
      <c r="AP203" s="142" t="s">
        <v>296</v>
      </c>
      <c r="AQ203" s="143">
        <f>AO203-VLOOKUP(AP203,'Bag weights'!A$1:B$20,2,FALSE)</f>
        <v>2.5499999999999998</v>
      </c>
      <c r="AT203">
        <f>AR203-VLOOKUP(AS203,'Bag weights'!A$1:B$20,2,FALSE)</f>
        <v>0</v>
      </c>
      <c r="AU203" s="141">
        <v>0.31</v>
      </c>
      <c r="AV203" s="142" t="s">
        <v>302</v>
      </c>
      <c r="AW203" s="143">
        <f>AU203-VLOOKUP(AV203,'Bag weights'!A$1:B$20,2,FALSE)</f>
        <v>0.31</v>
      </c>
      <c r="AX203">
        <f t="shared" si="3"/>
        <v>64.710000000000008</v>
      </c>
      <c r="BD203" s="120">
        <v>4.9000000000000004</v>
      </c>
      <c r="BH203" s="151">
        <v>1.37</v>
      </c>
    </row>
    <row r="204" spans="1:60">
      <c r="A204" s="87"/>
      <c r="B204" s="87"/>
      <c r="C204" s="87">
        <v>2</v>
      </c>
      <c r="D204" s="86" t="s">
        <v>87</v>
      </c>
      <c r="E204" s="21"/>
      <c r="F204" s="21"/>
      <c r="G204" s="21"/>
      <c r="H204" s="16"/>
      <c r="I204" s="16"/>
      <c r="J204">
        <f>H204-VLOOKUP(I204,'Bag weights'!A:B,2,FALSE)</f>
        <v>0</v>
      </c>
      <c r="K204" s="16"/>
      <c r="L204" s="16"/>
      <c r="M204">
        <f>K204-VLOOKUP(L204,'Bag weights'!A$1:B$20,2,FALSE)</f>
        <v>0</v>
      </c>
      <c r="N204" s="16"/>
      <c r="O204" s="16"/>
      <c r="P204">
        <f>N204-VLOOKUP(O204,'Bag weights'!A$1:B$20,2,FALSE)</f>
        <v>0</v>
      </c>
      <c r="Q204" s="16"/>
      <c r="R204" s="16"/>
      <c r="S204">
        <f>Q204-VLOOKUP(R204,'Bag weights'!A$1:B$20,2,FALSE)</f>
        <v>0</v>
      </c>
      <c r="T204" s="16">
        <v>8.4700000000000006</v>
      </c>
      <c r="U204" s="16"/>
      <c r="V204">
        <f>T204-VLOOKUP(U204,'Bag weights'!A$1:B$20,2,FALSE)</f>
        <v>8.4700000000000006</v>
      </c>
      <c r="W204" s="141">
        <v>0.13</v>
      </c>
      <c r="X204" s="142" t="s">
        <v>302</v>
      </c>
      <c r="Y204" s="143">
        <f>W204-VLOOKUP(X204,'Bag weights'!A$1:B$20,2,FALSE)</f>
        <v>0.13</v>
      </c>
      <c r="Z204" s="16"/>
      <c r="AA204" s="16"/>
      <c r="AB204">
        <f>Z204-VLOOKUP(AA204,'Bag weights'!A$1:B$20,2,FALSE)</f>
        <v>0</v>
      </c>
      <c r="AC204" s="16">
        <v>17.41</v>
      </c>
      <c r="AD204" s="16"/>
      <c r="AE204">
        <f>AC204-VLOOKUP(AD204,'Bag weights'!A$1:B$20,2,FALSE)</f>
        <v>17.41</v>
      </c>
      <c r="AF204" s="16">
        <v>11.16</v>
      </c>
      <c r="AG204" s="16"/>
      <c r="AH204">
        <f>AF204-VLOOKUP(AG204,'Bag weights'!A$1:B$20,2,FALSE)</f>
        <v>11.16</v>
      </c>
      <c r="AI204" s="16">
        <v>23.69</v>
      </c>
      <c r="AJ204" s="16"/>
      <c r="AK204">
        <f>AI204-VLOOKUP(AJ204,'Bag weights'!A$1:B$20,2,FALSE)</f>
        <v>23.69</v>
      </c>
      <c r="AL204" s="16">
        <v>52.3</v>
      </c>
      <c r="AM204" s="16"/>
      <c r="AN204">
        <f>AL204-VLOOKUP(AM204,'Bag weights'!A$1:B$20,2,FALSE)</f>
        <v>52.3</v>
      </c>
      <c r="AO204" s="16">
        <v>12.76</v>
      </c>
      <c r="AP204" s="16"/>
      <c r="AQ204">
        <f>AO204-VLOOKUP(AP204,'Bag weights'!A$1:B$20,2,FALSE)</f>
        <v>12.76</v>
      </c>
      <c r="AR204" s="16"/>
      <c r="AS204" s="16"/>
      <c r="AT204">
        <f>AR204-VLOOKUP(AS204,'Bag weights'!A$1:B$20,2,FALSE)</f>
        <v>0</v>
      </c>
      <c r="AU204" s="146">
        <v>1.62</v>
      </c>
      <c r="AV204" s="146" t="s">
        <v>298</v>
      </c>
      <c r="AW204" s="143">
        <f>AU204-VLOOKUP(AV204,'Bag weights'!A$1:B$20,2,FALSE)</f>
        <v>0.2200000000000002</v>
      </c>
      <c r="AX204">
        <f t="shared" si="3"/>
        <v>125.91999999999999</v>
      </c>
      <c r="AZ204" s="16" t="s">
        <v>357</v>
      </c>
      <c r="BA204" s="16" t="s">
        <v>358</v>
      </c>
      <c r="BD204" s="120">
        <v>4.3</v>
      </c>
      <c r="BH204" s="151">
        <v>0.57999999999999996</v>
      </c>
    </row>
    <row r="205" spans="1:60">
      <c r="A205" s="87"/>
      <c r="B205" s="87"/>
      <c r="C205" s="87">
        <v>3</v>
      </c>
      <c r="D205" s="87" t="s">
        <v>83</v>
      </c>
      <c r="E205" s="2"/>
      <c r="F205" s="2"/>
      <c r="G205" s="2"/>
      <c r="J205">
        <f>H205-VLOOKUP(I205,'Bag weights'!A:B,2,FALSE)</f>
        <v>0</v>
      </c>
      <c r="K205" s="16"/>
      <c r="L205" s="16"/>
      <c r="M205">
        <f>K205-VLOOKUP(L205,'Bag weights'!A$1:B$20,2,FALSE)</f>
        <v>0</v>
      </c>
      <c r="N205" s="16">
        <v>14.05</v>
      </c>
      <c r="O205" s="119" t="s">
        <v>295</v>
      </c>
      <c r="P205">
        <f>N205-VLOOKUP(O205,'Bag weights'!A$1:B$20,2,FALSE)</f>
        <v>6.2200000000000006</v>
      </c>
      <c r="S205">
        <f>Q205-VLOOKUP(R205,'Bag weights'!A$1:B$20,2,FALSE)</f>
        <v>0</v>
      </c>
      <c r="T205" s="16">
        <v>10.54</v>
      </c>
      <c r="U205" s="16" t="s">
        <v>295</v>
      </c>
      <c r="V205">
        <f>T205-VLOOKUP(U205,'Bag weights'!A$1:B$20,2,FALSE)</f>
        <v>2.7099999999999991</v>
      </c>
      <c r="W205" s="141">
        <v>0.16</v>
      </c>
      <c r="X205" s="142" t="s">
        <v>302</v>
      </c>
      <c r="Y205" s="143">
        <f>W205-VLOOKUP(X205,'Bag weights'!A$1:B$20,2,FALSE)</f>
        <v>0.16</v>
      </c>
      <c r="AB205">
        <f>Z205-VLOOKUP(AA205,'Bag weights'!A$1:B$20,2,FALSE)</f>
        <v>0</v>
      </c>
      <c r="AC205" s="16">
        <v>21.06</v>
      </c>
      <c r="AD205" s="16" t="s">
        <v>295</v>
      </c>
      <c r="AE205">
        <f>AC205-VLOOKUP(AD205,'Bag weights'!A$1:B$20,2,FALSE)</f>
        <v>13.229999999999999</v>
      </c>
      <c r="AH205">
        <f>AF205-VLOOKUP(AG205,'Bag weights'!A$1:B$20,2,FALSE)</f>
        <v>0</v>
      </c>
      <c r="AI205" s="16">
        <v>11.03</v>
      </c>
      <c r="AJ205" s="16" t="s">
        <v>295</v>
      </c>
      <c r="AK205">
        <f>AI205-VLOOKUP(AJ205,'Bag weights'!A$1:B$20,2,FALSE)</f>
        <v>3.1999999999999993</v>
      </c>
      <c r="AL205" s="16">
        <v>31.73</v>
      </c>
      <c r="AM205" s="16" t="s">
        <v>295</v>
      </c>
      <c r="AN205">
        <f>AL205-VLOOKUP(AM205,'Bag weights'!A$1:B$20,2,FALSE)</f>
        <v>23.9</v>
      </c>
      <c r="AQ205">
        <f>AO205-VLOOKUP(AP205,'Bag weights'!A$1:B$20,2,FALSE)</f>
        <v>0</v>
      </c>
      <c r="AT205">
        <f>AR205-VLOOKUP(AS205,'Bag weights'!A$1:B$20,2,FALSE)</f>
        <v>0</v>
      </c>
      <c r="AU205" s="146">
        <v>2.74</v>
      </c>
      <c r="AV205" s="146" t="s">
        <v>298</v>
      </c>
      <c r="AW205" s="143">
        <f>AU205-VLOOKUP(AV205,'Bag weights'!A$1:B$20,2,FALSE)</f>
        <v>1.3400000000000003</v>
      </c>
      <c r="AX205">
        <f t="shared" si="3"/>
        <v>49.419999999999995</v>
      </c>
      <c r="BD205" s="120">
        <v>4</v>
      </c>
      <c r="BH205" s="151">
        <v>2.34</v>
      </c>
    </row>
    <row r="206" spans="1:60">
      <c r="A206" s="87"/>
      <c r="B206" s="87"/>
      <c r="C206" s="87">
        <v>3</v>
      </c>
      <c r="D206" s="87" t="s">
        <v>108</v>
      </c>
      <c r="E206" s="2"/>
      <c r="F206" s="2"/>
      <c r="G206" s="2"/>
      <c r="J206">
        <f>H206-VLOOKUP(I206,'Bag weights'!A:B,2,FALSE)</f>
        <v>0</v>
      </c>
      <c r="K206" s="16"/>
      <c r="L206" s="16"/>
      <c r="M206">
        <f>K206-VLOOKUP(L206,'Bag weights'!A$1:B$20,2,FALSE)</f>
        <v>0</v>
      </c>
      <c r="N206" s="16">
        <v>21.97</v>
      </c>
      <c r="O206" s="119" t="s">
        <v>295</v>
      </c>
      <c r="P206">
        <f>N206-VLOOKUP(O206,'Bag weights'!A$1:B$20,2,FALSE)</f>
        <v>14.139999999999999</v>
      </c>
      <c r="S206">
        <f>Q206-VLOOKUP(R206,'Bag weights'!A$1:B$20,2,FALSE)</f>
        <v>0</v>
      </c>
      <c r="T206" s="141">
        <v>0.45</v>
      </c>
      <c r="U206" s="142" t="s">
        <v>302</v>
      </c>
      <c r="V206" s="143">
        <f>T206-VLOOKUP(U206,'Bag weights'!A$1:B$20,2,FALSE)</f>
        <v>0.45</v>
      </c>
      <c r="W206" s="141">
        <v>0.11</v>
      </c>
      <c r="X206" s="142" t="s">
        <v>302</v>
      </c>
      <c r="Y206" s="143">
        <f>W206-VLOOKUP(X206,'Bag weights'!A$1:B$20,2,FALSE)</f>
        <v>0.11</v>
      </c>
      <c r="AB206">
        <f>Z206-VLOOKUP(AA206,'Bag weights'!A$1:B$20,2,FALSE)</f>
        <v>0</v>
      </c>
      <c r="AC206" s="16">
        <v>34.630000000000003</v>
      </c>
      <c r="AD206" s="16" t="s">
        <v>295</v>
      </c>
      <c r="AE206">
        <f>AC206-VLOOKUP(AD206,'Bag weights'!A$1:B$20,2,FALSE)</f>
        <v>26.800000000000004</v>
      </c>
      <c r="AH206">
        <f>AF206-VLOOKUP(AG206,'Bag weights'!A$1:B$20,2,FALSE)</f>
        <v>0</v>
      </c>
      <c r="AI206" s="16">
        <v>15.05</v>
      </c>
      <c r="AJ206" s="16" t="s">
        <v>295</v>
      </c>
      <c r="AK206">
        <f>AI206-VLOOKUP(AJ206,'Bag weights'!A$1:B$20,2,FALSE)</f>
        <v>7.2200000000000006</v>
      </c>
      <c r="AL206" s="16">
        <v>23.59</v>
      </c>
      <c r="AM206" s="16" t="s">
        <v>295</v>
      </c>
      <c r="AN206">
        <f>AL206-VLOOKUP(AM206,'Bag weights'!A$1:B$20,2,FALSE)</f>
        <v>15.76</v>
      </c>
      <c r="AO206" s="141">
        <v>6.64</v>
      </c>
      <c r="AP206" s="142" t="s">
        <v>296</v>
      </c>
      <c r="AQ206" s="143">
        <f>AO206-VLOOKUP(AP206,'Bag weights'!A$1:B$20,2,FALSE)</f>
        <v>4.1499999999999995</v>
      </c>
      <c r="AT206">
        <f>AR206-VLOOKUP(AS206,'Bag weights'!A$1:B$20,2,FALSE)</f>
        <v>0</v>
      </c>
      <c r="AU206" s="16">
        <v>3.42</v>
      </c>
      <c r="AV206" s="16" t="s">
        <v>298</v>
      </c>
      <c r="AW206">
        <f>AU206-VLOOKUP(AV206,'Bag weights'!A$1:B$20,2,FALSE)</f>
        <v>2.02</v>
      </c>
      <c r="AX206">
        <f t="shared" si="3"/>
        <v>68.63000000000001</v>
      </c>
      <c r="BD206" s="120">
        <v>5.9</v>
      </c>
      <c r="BH206" s="151">
        <v>2.16</v>
      </c>
    </row>
    <row r="207" spans="1:60">
      <c r="A207" s="87"/>
      <c r="B207" s="87"/>
      <c r="C207" s="87">
        <v>3</v>
      </c>
      <c r="D207" s="86" t="s">
        <v>287</v>
      </c>
      <c r="E207" s="21"/>
      <c r="F207" s="21"/>
      <c r="G207" s="21"/>
      <c r="J207">
        <f>H207-VLOOKUP(I207,'Bag weights'!A:B,2,FALSE)</f>
        <v>0</v>
      </c>
      <c r="K207" s="16"/>
      <c r="L207" s="16"/>
      <c r="M207">
        <f>K207-VLOOKUP(L207,'Bag weights'!A$1:B$20,2,FALSE)</f>
        <v>0</v>
      </c>
      <c r="N207" s="16">
        <v>19.36</v>
      </c>
      <c r="O207" s="119" t="s">
        <v>295</v>
      </c>
      <c r="P207">
        <f>N207-VLOOKUP(O207,'Bag weights'!A$1:B$20,2,FALSE)</f>
        <v>11.53</v>
      </c>
      <c r="S207">
        <f>Q207-VLOOKUP(R207,'Bag weights'!A$1:B$20,2,FALSE)</f>
        <v>0</v>
      </c>
      <c r="T207" s="141">
        <v>0.37</v>
      </c>
      <c r="U207" s="142" t="s">
        <v>302</v>
      </c>
      <c r="V207" s="143">
        <f>T207-VLOOKUP(U207,'Bag weights'!A$1:B$20,2,FALSE)</f>
        <v>0.37</v>
      </c>
      <c r="Y207">
        <f>W207-VLOOKUP(X207,'Bag weights'!A$1:B$20,2,FALSE)</f>
        <v>0</v>
      </c>
      <c r="AB207">
        <f>Z207-VLOOKUP(AA207,'Bag weights'!A$1:B$20,2,FALSE)</f>
        <v>0</v>
      </c>
      <c r="AC207" s="16">
        <v>27.98</v>
      </c>
      <c r="AD207" s="16" t="s">
        <v>295</v>
      </c>
      <c r="AE207">
        <f>AC207-VLOOKUP(AD207,'Bag weights'!A$1:B$20,2,FALSE)</f>
        <v>20.149999999999999</v>
      </c>
      <c r="AH207">
        <f>AF207-VLOOKUP(AG207,'Bag weights'!A$1:B$20,2,FALSE)</f>
        <v>0</v>
      </c>
      <c r="AI207" s="16">
        <v>20.98</v>
      </c>
      <c r="AJ207" s="16" t="s">
        <v>295</v>
      </c>
      <c r="AK207">
        <f>AI207-VLOOKUP(AJ207,'Bag weights'!A$1:B$20,2,FALSE)</f>
        <v>13.15</v>
      </c>
      <c r="AL207" s="16">
        <v>19.68</v>
      </c>
      <c r="AM207" s="16" t="s">
        <v>295</v>
      </c>
      <c r="AN207">
        <f>AL207-VLOOKUP(AM207,'Bag weights'!A$1:B$20,2,FALSE)</f>
        <v>11.85</v>
      </c>
      <c r="AO207" s="146">
        <v>5.25</v>
      </c>
      <c r="AP207" s="146" t="s">
        <v>296</v>
      </c>
      <c r="AQ207" s="143">
        <f>AO207-VLOOKUP(AP207,'Bag weights'!A$1:B$20,2,FALSE)</f>
        <v>2.76</v>
      </c>
      <c r="AT207">
        <f>AR207-VLOOKUP(AS207,'Bag weights'!A$1:B$20,2,FALSE)</f>
        <v>0</v>
      </c>
      <c r="AU207" s="16">
        <v>3.16</v>
      </c>
      <c r="AV207" s="16" t="s">
        <v>295</v>
      </c>
      <c r="AW207">
        <f>AU207-VLOOKUP(AV207,'Bag weights'!A$1:B$20,2,FALSE)</f>
        <v>-4.67</v>
      </c>
      <c r="AX207">
        <f t="shared" si="3"/>
        <v>59.809999999999995</v>
      </c>
      <c r="BD207" s="120">
        <v>3.1</v>
      </c>
      <c r="BH207" s="151">
        <v>1.17</v>
      </c>
    </row>
    <row r="208" spans="1:60">
      <c r="A208" s="87"/>
      <c r="B208" s="87"/>
      <c r="C208" s="87">
        <v>3</v>
      </c>
      <c r="D208" s="86" t="s">
        <v>109</v>
      </c>
      <c r="E208" s="21"/>
      <c r="F208" s="21"/>
      <c r="G208" s="21"/>
      <c r="J208">
        <f>H208-VLOOKUP(I208,'Bag weights'!A:B,2,FALSE)</f>
        <v>0</v>
      </c>
      <c r="K208" s="16"/>
      <c r="L208" s="16"/>
      <c r="M208">
        <f>K208-VLOOKUP(L208,'Bag weights'!A$1:B$20,2,FALSE)</f>
        <v>0</v>
      </c>
      <c r="N208" s="16">
        <v>11.16</v>
      </c>
      <c r="O208" s="119" t="s">
        <v>295</v>
      </c>
      <c r="P208">
        <f>N208-VLOOKUP(O208,'Bag weights'!A$1:B$20,2,FALSE)</f>
        <v>3.33</v>
      </c>
      <c r="S208">
        <f>Q208-VLOOKUP(R208,'Bag weights'!A$1:B$20,2,FALSE)</f>
        <v>0</v>
      </c>
      <c r="T208" s="141">
        <v>0.03</v>
      </c>
      <c r="U208" s="142" t="s">
        <v>302</v>
      </c>
      <c r="V208" s="143">
        <f>T208-VLOOKUP(U208,'Bag weights'!A$1:B$20,2,FALSE)</f>
        <v>0.03</v>
      </c>
      <c r="Y208">
        <f>W208-VLOOKUP(X208,'Bag weights'!A$1:B$20,2,FALSE)</f>
        <v>0</v>
      </c>
      <c r="AB208">
        <f>Z208-VLOOKUP(AA208,'Bag weights'!A$1:B$20,2,FALSE)</f>
        <v>0</v>
      </c>
      <c r="AC208" s="16">
        <v>37.69</v>
      </c>
      <c r="AD208" s="16" t="s">
        <v>276</v>
      </c>
      <c r="AE208">
        <f>AC208-VLOOKUP(AD208,'Bag weights'!A$1:B$20,2,FALSE)</f>
        <v>16.739999999999998</v>
      </c>
      <c r="AF208" s="141">
        <v>0.24</v>
      </c>
      <c r="AG208" s="142" t="s">
        <v>302</v>
      </c>
      <c r="AH208" s="143">
        <f>AF208-VLOOKUP(AG208,'Bag weights'!A$1:B$20,2,FALSE)</f>
        <v>0.24</v>
      </c>
      <c r="AI208" s="16">
        <v>40.36</v>
      </c>
      <c r="AJ208" s="16" t="s">
        <v>276</v>
      </c>
      <c r="AK208">
        <f>AI208-VLOOKUP(AJ208,'Bag weights'!A$1:B$20,2,FALSE)</f>
        <v>19.41</v>
      </c>
      <c r="AL208" s="16">
        <v>34.32</v>
      </c>
      <c r="AM208" s="16" t="s">
        <v>276</v>
      </c>
      <c r="AN208">
        <f>AL208-VLOOKUP(AM208,'Bag weights'!A$1:B$20,2,FALSE)</f>
        <v>13.370000000000001</v>
      </c>
      <c r="AO208" s="16">
        <v>11.32</v>
      </c>
      <c r="AP208" s="16" t="s">
        <v>295</v>
      </c>
      <c r="AQ208">
        <f>AO208-VLOOKUP(AP208,'Bag weights'!A$1:B$20,2,FALSE)</f>
        <v>3.49</v>
      </c>
      <c r="AT208">
        <f>AR208-VLOOKUP(AS208,'Bag weights'!A$1:B$20,2,FALSE)</f>
        <v>0</v>
      </c>
      <c r="AW208">
        <f>AU208-VLOOKUP(AV208,'Bag weights'!A$1:B$20,2,FALSE)</f>
        <v>0</v>
      </c>
      <c r="AX208">
        <f t="shared" si="3"/>
        <v>56.61</v>
      </c>
      <c r="BD208" s="120">
        <v>4.3</v>
      </c>
      <c r="BH208" s="151">
        <v>0.66</v>
      </c>
    </row>
    <row r="209" spans="1:60">
      <c r="A209" s="87"/>
      <c r="B209" s="87"/>
      <c r="C209" s="87">
        <v>3</v>
      </c>
      <c r="D209" s="86" t="s">
        <v>87</v>
      </c>
      <c r="E209" s="21"/>
      <c r="F209" s="21"/>
      <c r="G209" s="21"/>
      <c r="J209">
        <f>H209-VLOOKUP(I209,'Bag weights'!A:B,2,FALSE)</f>
        <v>0</v>
      </c>
      <c r="K209" s="16"/>
      <c r="L209" s="16"/>
      <c r="M209">
        <f>K209-VLOOKUP(L209,'Bag weights'!A$1:B$20,2,FALSE)</f>
        <v>0</v>
      </c>
      <c r="N209" s="16">
        <v>9.3800000000000008</v>
      </c>
      <c r="O209" s="119" t="s">
        <v>295</v>
      </c>
      <c r="P209">
        <f>N209-VLOOKUP(O209,'Bag weights'!A$1:B$20,2,FALSE)</f>
        <v>1.5500000000000007</v>
      </c>
      <c r="S209">
        <f>Q209-VLOOKUP(R209,'Bag weights'!A$1:B$20,2,FALSE)</f>
        <v>0</v>
      </c>
      <c r="T209" s="141">
        <v>0.39</v>
      </c>
      <c r="U209" s="142" t="s">
        <v>302</v>
      </c>
      <c r="V209" s="143">
        <f>T209-VLOOKUP(U209,'Bag weights'!A$1:B$20,2,FALSE)</f>
        <v>0.39</v>
      </c>
      <c r="Y209">
        <f>W209-VLOOKUP(X209,'Bag weights'!A$1:B$20,2,FALSE)</f>
        <v>0</v>
      </c>
      <c r="AB209">
        <f>Z209-VLOOKUP(AA209,'Bag weights'!A$1:B$20,2,FALSE)</f>
        <v>0</v>
      </c>
      <c r="AC209" s="16">
        <v>47.09</v>
      </c>
      <c r="AD209" s="16" t="s">
        <v>276</v>
      </c>
      <c r="AE209">
        <f>AC209-VLOOKUP(AD209,'Bag weights'!A$1:B$20,2,FALSE)</f>
        <v>26.140000000000004</v>
      </c>
      <c r="AH209">
        <f>AF209-VLOOKUP(AG209,'Bag weights'!A$1:B$20,2,FALSE)</f>
        <v>0</v>
      </c>
      <c r="AI209" s="16">
        <v>24.54</v>
      </c>
      <c r="AJ209" s="16" t="s">
        <v>295</v>
      </c>
      <c r="AK209">
        <f>AI209-VLOOKUP(AJ209,'Bag weights'!A$1:B$20,2,FALSE)</f>
        <v>16.71</v>
      </c>
      <c r="AL209" s="16">
        <v>20.420000000000002</v>
      </c>
      <c r="AM209" s="16" t="s">
        <v>295</v>
      </c>
      <c r="AN209">
        <f>AL209-VLOOKUP(AM209,'Bag weights'!A$1:B$20,2,FALSE)</f>
        <v>12.590000000000002</v>
      </c>
      <c r="AO209" s="141">
        <v>6.24</v>
      </c>
      <c r="AP209" s="142" t="s">
        <v>296</v>
      </c>
      <c r="AQ209" s="143">
        <f>AO209-VLOOKUP(AP209,'Bag weights'!A$1:B$20,2,FALSE)</f>
        <v>3.75</v>
      </c>
      <c r="AT209">
        <f>AR209-VLOOKUP(AS209,'Bag weights'!A$1:B$20,2,FALSE)</f>
        <v>0</v>
      </c>
      <c r="AU209" s="146">
        <v>2.2000000000000002</v>
      </c>
      <c r="AV209" s="146" t="s">
        <v>298</v>
      </c>
      <c r="AW209" s="143">
        <f>AU209-VLOOKUP(AV209,'Bag weights'!A$1:B$20,2,FALSE)</f>
        <v>0.80000000000000027</v>
      </c>
      <c r="AX209">
        <f t="shared" si="3"/>
        <v>61.13000000000001</v>
      </c>
      <c r="BD209" s="120">
        <v>3.1</v>
      </c>
      <c r="BH209" s="151">
        <v>0.68</v>
      </c>
    </row>
    <row r="210" spans="1:60">
      <c r="A210" s="87"/>
      <c r="B210" s="87"/>
      <c r="C210" s="87">
        <v>4</v>
      </c>
      <c r="D210" s="87" t="s">
        <v>83</v>
      </c>
      <c r="E210" s="2"/>
      <c r="F210" s="2"/>
      <c r="G210" s="2"/>
      <c r="H210" s="16">
        <v>12.97</v>
      </c>
      <c r="I210" s="16" t="s">
        <v>295</v>
      </c>
      <c r="J210">
        <f>H210-VLOOKUP(I210,'Bag weights'!A:B,2,FALSE)</f>
        <v>5.1400000000000006</v>
      </c>
      <c r="K210" s="16"/>
      <c r="L210" s="16"/>
      <c r="M210">
        <f>K210-VLOOKUP(L210,'Bag weights'!A$1:B$20,2,FALSE)</f>
        <v>0</v>
      </c>
      <c r="N210" s="141">
        <v>5.33</v>
      </c>
      <c r="O210" s="142" t="s">
        <v>296</v>
      </c>
      <c r="P210" s="143">
        <f>N210-VLOOKUP(O210,'Bag weights'!A$1:B$20,2,FALSE)</f>
        <v>2.84</v>
      </c>
      <c r="S210">
        <f>Q210-VLOOKUP(R210,'Bag weights'!A$1:B$20,2,FALSE)</f>
        <v>0</v>
      </c>
      <c r="T210" s="141">
        <v>0.2</v>
      </c>
      <c r="U210" s="142" t="s">
        <v>302</v>
      </c>
      <c r="V210" s="143">
        <f>T210-VLOOKUP(U210,'Bag weights'!A$1:B$20,2,FALSE)</f>
        <v>0.2</v>
      </c>
      <c r="W210" s="141">
        <v>3.63</v>
      </c>
      <c r="X210" s="142" t="s">
        <v>296</v>
      </c>
      <c r="Y210" s="143">
        <f>W210-VLOOKUP(X210,'Bag weights'!A$1:B$20,2,FALSE)</f>
        <v>1.1399999999999997</v>
      </c>
      <c r="AB210">
        <f>Z210-VLOOKUP(AA210,'Bag weights'!A$1:B$20,2,FALSE)</f>
        <v>0</v>
      </c>
      <c r="AC210" s="16">
        <v>17.3</v>
      </c>
      <c r="AD210" s="16" t="s">
        <v>295</v>
      </c>
      <c r="AE210">
        <f>AC210-VLOOKUP(AD210,'Bag weights'!A$1:B$20,2,FALSE)</f>
        <v>9.4700000000000006</v>
      </c>
      <c r="AF210" s="141">
        <v>0.25</v>
      </c>
      <c r="AG210" s="142" t="s">
        <v>302</v>
      </c>
      <c r="AH210" s="143">
        <f>AF210-VLOOKUP(AG210,'Bag weights'!A$1:B$20,2,FALSE)</f>
        <v>0.25</v>
      </c>
      <c r="AI210" s="16">
        <v>15.51</v>
      </c>
      <c r="AJ210" s="16" t="s">
        <v>295</v>
      </c>
      <c r="AK210">
        <f>AI210-VLOOKUP(AJ210,'Bag weights'!A$1:B$20,2,FALSE)</f>
        <v>7.68</v>
      </c>
      <c r="AL210" s="16">
        <v>23.37</v>
      </c>
      <c r="AM210" s="16" t="s">
        <v>295</v>
      </c>
      <c r="AN210">
        <f>AL210-VLOOKUP(AM210,'Bag weights'!A$1:B$20,2,FALSE)</f>
        <v>15.540000000000001</v>
      </c>
      <c r="AO210" s="16">
        <v>18.63</v>
      </c>
      <c r="AP210" s="16" t="s">
        <v>295</v>
      </c>
      <c r="AQ210">
        <f>AO210-VLOOKUP(AP210,'Bag weights'!A$1:B$20,2,FALSE)</f>
        <v>10.799999999999999</v>
      </c>
      <c r="AT210">
        <f>AR210-VLOOKUP(AS210,'Bag weights'!A$1:B$20,2,FALSE)</f>
        <v>0</v>
      </c>
      <c r="AW210">
        <f>AU210-VLOOKUP(AV210,'Bag weights'!A$1:B$20,2,FALSE)</f>
        <v>0</v>
      </c>
      <c r="AX210">
        <f t="shared" si="3"/>
        <v>53.06</v>
      </c>
      <c r="BD210" s="120">
        <v>6.8</v>
      </c>
      <c r="BH210" s="151">
        <v>1.76</v>
      </c>
    </row>
    <row r="211" spans="1:60">
      <c r="A211" s="87"/>
      <c r="B211" s="87"/>
      <c r="C211" s="87">
        <v>4</v>
      </c>
      <c r="D211" s="87" t="s">
        <v>108</v>
      </c>
      <c r="E211" s="2"/>
      <c r="F211" s="2"/>
      <c r="G211" s="2"/>
      <c r="H211" s="141">
        <v>0.36</v>
      </c>
      <c r="I211" s="142" t="s">
        <v>302</v>
      </c>
      <c r="J211" s="143">
        <f>H211-VLOOKUP(I211,'Bag weights'!A:B,2,FALSE)</f>
        <v>0.36</v>
      </c>
      <c r="K211" s="16"/>
      <c r="L211" s="16"/>
      <c r="M211">
        <f>K211-VLOOKUP(L211,'Bag weights'!A$1:B$20,2,FALSE)</f>
        <v>0</v>
      </c>
      <c r="N211" s="141">
        <v>3.92</v>
      </c>
      <c r="O211" s="142" t="s">
        <v>296</v>
      </c>
      <c r="P211" s="143">
        <f>N211-VLOOKUP(O211,'Bag weights'!A$1:B$20,2,FALSE)</f>
        <v>1.4299999999999997</v>
      </c>
      <c r="S211">
        <f>Q211-VLOOKUP(R211,'Bag weights'!A$1:B$20,2,FALSE)</f>
        <v>0</v>
      </c>
      <c r="T211" s="141">
        <v>0.82</v>
      </c>
      <c r="U211" s="142" t="s">
        <v>302</v>
      </c>
      <c r="V211" s="143">
        <f>T211-VLOOKUP(U211,'Bag weights'!A$1:B$20,2,FALSE)</f>
        <v>0.82</v>
      </c>
      <c r="W211" s="141">
        <v>2.37</v>
      </c>
      <c r="X211" s="142" t="s">
        <v>298</v>
      </c>
      <c r="Y211" s="143">
        <f>W211-VLOOKUP(X211,'Bag weights'!A$1:B$20,2,FALSE)</f>
        <v>0.9700000000000002</v>
      </c>
      <c r="AB211">
        <f>Z211-VLOOKUP(AA211,'Bag weights'!A$1:B$20,2,FALSE)</f>
        <v>0</v>
      </c>
      <c r="AC211" s="16">
        <v>14.64</v>
      </c>
      <c r="AD211" s="16" t="s">
        <v>295</v>
      </c>
      <c r="AE211">
        <f>AC211-VLOOKUP(AD211,'Bag weights'!A$1:B$20,2,FALSE)</f>
        <v>6.8100000000000005</v>
      </c>
      <c r="AF211" s="141">
        <v>0.15</v>
      </c>
      <c r="AG211" s="142" t="s">
        <v>302</v>
      </c>
      <c r="AH211" s="143">
        <f>AF211-VLOOKUP(AG211,'Bag weights'!A$1:B$20,2,FALSE)</f>
        <v>0.15</v>
      </c>
      <c r="AI211" s="16">
        <v>22.45</v>
      </c>
      <c r="AJ211" s="16" t="s">
        <v>295</v>
      </c>
      <c r="AK211">
        <f>AI211-VLOOKUP(AJ211,'Bag weights'!A$1:B$20,2,FALSE)</f>
        <v>14.62</v>
      </c>
      <c r="AL211" s="16">
        <v>22.42</v>
      </c>
      <c r="AM211" s="16" t="s">
        <v>295</v>
      </c>
      <c r="AN211">
        <f>AL211-VLOOKUP(AM211,'Bag weights'!A$1:B$20,2,FALSE)</f>
        <v>14.590000000000002</v>
      </c>
      <c r="AO211" s="16">
        <v>16.39</v>
      </c>
      <c r="AP211" s="16" t="s">
        <v>295</v>
      </c>
      <c r="AQ211">
        <f>AO211-VLOOKUP(AP211,'Bag weights'!A$1:B$20,2,FALSE)</f>
        <v>8.56</v>
      </c>
      <c r="AT211">
        <f>AR211-VLOOKUP(AS211,'Bag weights'!A$1:B$20,2,FALSE)</f>
        <v>0</v>
      </c>
      <c r="AU211" s="146">
        <v>2.09</v>
      </c>
      <c r="AV211" s="146" t="s">
        <v>298</v>
      </c>
      <c r="AW211" s="143">
        <f>AU211-VLOOKUP(AV211,'Bag weights'!A$1:B$20,2,FALSE)</f>
        <v>0.69</v>
      </c>
      <c r="AX211">
        <f t="shared" si="3"/>
        <v>48.31</v>
      </c>
      <c r="BD211" s="120">
        <v>4.7</v>
      </c>
      <c r="BH211" s="151">
        <v>1.67</v>
      </c>
    </row>
    <row r="212" spans="1:60">
      <c r="A212" s="87"/>
      <c r="B212" s="87"/>
      <c r="C212" s="87">
        <v>4</v>
      </c>
      <c r="D212" s="86" t="s">
        <v>287</v>
      </c>
      <c r="E212" s="21"/>
      <c r="F212" s="21"/>
      <c r="G212" s="21"/>
      <c r="J212">
        <f>H212-VLOOKUP(I212,'Bag weights'!A:B,2,FALSE)</f>
        <v>0</v>
      </c>
      <c r="K212" s="16"/>
      <c r="L212" s="16"/>
      <c r="M212">
        <f>K212-VLOOKUP(L212,'Bag weights'!A$1:B$20,2,FALSE)</f>
        <v>0</v>
      </c>
      <c r="N212" s="16">
        <v>12.6</v>
      </c>
      <c r="O212" s="119" t="s">
        <v>295</v>
      </c>
      <c r="P212">
        <f>N212-VLOOKUP(O212,'Bag weights'!A$1:B$20,2,FALSE)</f>
        <v>4.7699999999999996</v>
      </c>
      <c r="S212">
        <f>Q212-VLOOKUP(R212,'Bag weights'!A$1:B$20,2,FALSE)</f>
        <v>0</v>
      </c>
      <c r="T212" s="16">
        <v>9.3699999999999992</v>
      </c>
      <c r="U212" s="16" t="s">
        <v>295</v>
      </c>
      <c r="V212">
        <f>T212-VLOOKUP(U212,'Bag weights'!A$1:B$20,2,FALSE)</f>
        <v>1.5399999999999991</v>
      </c>
      <c r="Y212">
        <f>W212-VLOOKUP(X212,'Bag weights'!A$1:B$20,2,FALSE)</f>
        <v>0</v>
      </c>
      <c r="AB212">
        <f>Z212-VLOOKUP(AA212,'Bag weights'!A$1:B$20,2,FALSE)</f>
        <v>0</v>
      </c>
      <c r="AC212" s="16">
        <v>11.53</v>
      </c>
      <c r="AD212" s="16" t="s">
        <v>295</v>
      </c>
      <c r="AE212">
        <f>AC212-VLOOKUP(AD212,'Bag weights'!A$1:B$20,2,FALSE)</f>
        <v>3.6999999999999993</v>
      </c>
      <c r="AF212" s="16">
        <v>10.08</v>
      </c>
      <c r="AG212" s="16" t="s">
        <v>295</v>
      </c>
      <c r="AH212">
        <f>AF212-VLOOKUP(AG212,'Bag weights'!A$1:B$20,2,FALSE)</f>
        <v>2.25</v>
      </c>
      <c r="AI212" s="16">
        <v>12.87</v>
      </c>
      <c r="AJ212" s="16" t="s">
        <v>295</v>
      </c>
      <c r="AK212">
        <f>AI212-VLOOKUP(AJ212,'Bag weights'!A$1:B$20,2,FALSE)</f>
        <v>5.0399999999999991</v>
      </c>
      <c r="AL212" s="16">
        <v>44.24</v>
      </c>
      <c r="AM212" s="16" t="s">
        <v>295</v>
      </c>
      <c r="AN212">
        <f>AL212-VLOOKUP(AM212,'Bag weights'!A$1:B$20,2,FALSE)</f>
        <v>36.410000000000004</v>
      </c>
      <c r="AQ212">
        <f>AO212-VLOOKUP(AP212,'Bag weights'!A$1:B$20,2,FALSE)</f>
        <v>0</v>
      </c>
      <c r="AT212">
        <f>AR212-VLOOKUP(AS212,'Bag weights'!A$1:B$20,2,FALSE)</f>
        <v>0</v>
      </c>
      <c r="AU212" s="141">
        <v>4.3099999999999996</v>
      </c>
      <c r="AV212" s="142" t="s">
        <v>298</v>
      </c>
      <c r="AW212" s="143">
        <f>AU212-VLOOKUP(AV212,'Bag weights'!A$1:B$20,2,FALSE)</f>
        <v>2.9099999999999997</v>
      </c>
      <c r="AX212">
        <f t="shared" si="3"/>
        <v>53.710000000000008</v>
      </c>
      <c r="BD212" s="120">
        <v>5.6</v>
      </c>
      <c r="BH212" s="152"/>
    </row>
    <row r="213" spans="1:60">
      <c r="A213" s="121"/>
      <c r="B213" s="121"/>
      <c r="C213" s="121">
        <v>4</v>
      </c>
      <c r="D213" s="139" t="s">
        <v>109</v>
      </c>
      <c r="E213" s="147"/>
      <c r="F213" s="147"/>
      <c r="G213" s="147"/>
      <c r="J213">
        <f>H213-VLOOKUP(I213,'Bag weights'!A:B,2,FALSE)</f>
        <v>0</v>
      </c>
      <c r="K213" s="16"/>
      <c r="L213" s="16"/>
      <c r="M213">
        <f>K213-VLOOKUP(L213,'Bag weights'!A$1:B$20,2,FALSE)</f>
        <v>0</v>
      </c>
      <c r="N213" s="16">
        <v>15.9</v>
      </c>
      <c r="O213" s="119" t="s">
        <v>295</v>
      </c>
      <c r="P213">
        <f>N213-VLOOKUP(O213,'Bag weights'!A$1:B$20,2,FALSE)</f>
        <v>8.07</v>
      </c>
      <c r="R213" s="16"/>
      <c r="S213">
        <f>Q213-VLOOKUP(R213,'Bag weights'!A$1:B$20,2,FALSE)</f>
        <v>0</v>
      </c>
      <c r="T213" s="16">
        <v>9.74</v>
      </c>
      <c r="U213" s="16" t="s">
        <v>295</v>
      </c>
      <c r="V213">
        <f>T213-VLOOKUP(U213,'Bag weights'!A$1:B$20,2,FALSE)</f>
        <v>1.9100000000000001</v>
      </c>
      <c r="Y213">
        <f>W213-VLOOKUP(X213,'Bag weights'!A$1:B$20,2,FALSE)</f>
        <v>0</v>
      </c>
      <c r="AB213">
        <f>Z213-VLOOKUP(AA213,'Bag weights'!A$1:B$20,2,FALSE)</f>
        <v>0</v>
      </c>
      <c r="AC213" s="16">
        <v>23.41</v>
      </c>
      <c r="AD213" s="16" t="s">
        <v>295</v>
      </c>
      <c r="AE213">
        <f>AC213-VLOOKUP(AD213,'Bag weights'!A$1:B$20,2,FALSE)</f>
        <v>15.58</v>
      </c>
      <c r="AF213" s="146">
        <v>2.93</v>
      </c>
      <c r="AG213" s="146" t="s">
        <v>296</v>
      </c>
      <c r="AH213" s="143">
        <f>AF213-VLOOKUP(AG213,'Bag weights'!A$1:B$20,2,FALSE)</f>
        <v>0.43999999999999995</v>
      </c>
      <c r="AI213" s="16">
        <v>37.130000000000003</v>
      </c>
      <c r="AJ213" s="16" t="s">
        <v>295</v>
      </c>
      <c r="AK213">
        <f>AI213-VLOOKUP(AJ213,'Bag weights'!A$1:B$20,2,FALSE)</f>
        <v>29.300000000000004</v>
      </c>
      <c r="AL213" s="16">
        <v>18.77</v>
      </c>
      <c r="AM213" s="16" t="s">
        <v>295</v>
      </c>
      <c r="AN213">
        <f>AL213-VLOOKUP(AM213,'Bag weights'!A$1:B$20,2,FALSE)</f>
        <v>10.94</v>
      </c>
      <c r="AO213" s="146">
        <v>6.74</v>
      </c>
      <c r="AP213" s="146" t="s">
        <v>296</v>
      </c>
      <c r="AQ213" s="143">
        <f>AO213-VLOOKUP(AP213,'Bag weights'!A$1:B$20,2,FALSE)</f>
        <v>4.25</v>
      </c>
      <c r="AT213">
        <f>AR213-VLOOKUP(AS213,'Bag weights'!A$1:B$20,2,FALSE)</f>
        <v>0</v>
      </c>
      <c r="AU213" s="141">
        <v>3.89</v>
      </c>
      <c r="AV213" s="142" t="s">
        <v>296</v>
      </c>
      <c r="AW213" s="143">
        <f>AU213-VLOOKUP(AV213,'Bag weights'!A$1:B$20,2,FALSE)</f>
        <v>1.4</v>
      </c>
      <c r="AX213">
        <f t="shared" si="3"/>
        <v>70.490000000000009</v>
      </c>
      <c r="BD213" s="120">
        <v>6.6</v>
      </c>
      <c r="BH213" s="152"/>
    </row>
    <row r="214" spans="1:60">
      <c r="A214" s="87"/>
      <c r="B214" s="87"/>
      <c r="C214" s="87">
        <v>4</v>
      </c>
      <c r="D214" s="86" t="s">
        <v>87</v>
      </c>
      <c r="E214" s="21"/>
      <c r="F214" s="21"/>
      <c r="G214" s="21"/>
      <c r="J214">
        <f>H214-VLOOKUP(I214,'Bag weights'!A:B,2,FALSE)</f>
        <v>0</v>
      </c>
      <c r="K214" s="16"/>
      <c r="L214" s="16"/>
      <c r="M214">
        <f>K214-VLOOKUP(L214,'Bag weights'!A$1:B$20,2,FALSE)</f>
        <v>0</v>
      </c>
      <c r="N214" s="16">
        <v>14.78</v>
      </c>
      <c r="O214" s="119" t="s">
        <v>295</v>
      </c>
      <c r="P214">
        <f>N214-VLOOKUP(O214,'Bag weights'!A$1:B$20,2,FALSE)</f>
        <v>6.9499999999999993</v>
      </c>
      <c r="S214">
        <f>Q214-VLOOKUP(R214,'Bag weights'!A$1:B$20,2,FALSE)</f>
        <v>0</v>
      </c>
      <c r="T214" s="16">
        <v>9.11</v>
      </c>
      <c r="U214" s="16" t="s">
        <v>295</v>
      </c>
      <c r="V214">
        <f>T214-VLOOKUP(U214,'Bag weights'!A$1:B$20,2,FALSE)</f>
        <v>1.2799999999999994</v>
      </c>
      <c r="W214" s="141">
        <v>0.42</v>
      </c>
      <c r="X214" s="142" t="s">
        <v>302</v>
      </c>
      <c r="Y214" s="143">
        <f>W214-VLOOKUP(X214,'Bag weights'!A$1:B$20,2,FALSE)</f>
        <v>0.42</v>
      </c>
      <c r="AB214">
        <f>Z214-VLOOKUP(AA214,'Bag weights'!A$1:B$20,2,FALSE)</f>
        <v>0</v>
      </c>
      <c r="AC214" s="16">
        <v>18.649999999999999</v>
      </c>
      <c r="AD214" s="16" t="s">
        <v>295</v>
      </c>
      <c r="AE214">
        <f>AC214-VLOOKUP(AD214,'Bag weights'!A$1:B$20,2,FALSE)</f>
        <v>10.819999999999999</v>
      </c>
      <c r="AF214" s="16">
        <v>9.4499999999999993</v>
      </c>
      <c r="AG214" s="16" t="s">
        <v>295</v>
      </c>
      <c r="AH214">
        <f>AF214-VLOOKUP(AG214,'Bag weights'!A$1:B$20,2,FALSE)</f>
        <v>1.6199999999999992</v>
      </c>
      <c r="AI214" s="16">
        <v>20.41</v>
      </c>
      <c r="AJ214" s="16" t="s">
        <v>295</v>
      </c>
      <c r="AK214">
        <f>AI214-VLOOKUP(AJ214,'Bag weights'!A$1:B$20,2,FALSE)</f>
        <v>12.58</v>
      </c>
      <c r="AL214" s="16">
        <v>38.799999999999997</v>
      </c>
      <c r="AM214" s="16" t="s">
        <v>295</v>
      </c>
      <c r="AN214">
        <f>AL214-VLOOKUP(AM214,'Bag weights'!A$1:B$20,2,FALSE)</f>
        <v>30.97</v>
      </c>
      <c r="AQ214">
        <f>AO214-VLOOKUP(AP214,'Bag weights'!A$1:B$20,2,FALSE)</f>
        <v>0</v>
      </c>
      <c r="AT214">
        <f>AR214-VLOOKUP(AS214,'Bag weights'!A$1:B$20,2,FALSE)</f>
        <v>0</v>
      </c>
      <c r="AU214" s="146">
        <v>3.41</v>
      </c>
      <c r="AV214" s="146" t="s">
        <v>298</v>
      </c>
      <c r="AW214" s="143">
        <f>AU214-VLOOKUP(AV214,'Bag weights'!A$1:B$20,2,FALSE)</f>
        <v>2.0100000000000002</v>
      </c>
      <c r="AX214">
        <f t="shared" si="3"/>
        <v>64.64</v>
      </c>
      <c r="BD214" s="120">
        <v>6.6</v>
      </c>
      <c r="BH214" s="152"/>
    </row>
    <row r="215" spans="1:60">
      <c r="A215" s="87" t="s">
        <v>112</v>
      </c>
      <c r="B215" s="87" t="s">
        <v>115</v>
      </c>
      <c r="C215" s="87">
        <v>1</v>
      </c>
      <c r="D215" s="87" t="s">
        <v>83</v>
      </c>
      <c r="E215" s="2"/>
      <c r="F215" s="2"/>
      <c r="G215" s="2"/>
      <c r="H215" s="148"/>
      <c r="I215" s="148"/>
      <c r="J215">
        <f>H215-VLOOKUP(I215,'Bag weights'!A:B,2,FALSE)</f>
        <v>0</v>
      </c>
      <c r="K215" s="148"/>
      <c r="L215" s="148"/>
      <c r="M215">
        <f>K215-VLOOKUP(L215,'Bag weights'!A$1:B$20,2,FALSE)</f>
        <v>0</v>
      </c>
      <c r="N215" s="148"/>
      <c r="O215" s="149"/>
      <c r="P215">
        <f>N215-VLOOKUP(O215,'Bag weights'!A$1:B$20,2,FALSE)</f>
        <v>0</v>
      </c>
      <c r="Q215" s="148"/>
      <c r="R215" s="148"/>
      <c r="S215">
        <f>Q215-VLOOKUP(R215,'Bag weights'!A$1:B$20,2,FALSE)</f>
        <v>0</v>
      </c>
      <c r="T215" s="141">
        <v>0.56000000000000005</v>
      </c>
      <c r="U215" s="142" t="s">
        <v>302</v>
      </c>
      <c r="V215" s="143">
        <f>T215-VLOOKUP(U215,'Bag weights'!A$1:B$20,2,FALSE)</f>
        <v>0.56000000000000005</v>
      </c>
      <c r="W215" s="150">
        <f t="shared" ref="W215:W217" si="4">Q215</f>
        <v>0</v>
      </c>
      <c r="X215" s="150"/>
      <c r="Y215">
        <f>W215-VLOOKUP(X215,'Bag weights'!A$1:B$20,2,FALSE)</f>
        <v>0</v>
      </c>
      <c r="Z215" s="150">
        <f t="shared" ref="Z215:Z217" si="5">W215</f>
        <v>0</v>
      </c>
      <c r="AA215" s="150"/>
      <c r="AB215">
        <f>Z215-VLOOKUP(AA215,'Bag weights'!A$1:B$20,2,FALSE)</f>
        <v>0</v>
      </c>
      <c r="AC215" s="16">
        <v>83.04</v>
      </c>
      <c r="AD215" s="16" t="s">
        <v>276</v>
      </c>
      <c r="AE215">
        <f>AC215-VLOOKUP(AD215,'Bag weights'!A$1:B$20,2,FALSE)</f>
        <v>62.09</v>
      </c>
      <c r="AF215" s="16"/>
      <c r="AH215">
        <f>AF215-VLOOKUP(AG215,'Bag weights'!A$1:B$20,2,FALSE)</f>
        <v>0</v>
      </c>
      <c r="AI215" s="16">
        <v>9.67</v>
      </c>
      <c r="AJ215" s="16" t="s">
        <v>295</v>
      </c>
      <c r="AK215">
        <f>AI215-VLOOKUP(AJ215,'Bag weights'!A$1:B$20,2,FALSE)</f>
        <v>1.8399999999999999</v>
      </c>
      <c r="AL215" s="16">
        <v>9.89</v>
      </c>
      <c r="AM215" s="16" t="s">
        <v>295</v>
      </c>
      <c r="AN215">
        <f>AL215-VLOOKUP(AM215,'Bag weights'!A$1:B$20,2,FALSE)</f>
        <v>2.0600000000000005</v>
      </c>
      <c r="AO215" s="16"/>
      <c r="AQ215">
        <f>AO215-VLOOKUP(AP215,'Bag weights'!A$1:B$20,2,FALSE)</f>
        <v>0</v>
      </c>
      <c r="AT215">
        <f>AR215-VLOOKUP(AS215,'Bag weights'!A$1:B$20,2,FALSE)</f>
        <v>0</v>
      </c>
      <c r="AU215" s="141">
        <v>3.99</v>
      </c>
      <c r="AV215" s="142" t="s">
        <v>296</v>
      </c>
      <c r="AW215" s="143">
        <f>AU215-VLOOKUP(AV215,'Bag weights'!A$1:B$20,2,FALSE)</f>
        <v>1.5</v>
      </c>
      <c r="AX215">
        <f t="shared" si="3"/>
        <v>66.550000000000011</v>
      </c>
      <c r="BD215" s="120">
        <v>7.2</v>
      </c>
      <c r="BH215" s="152"/>
    </row>
    <row r="216" spans="1:60">
      <c r="A216" s="87"/>
      <c r="B216" s="87"/>
      <c r="C216" s="87">
        <v>1</v>
      </c>
      <c r="D216" s="87" t="s">
        <v>85</v>
      </c>
      <c r="E216" s="2"/>
      <c r="F216" s="2"/>
      <c r="G216" s="2"/>
      <c r="H216" s="148"/>
      <c r="I216" s="148"/>
      <c r="J216">
        <f>H216-VLOOKUP(I216,'Bag weights'!A:B,2,FALSE)</f>
        <v>0</v>
      </c>
      <c r="K216" s="148"/>
      <c r="L216" s="148"/>
      <c r="M216">
        <f>K216-VLOOKUP(L216,'Bag weights'!A$1:B$20,2,FALSE)</f>
        <v>0</v>
      </c>
      <c r="N216" s="148"/>
      <c r="O216" s="149"/>
      <c r="P216">
        <f>N216-VLOOKUP(O216,'Bag weights'!A$1:B$20,2,FALSE)</f>
        <v>0</v>
      </c>
      <c r="Q216" s="148"/>
      <c r="R216" s="148"/>
      <c r="S216">
        <f>Q216-VLOOKUP(R216,'Bag weights'!A$1:B$20,2,FALSE)</f>
        <v>0</v>
      </c>
      <c r="T216" s="16">
        <v>1.34</v>
      </c>
      <c r="U216" s="16" t="s">
        <v>302</v>
      </c>
      <c r="V216">
        <f>T216-VLOOKUP(U216,'Bag weights'!A$1:B$20,2,FALSE)</f>
        <v>1.34</v>
      </c>
      <c r="W216" s="150">
        <f t="shared" si="4"/>
        <v>0</v>
      </c>
      <c r="X216" s="150"/>
      <c r="Y216">
        <f>W216-VLOOKUP(X216,'Bag weights'!A$1:B$20,2,FALSE)</f>
        <v>0</v>
      </c>
      <c r="Z216" s="150">
        <f t="shared" si="5"/>
        <v>0</v>
      </c>
      <c r="AA216" s="150"/>
      <c r="AB216">
        <f>Z216-VLOOKUP(AA216,'Bag weights'!A$1:B$20,2,FALSE)</f>
        <v>0</v>
      </c>
      <c r="AC216" s="16">
        <v>64.66</v>
      </c>
      <c r="AD216" s="16" t="s">
        <v>276</v>
      </c>
      <c r="AE216">
        <f>AC216-VLOOKUP(AD216,'Bag weights'!A$1:B$20,2,FALSE)</f>
        <v>43.709999999999994</v>
      </c>
      <c r="AF216" s="16">
        <v>12.94</v>
      </c>
      <c r="AG216" s="16" t="s">
        <v>295</v>
      </c>
      <c r="AH216">
        <f>AF216-VLOOKUP(AG216,'Bag weights'!A$1:B$20,2,FALSE)</f>
        <v>5.1099999999999994</v>
      </c>
      <c r="AI216" s="16">
        <v>10.72</v>
      </c>
      <c r="AJ216" s="16" t="s">
        <v>295</v>
      </c>
      <c r="AK216">
        <f>AI216-VLOOKUP(AJ216,'Bag weights'!A$1:B$20,2,FALSE)</f>
        <v>2.8900000000000006</v>
      </c>
      <c r="AL216" s="16">
        <v>24.28</v>
      </c>
      <c r="AM216" s="16" t="s">
        <v>295</v>
      </c>
      <c r="AN216">
        <f>AL216-VLOOKUP(AM216,'Bag weights'!A$1:B$20,2,FALSE)</f>
        <v>16.450000000000003</v>
      </c>
      <c r="AO216" s="16">
        <v>5.1100000000000003</v>
      </c>
      <c r="AP216" s="16" t="s">
        <v>296</v>
      </c>
      <c r="AQ216">
        <f>AO216-VLOOKUP(AP216,'Bag weights'!A$1:B$20,2,FALSE)</f>
        <v>2.62</v>
      </c>
      <c r="AT216">
        <f>AR216-VLOOKUP(AS216,'Bag weights'!A$1:B$20,2,FALSE)</f>
        <v>0</v>
      </c>
      <c r="AU216" s="146">
        <v>4.8099999999999996</v>
      </c>
      <c r="AV216" s="146" t="s">
        <v>296</v>
      </c>
      <c r="AW216" s="143">
        <f>AU216-VLOOKUP(AV216,'Bag weights'!A$1:B$20,2,FALSE)</f>
        <v>2.3199999999999994</v>
      </c>
      <c r="AX216">
        <f t="shared" si="3"/>
        <v>72.12</v>
      </c>
      <c r="BD216" s="120">
        <v>5.8</v>
      </c>
      <c r="BH216" s="152"/>
    </row>
    <row r="217" spans="1:60">
      <c r="A217" s="87"/>
      <c r="B217" s="87"/>
      <c r="C217" s="87">
        <v>1</v>
      </c>
      <c r="D217" s="87" t="s">
        <v>87</v>
      </c>
      <c r="E217" s="2"/>
      <c r="F217" s="2"/>
      <c r="G217" s="2"/>
      <c r="H217" s="148"/>
      <c r="I217" s="148"/>
      <c r="J217">
        <f>H217-VLOOKUP(I217,'Bag weights'!A:B,2,FALSE)</f>
        <v>0</v>
      </c>
      <c r="K217" s="148"/>
      <c r="L217" s="148"/>
      <c r="M217">
        <f>K217-VLOOKUP(L217,'Bag weights'!A$1:B$20,2,FALSE)</f>
        <v>0</v>
      </c>
      <c r="N217" s="148"/>
      <c r="O217" s="149"/>
      <c r="P217">
        <f>N217-VLOOKUP(O217,'Bag weights'!A$1:B$20,2,FALSE)</f>
        <v>0</v>
      </c>
      <c r="Q217" s="148"/>
      <c r="R217" s="148"/>
      <c r="S217">
        <f>Q217-VLOOKUP(R217,'Bag weights'!A$1:B$20,2,FALSE)</f>
        <v>0</v>
      </c>
      <c r="T217" s="16">
        <v>8.94</v>
      </c>
      <c r="U217" s="16" t="s">
        <v>295</v>
      </c>
      <c r="V217">
        <f>T217-VLOOKUP(U217,'Bag weights'!A$1:B$20,2,FALSE)</f>
        <v>1.1099999999999994</v>
      </c>
      <c r="W217" s="150">
        <f t="shared" si="4"/>
        <v>0</v>
      </c>
      <c r="X217" s="150"/>
      <c r="Y217">
        <f>W217-VLOOKUP(X217,'Bag weights'!A$1:B$20,2,FALSE)</f>
        <v>0</v>
      </c>
      <c r="Z217" s="150">
        <f t="shared" si="5"/>
        <v>0</v>
      </c>
      <c r="AA217" s="150"/>
      <c r="AB217">
        <f>Z217-VLOOKUP(AA217,'Bag weights'!A$1:B$20,2,FALSE)</f>
        <v>0</v>
      </c>
      <c r="AC217" s="16">
        <v>69.37</v>
      </c>
      <c r="AD217" s="16" t="s">
        <v>276</v>
      </c>
      <c r="AE217">
        <f>AC217-VLOOKUP(AD217,'Bag weights'!A$1:B$20,2,FALSE)</f>
        <v>48.42</v>
      </c>
      <c r="AF217" s="141">
        <v>0.12</v>
      </c>
      <c r="AG217" s="142" t="s">
        <v>302</v>
      </c>
      <c r="AH217" s="143">
        <f>AF217-VLOOKUP(AG217,'Bag weights'!A$1:B$20,2,FALSE)</f>
        <v>0.12</v>
      </c>
      <c r="AI217" s="16"/>
      <c r="AK217">
        <f>AI217-VLOOKUP(AJ217,'Bag weights'!A$1:B$20,2,FALSE)</f>
        <v>0</v>
      </c>
      <c r="AL217" s="16">
        <v>25.06</v>
      </c>
      <c r="AM217" s="16" t="s">
        <v>295</v>
      </c>
      <c r="AN217">
        <f>AL217-VLOOKUP(AM217,'Bag weights'!A$1:B$20,2,FALSE)</f>
        <v>17.229999999999997</v>
      </c>
      <c r="AO217" s="16"/>
      <c r="AQ217">
        <f>AO217-VLOOKUP(AP217,'Bag weights'!A$1:B$20,2,FALSE)</f>
        <v>0</v>
      </c>
      <c r="AT217">
        <f>AR217-VLOOKUP(AS217,'Bag weights'!A$1:B$20,2,FALSE)</f>
        <v>0</v>
      </c>
      <c r="AU217" s="146">
        <v>2.52</v>
      </c>
      <c r="AV217" s="146" t="s">
        <v>298</v>
      </c>
      <c r="AW217" s="143">
        <f>AU217-VLOOKUP(AV217,'Bag weights'!A$1:B$20,2,FALSE)</f>
        <v>1.1200000000000001</v>
      </c>
      <c r="AX217">
        <f t="shared" si="3"/>
        <v>66.88</v>
      </c>
      <c r="BD217" s="120">
        <v>7.1</v>
      </c>
      <c r="BH217" s="151">
        <v>1.17</v>
      </c>
    </row>
    <row r="218" spans="1:60">
      <c r="A218" s="87"/>
      <c r="B218" s="87"/>
      <c r="C218" s="87">
        <v>1</v>
      </c>
      <c r="D218" s="87" t="s">
        <v>79</v>
      </c>
      <c r="E218" s="2"/>
      <c r="F218" s="2"/>
      <c r="G218" s="2"/>
      <c r="H218" s="148"/>
      <c r="I218" s="148"/>
      <c r="J218">
        <f>H218-VLOOKUP(I218,'Bag weights'!A:B,2,FALSE)</f>
        <v>0</v>
      </c>
      <c r="K218" s="148"/>
      <c r="L218" s="148"/>
      <c r="M218">
        <f>K218-VLOOKUP(L218,'Bag weights'!A$1:B$20,2,FALSE)</f>
        <v>0</v>
      </c>
      <c r="N218" s="148"/>
      <c r="O218" s="149"/>
      <c r="P218">
        <f>N218-VLOOKUP(O218,'Bag weights'!A$1:B$20,2,FALSE)</f>
        <v>0</v>
      </c>
      <c r="Q218" s="148"/>
      <c r="R218" s="148"/>
      <c r="S218">
        <f>Q218-VLOOKUP(R218,'Bag weights'!A$1:B$20,2,FALSE)</f>
        <v>0</v>
      </c>
      <c r="T218" s="16">
        <v>8.56</v>
      </c>
      <c r="U218" s="16" t="s">
        <v>295</v>
      </c>
      <c r="V218">
        <f>T218-VLOOKUP(U218,'Bag weights'!A$1:B$20,2,FALSE)</f>
        <v>0.73000000000000043</v>
      </c>
      <c r="W218" s="148"/>
      <c r="X218" s="150"/>
      <c r="Y218">
        <f>W218-VLOOKUP(X218,'Bag weights'!A$1:B$20,2,FALSE)</f>
        <v>0</v>
      </c>
      <c r="Z218" s="16"/>
      <c r="AB218">
        <f>Z218-VLOOKUP(AA218,'Bag weights'!A$1:B$20,2,FALSE)</f>
        <v>0</v>
      </c>
      <c r="AC218" s="16">
        <v>73.41</v>
      </c>
      <c r="AD218" s="16" t="s">
        <v>276</v>
      </c>
      <c r="AE218">
        <f>AC218-VLOOKUP(AD218,'Bag weights'!A$1:B$20,2,FALSE)</f>
        <v>52.459999999999994</v>
      </c>
      <c r="AF218" s="146">
        <v>3.27</v>
      </c>
      <c r="AG218" s="146" t="s">
        <v>296</v>
      </c>
      <c r="AH218" s="143">
        <f>AF218-VLOOKUP(AG218,'Bag weights'!A$1:B$20,2,FALSE)</f>
        <v>0.7799999999999998</v>
      </c>
      <c r="AI218" s="141">
        <v>0.62</v>
      </c>
      <c r="AJ218" s="142" t="s">
        <v>302</v>
      </c>
      <c r="AK218" s="143">
        <f>AI218-VLOOKUP(AJ218,'Bag weights'!A$1:B$20,2,FALSE)</f>
        <v>0.62</v>
      </c>
      <c r="AL218" s="16">
        <v>10.29</v>
      </c>
      <c r="AM218" s="16" t="s">
        <v>295</v>
      </c>
      <c r="AN218">
        <f>AL218-VLOOKUP(AM218,'Bag weights'!A$1:B$20,2,FALSE)</f>
        <v>2.4599999999999991</v>
      </c>
      <c r="AO218" s="16">
        <v>8.84</v>
      </c>
      <c r="AP218" s="16" t="s">
        <v>295</v>
      </c>
      <c r="AQ218">
        <f>AO218-VLOOKUP(AP218,'Bag weights'!A$1:B$20,2,FALSE)</f>
        <v>1.0099999999999998</v>
      </c>
      <c r="AR218" s="16">
        <v>9.8800000000000008</v>
      </c>
      <c r="AS218" s="16" t="s">
        <v>295</v>
      </c>
      <c r="AT218">
        <f>AR218-VLOOKUP(AS218,'Bag weights'!A$1:B$20,2,FALSE)</f>
        <v>2.0500000000000007</v>
      </c>
      <c r="AU218" s="141">
        <v>0.82</v>
      </c>
      <c r="AV218" s="142" t="s">
        <v>302</v>
      </c>
      <c r="AW218" s="143">
        <f>AU218-VLOOKUP(AV218,'Bag weights'!A$1:B$20,2,FALSE)</f>
        <v>0.82</v>
      </c>
      <c r="AX218">
        <f t="shared" si="3"/>
        <v>60.11</v>
      </c>
      <c r="BD218" s="120">
        <v>6.8</v>
      </c>
      <c r="BH218" s="151">
        <v>1.94</v>
      </c>
    </row>
    <row r="219" spans="1:60">
      <c r="A219" s="87"/>
      <c r="B219" s="87"/>
      <c r="C219" s="87">
        <v>1</v>
      </c>
      <c r="D219" s="87" t="s">
        <v>88</v>
      </c>
      <c r="E219" s="2"/>
      <c r="F219" s="2"/>
      <c r="G219" s="2"/>
      <c r="H219" s="148"/>
      <c r="I219" s="148"/>
      <c r="J219">
        <f>H219-VLOOKUP(I219,'Bag weights'!A:B,2,FALSE)</f>
        <v>0</v>
      </c>
      <c r="K219" s="148"/>
      <c r="L219" s="148"/>
      <c r="M219">
        <f>K219-VLOOKUP(L219,'Bag weights'!A$1:B$20,2,FALSE)</f>
        <v>0</v>
      </c>
      <c r="N219" s="148"/>
      <c r="O219" s="149"/>
      <c r="P219">
        <f>N219-VLOOKUP(O219,'Bag weights'!A$1:B$20,2,FALSE)</f>
        <v>0</v>
      </c>
      <c r="Q219" s="148"/>
      <c r="R219" s="148"/>
      <c r="S219">
        <f>Q219-VLOOKUP(R219,'Bag weights'!A$1:B$20,2,FALSE)</f>
        <v>0</v>
      </c>
      <c r="T219" s="16">
        <v>9.1999999999999993</v>
      </c>
      <c r="U219" s="16" t="s">
        <v>295</v>
      </c>
      <c r="V219">
        <f>T219-VLOOKUP(U219,'Bag weights'!A$1:B$20,2,FALSE)</f>
        <v>1.3699999999999992</v>
      </c>
      <c r="W219" s="150">
        <f t="shared" ref="W219:W234" si="6">Q219</f>
        <v>0</v>
      </c>
      <c r="X219" s="150"/>
      <c r="Y219">
        <f>W219-VLOOKUP(X219,'Bag weights'!A$1:B$20,2,FALSE)</f>
        <v>0</v>
      </c>
      <c r="Z219" s="150">
        <f t="shared" ref="Z219:Z221" si="7">W215</f>
        <v>0</v>
      </c>
      <c r="AA219" s="150"/>
      <c r="AB219">
        <f>Z219-VLOOKUP(AA219,'Bag weights'!A$1:B$20,2,FALSE)</f>
        <v>0</v>
      </c>
      <c r="AC219" s="16">
        <v>71.650000000000006</v>
      </c>
      <c r="AD219" s="16" t="s">
        <v>276</v>
      </c>
      <c r="AE219">
        <f>AC219-VLOOKUP(AD219,'Bag weights'!A$1:B$20,2,FALSE)</f>
        <v>50.7</v>
      </c>
      <c r="AF219" s="16"/>
      <c r="AH219">
        <f>AF219-VLOOKUP(AG219,'Bag weights'!A$1:B$20,2,FALSE)</f>
        <v>0</v>
      </c>
      <c r="AI219" s="16"/>
      <c r="AK219">
        <f>AI219-VLOOKUP(AJ219,'Bag weights'!A$1:B$20,2,FALSE)</f>
        <v>0</v>
      </c>
      <c r="AL219" s="16">
        <v>15.4</v>
      </c>
      <c r="AM219" s="16" t="s">
        <v>295</v>
      </c>
      <c r="AN219">
        <f>AL219-VLOOKUP(AM219,'Bag weights'!A$1:B$20,2,FALSE)</f>
        <v>7.57</v>
      </c>
      <c r="AO219" s="16"/>
      <c r="AQ219">
        <f>AO219-VLOOKUP(AP219,'Bag weights'!A$1:B$20,2,FALSE)</f>
        <v>0</v>
      </c>
      <c r="AT219">
        <f>AR219-VLOOKUP(AS219,'Bag weights'!A$1:B$20,2,FALSE)</f>
        <v>0</v>
      </c>
      <c r="AU219" s="146">
        <v>3.98</v>
      </c>
      <c r="AV219" s="146" t="s">
        <v>296</v>
      </c>
      <c r="AW219" s="143">
        <f>AU219-VLOOKUP(AV219,'Bag weights'!A$1:B$20,2,FALSE)</f>
        <v>1.4899999999999998</v>
      </c>
      <c r="AX219">
        <f t="shared" si="3"/>
        <v>59.64</v>
      </c>
      <c r="BD219" s="120">
        <v>5.5</v>
      </c>
      <c r="BH219" s="152"/>
    </row>
    <row r="220" spans="1:60">
      <c r="A220" s="87"/>
      <c r="B220" s="87"/>
      <c r="C220" s="87">
        <v>2</v>
      </c>
      <c r="D220" s="87" t="s">
        <v>83</v>
      </c>
      <c r="E220" s="2"/>
      <c r="F220" s="2"/>
      <c r="G220" s="2"/>
      <c r="H220" s="148"/>
      <c r="I220" s="148"/>
      <c r="J220">
        <f>H220-VLOOKUP(I220,'Bag weights'!A:B,2,FALSE)</f>
        <v>0</v>
      </c>
      <c r="K220" s="148"/>
      <c r="L220" s="148"/>
      <c r="M220">
        <f>K220-VLOOKUP(L220,'Bag weights'!A$1:B$20,2,FALSE)</f>
        <v>0</v>
      </c>
      <c r="N220" s="148"/>
      <c r="O220" s="149"/>
      <c r="P220">
        <f>N220-VLOOKUP(O220,'Bag weights'!A$1:B$20,2,FALSE)</f>
        <v>0</v>
      </c>
      <c r="Q220" s="148"/>
      <c r="R220" s="148"/>
      <c r="S220">
        <f>Q220-VLOOKUP(R220,'Bag weights'!A$1:B$20,2,FALSE)</f>
        <v>0</v>
      </c>
      <c r="T220" s="141">
        <v>0.48</v>
      </c>
      <c r="U220" s="142" t="s">
        <v>302</v>
      </c>
      <c r="V220" s="143">
        <f>T220-VLOOKUP(U220,'Bag weights'!A$1:B$20,2,FALSE)</f>
        <v>0.48</v>
      </c>
      <c r="W220" s="150">
        <f t="shared" si="6"/>
        <v>0</v>
      </c>
      <c r="X220" s="150"/>
      <c r="Y220">
        <f>W220-VLOOKUP(X220,'Bag weights'!A$1:B$20,2,FALSE)</f>
        <v>0</v>
      </c>
      <c r="Z220" s="150">
        <f t="shared" si="7"/>
        <v>0</v>
      </c>
      <c r="AA220" s="150"/>
      <c r="AB220">
        <f>Z220-VLOOKUP(AA220,'Bag weights'!A$1:B$20,2,FALSE)</f>
        <v>0</v>
      </c>
      <c r="AC220" s="16">
        <v>65.7</v>
      </c>
      <c r="AD220" s="16" t="s">
        <v>276</v>
      </c>
      <c r="AE220">
        <f>AC220-VLOOKUP(AD220,'Bag weights'!A$1:B$20,2,FALSE)</f>
        <v>44.75</v>
      </c>
      <c r="AF220" s="16">
        <v>12.42</v>
      </c>
      <c r="AG220" s="16" t="s">
        <v>295</v>
      </c>
      <c r="AH220">
        <f>AF220-VLOOKUP(AG220,'Bag weights'!A$1:B$20,2,FALSE)</f>
        <v>4.59</v>
      </c>
      <c r="AI220" s="141">
        <v>0.16</v>
      </c>
      <c r="AJ220" s="142" t="s">
        <v>302</v>
      </c>
      <c r="AK220" s="143">
        <f>AI220-VLOOKUP(AJ220,'Bag weights'!A$1:B$20,2,FALSE)</f>
        <v>0.16</v>
      </c>
      <c r="AL220" s="16">
        <v>21.33</v>
      </c>
      <c r="AM220" s="16" t="s">
        <v>295</v>
      </c>
      <c r="AN220">
        <f>AL220-VLOOKUP(AM220,'Bag weights'!A$1:B$20,2,FALSE)</f>
        <v>13.499999999999998</v>
      </c>
      <c r="AO220" s="146">
        <v>0.84</v>
      </c>
      <c r="AP220" s="146" t="s">
        <v>302</v>
      </c>
      <c r="AQ220" s="143">
        <f>AO220-VLOOKUP(AP220,'Bag weights'!A$1:B$20,2,FALSE)</f>
        <v>0.84</v>
      </c>
      <c r="AT220">
        <f>AR220-VLOOKUP(AS220,'Bag weights'!A$1:B$20,2,FALSE)</f>
        <v>0</v>
      </c>
      <c r="AU220" s="146">
        <v>3.91</v>
      </c>
      <c r="AV220" s="146" t="s">
        <v>296</v>
      </c>
      <c r="AW220" s="143">
        <f>AU220-VLOOKUP(AV220,'Bag weights'!A$1:B$20,2,FALSE)</f>
        <v>1.42</v>
      </c>
      <c r="AX220">
        <f t="shared" si="3"/>
        <v>64.319999999999993</v>
      </c>
      <c r="BD220" s="120">
        <v>7.1</v>
      </c>
      <c r="BH220" s="151">
        <v>0.78</v>
      </c>
    </row>
    <row r="221" spans="1:60">
      <c r="A221" s="87"/>
      <c r="B221" s="87"/>
      <c r="C221" s="87">
        <v>2</v>
      </c>
      <c r="D221" s="87" t="s">
        <v>85</v>
      </c>
      <c r="E221" s="2"/>
      <c r="F221" s="2"/>
      <c r="G221" s="2"/>
      <c r="H221" s="148"/>
      <c r="I221" s="148"/>
      <c r="J221">
        <f>H221-VLOOKUP(I221,'Bag weights'!A:B,2,FALSE)</f>
        <v>0</v>
      </c>
      <c r="K221" s="148"/>
      <c r="L221" s="148"/>
      <c r="M221">
        <f>K221-VLOOKUP(L221,'Bag weights'!A$1:B$20,2,FALSE)</f>
        <v>0</v>
      </c>
      <c r="N221" s="148"/>
      <c r="O221" s="149"/>
      <c r="P221">
        <f>N221-VLOOKUP(O221,'Bag weights'!A$1:B$20,2,FALSE)</f>
        <v>0</v>
      </c>
      <c r="Q221" s="148"/>
      <c r="R221" s="148"/>
      <c r="S221">
        <f>Q221-VLOOKUP(R221,'Bag weights'!A$1:B$20,2,FALSE)</f>
        <v>0</v>
      </c>
      <c r="T221" s="141">
        <v>0.34</v>
      </c>
      <c r="U221" s="142" t="s">
        <v>302</v>
      </c>
      <c r="V221" s="143">
        <f>T221-VLOOKUP(U221,'Bag weights'!A$1:B$20,2,FALSE)</f>
        <v>0.34</v>
      </c>
      <c r="W221" s="150">
        <f t="shared" si="6"/>
        <v>0</v>
      </c>
      <c r="X221" s="150"/>
      <c r="Y221">
        <f>W221-VLOOKUP(X221,'Bag weights'!A$1:B$20,2,FALSE)</f>
        <v>0</v>
      </c>
      <c r="Z221" s="150">
        <f t="shared" si="7"/>
        <v>0</v>
      </c>
      <c r="AA221" s="150"/>
      <c r="AB221">
        <f>Z221-VLOOKUP(AA221,'Bag weights'!A$1:B$20,2,FALSE)</f>
        <v>0</v>
      </c>
      <c r="AC221" s="16">
        <v>78.87</v>
      </c>
      <c r="AD221" s="16" t="s">
        <v>276</v>
      </c>
      <c r="AE221">
        <f>AC221-VLOOKUP(AD221,'Bag weights'!A$1:B$20,2,FALSE)</f>
        <v>57.92</v>
      </c>
      <c r="AF221" s="16"/>
      <c r="AH221">
        <f>AF221-VLOOKUP(AG221,'Bag weights'!A$1:B$20,2,FALSE)</f>
        <v>0</v>
      </c>
      <c r="AI221" s="16"/>
      <c r="AK221">
        <f>AI221-VLOOKUP(AJ221,'Bag weights'!A$1:B$20,2,FALSE)</f>
        <v>0</v>
      </c>
      <c r="AL221" s="16">
        <v>12.47</v>
      </c>
      <c r="AM221" s="16" t="s">
        <v>295</v>
      </c>
      <c r="AN221">
        <f>AL221-VLOOKUP(AM221,'Bag weights'!A$1:B$20,2,FALSE)</f>
        <v>4.6400000000000006</v>
      </c>
      <c r="AO221" s="141">
        <v>0.11</v>
      </c>
      <c r="AP221" s="142" t="s">
        <v>302</v>
      </c>
      <c r="AQ221" s="143">
        <f>AO221-VLOOKUP(AP221,'Bag weights'!A$1:B$20,2,FALSE)</f>
        <v>0.11</v>
      </c>
      <c r="AT221">
        <f>AR221-VLOOKUP(AS221,'Bag weights'!A$1:B$20,2,FALSE)</f>
        <v>0</v>
      </c>
      <c r="AU221" s="146">
        <v>3.98</v>
      </c>
      <c r="AV221" s="146" t="s">
        <v>296</v>
      </c>
      <c r="AW221" s="143">
        <f>AU221-VLOOKUP(AV221,'Bag weights'!A$1:B$20,2,FALSE)</f>
        <v>1.4899999999999998</v>
      </c>
      <c r="AX221">
        <f t="shared" si="3"/>
        <v>63.010000000000005</v>
      </c>
      <c r="BD221" s="120">
        <v>8.9</v>
      </c>
      <c r="BH221" s="151">
        <v>2.1800000000000002</v>
      </c>
    </row>
    <row r="222" spans="1:60">
      <c r="A222" s="87"/>
      <c r="B222" s="87"/>
      <c r="C222" s="87">
        <v>2</v>
      </c>
      <c r="D222" s="87" t="s">
        <v>87</v>
      </c>
      <c r="E222" s="2"/>
      <c r="F222" s="2"/>
      <c r="G222" s="2"/>
      <c r="H222" s="148"/>
      <c r="I222" s="148"/>
      <c r="J222">
        <f>H222-VLOOKUP(I222,'Bag weights'!A:B,2,FALSE)</f>
        <v>0</v>
      </c>
      <c r="K222" s="148"/>
      <c r="L222" s="148"/>
      <c r="M222">
        <f>K222-VLOOKUP(L222,'Bag weights'!A$1:B$20,2,FALSE)</f>
        <v>0</v>
      </c>
      <c r="N222" s="148"/>
      <c r="O222" s="149"/>
      <c r="P222">
        <f>N222-VLOOKUP(O222,'Bag weights'!A$1:B$20,2,FALSE)</f>
        <v>0</v>
      </c>
      <c r="Q222" s="148"/>
      <c r="R222" s="148"/>
      <c r="S222">
        <f>Q222-VLOOKUP(R222,'Bag weights'!A$1:B$20,2,FALSE)</f>
        <v>0</v>
      </c>
      <c r="T222" s="141">
        <v>0.77</v>
      </c>
      <c r="U222" s="142" t="s">
        <v>302</v>
      </c>
      <c r="V222" s="143">
        <f>T222-VLOOKUP(U222,'Bag weights'!A$1:B$20,2,FALSE)</f>
        <v>0.77</v>
      </c>
      <c r="W222" s="150">
        <f t="shared" si="6"/>
        <v>0</v>
      </c>
      <c r="X222" s="150"/>
      <c r="Y222">
        <f>W222-VLOOKUP(X222,'Bag weights'!A$1:B$20,2,FALSE)</f>
        <v>0</v>
      </c>
      <c r="Z222" s="141">
        <v>0.36</v>
      </c>
      <c r="AA222" s="142" t="s">
        <v>302</v>
      </c>
      <c r="AB222" s="143">
        <f>Z222-VLOOKUP(AA222,'Bag weights'!A$1:B$20,2,FALSE)</f>
        <v>0.36</v>
      </c>
      <c r="AC222" s="16">
        <v>70.040000000000006</v>
      </c>
      <c r="AD222" s="16" t="s">
        <v>276</v>
      </c>
      <c r="AE222">
        <f>AC222-VLOOKUP(AD222,'Bag weights'!A$1:B$20,2,FALSE)</f>
        <v>49.09</v>
      </c>
      <c r="AF222" s="16">
        <v>8.4</v>
      </c>
      <c r="AG222" s="16" t="s">
        <v>295</v>
      </c>
      <c r="AH222">
        <f>AF222-VLOOKUP(AG222,'Bag weights'!A$1:B$20,2,FALSE)</f>
        <v>0.57000000000000028</v>
      </c>
      <c r="AI222" s="16"/>
      <c r="AK222">
        <f>AI222-VLOOKUP(AJ222,'Bag weights'!A$1:B$20,2,FALSE)</f>
        <v>0</v>
      </c>
      <c r="AL222" s="16">
        <v>19.3</v>
      </c>
      <c r="AM222" s="16" t="s">
        <v>295</v>
      </c>
      <c r="AN222">
        <f>AL222-VLOOKUP(AM222,'Bag weights'!A$1:B$20,2,FALSE)</f>
        <v>11.47</v>
      </c>
      <c r="AO222" s="141">
        <v>0.28000000000000003</v>
      </c>
      <c r="AP222" s="142" t="s">
        <v>302</v>
      </c>
      <c r="AQ222" s="143">
        <f>AO222-VLOOKUP(AP222,'Bag weights'!A$1:B$20,2,FALSE)</f>
        <v>0.28000000000000003</v>
      </c>
      <c r="AT222">
        <f>AR222-VLOOKUP(AS222,'Bag weights'!A$1:B$20,2,FALSE)</f>
        <v>0</v>
      </c>
      <c r="AU222" s="141">
        <v>0.45</v>
      </c>
      <c r="AV222" s="142" t="s">
        <v>302</v>
      </c>
      <c r="AW222" s="143">
        <f>AU222-VLOOKUP(AV222,'Bag weights'!A$1:B$20,2,FALSE)</f>
        <v>0.45</v>
      </c>
      <c r="AX222">
        <f t="shared" si="3"/>
        <v>62.540000000000006</v>
      </c>
      <c r="BD222" s="120">
        <v>10.9</v>
      </c>
      <c r="BH222" s="151">
        <v>1.66</v>
      </c>
    </row>
    <row r="223" spans="1:60">
      <c r="A223" s="87"/>
      <c r="B223" s="87"/>
      <c r="C223" s="87">
        <v>2</v>
      </c>
      <c r="D223" s="87" t="s">
        <v>79</v>
      </c>
      <c r="E223" s="2"/>
      <c r="F223" s="2"/>
      <c r="G223" s="2"/>
      <c r="H223" s="148"/>
      <c r="I223" s="148"/>
      <c r="J223">
        <f>H223-VLOOKUP(I223,'Bag weights'!A:B,2,FALSE)</f>
        <v>0</v>
      </c>
      <c r="K223" s="148"/>
      <c r="L223" s="148"/>
      <c r="M223">
        <f>K223-VLOOKUP(L223,'Bag weights'!A$1:B$20,2,FALSE)</f>
        <v>0</v>
      </c>
      <c r="N223" s="148"/>
      <c r="O223" s="149"/>
      <c r="P223">
        <f>N223-VLOOKUP(O223,'Bag weights'!A$1:B$20,2,FALSE)</f>
        <v>0</v>
      </c>
      <c r="Q223" s="148"/>
      <c r="R223" s="148"/>
      <c r="S223">
        <f>Q223-VLOOKUP(R223,'Bag weights'!A$1:B$20,2,FALSE)</f>
        <v>0</v>
      </c>
      <c r="T223" s="150">
        <f>N223</f>
        <v>0</v>
      </c>
      <c r="U223" s="150"/>
      <c r="V223">
        <f>T223-VLOOKUP(U223,'Bag weights'!A$1:B$20,2,FALSE)</f>
        <v>0</v>
      </c>
      <c r="W223" s="150">
        <f t="shared" si="6"/>
        <v>0</v>
      </c>
      <c r="X223" s="150"/>
      <c r="Y223">
        <f>W223-VLOOKUP(X223,'Bag weights'!A$1:B$20,2,FALSE)</f>
        <v>0</v>
      </c>
      <c r="Z223" s="150">
        <f>Z221</f>
        <v>0</v>
      </c>
      <c r="AA223" s="150"/>
      <c r="AB223">
        <f>Z223-VLOOKUP(AA223,'Bag weights'!A$1:B$20,2,FALSE)</f>
        <v>0</v>
      </c>
      <c r="AC223" s="16">
        <v>60.75</v>
      </c>
      <c r="AD223" s="16" t="s">
        <v>276</v>
      </c>
      <c r="AE223">
        <f>AC223-VLOOKUP(AD223,'Bag weights'!A$1:B$20,2,FALSE)</f>
        <v>39.799999999999997</v>
      </c>
      <c r="AF223" s="141">
        <v>0.62</v>
      </c>
      <c r="AG223" s="142" t="s">
        <v>302</v>
      </c>
      <c r="AH223" s="143">
        <f>AF223-VLOOKUP(AG223,'Bag weights'!A$1:B$20,2,FALSE)</f>
        <v>0.62</v>
      </c>
      <c r="AI223" s="16"/>
      <c r="AK223">
        <f>AI223-VLOOKUP(AJ223,'Bag weights'!A$1:B$20,2,FALSE)</f>
        <v>0</v>
      </c>
      <c r="AL223" s="16">
        <v>45.1</v>
      </c>
      <c r="AM223" s="16" t="s">
        <v>276</v>
      </c>
      <c r="AN223">
        <f>AL223-VLOOKUP(AM223,'Bag weights'!A$1:B$20,2,FALSE)</f>
        <v>24.150000000000002</v>
      </c>
      <c r="AO223" s="141">
        <v>0.1</v>
      </c>
      <c r="AP223" s="142" t="s">
        <v>302</v>
      </c>
      <c r="AQ223" s="143">
        <f>AO223-VLOOKUP(AP223,'Bag weights'!A$1:B$20,2,FALSE)</f>
        <v>0.1</v>
      </c>
      <c r="AT223">
        <f>AR223-VLOOKUP(AS223,'Bag weights'!A$1:B$20,2,FALSE)</f>
        <v>0</v>
      </c>
      <c r="AU223" s="146">
        <v>3.46</v>
      </c>
      <c r="AV223" s="146" t="s">
        <v>296</v>
      </c>
      <c r="AW223" s="143">
        <f>AU223-VLOOKUP(AV223,'Bag weights'!A$1:B$20,2,FALSE)</f>
        <v>0.96999999999999975</v>
      </c>
      <c r="AX223">
        <f t="shared" si="3"/>
        <v>64.67</v>
      </c>
      <c r="BD223" s="120">
        <v>8.6999999999999993</v>
      </c>
      <c r="BH223" s="151">
        <v>2.41</v>
      </c>
    </row>
    <row r="224" spans="1:60">
      <c r="A224" s="87"/>
      <c r="B224" s="87"/>
      <c r="C224" s="87">
        <v>2</v>
      </c>
      <c r="D224" s="87" t="s">
        <v>88</v>
      </c>
      <c r="E224" s="2"/>
      <c r="F224" s="2"/>
      <c r="G224" s="2"/>
      <c r="H224" s="148"/>
      <c r="I224" s="148"/>
      <c r="J224">
        <f>H224-VLOOKUP(I224,'Bag weights'!A:B,2,FALSE)</f>
        <v>0</v>
      </c>
      <c r="K224" s="148"/>
      <c r="L224" s="148"/>
      <c r="M224">
        <f>K224-VLOOKUP(L224,'Bag weights'!A$1:B$20,2,FALSE)</f>
        <v>0</v>
      </c>
      <c r="N224" s="148"/>
      <c r="O224" s="149"/>
      <c r="P224">
        <f>N224-VLOOKUP(O224,'Bag weights'!A$1:B$20,2,FALSE)</f>
        <v>0</v>
      </c>
      <c r="Q224" s="148"/>
      <c r="R224" s="148"/>
      <c r="S224">
        <f>Q224-VLOOKUP(R224,'Bag weights'!A$1:B$20,2,FALSE)</f>
        <v>0</v>
      </c>
      <c r="T224" s="146">
        <v>4.25</v>
      </c>
      <c r="U224" s="146" t="s">
        <v>296</v>
      </c>
      <c r="V224" s="143">
        <f>T224-VLOOKUP(U224,'Bag weights'!A$1:B$20,2,FALSE)</f>
        <v>1.7599999999999998</v>
      </c>
      <c r="W224" s="150">
        <f t="shared" si="6"/>
        <v>0</v>
      </c>
      <c r="X224" s="150"/>
      <c r="Y224">
        <f>W224-VLOOKUP(X224,'Bag weights'!A$1:B$20,2,FALSE)</f>
        <v>0</v>
      </c>
      <c r="Z224" s="150">
        <f t="shared" ref="Z224:Z227" si="8">Z223</f>
        <v>0</v>
      </c>
      <c r="AA224" s="150"/>
      <c r="AB224">
        <f>Z224-VLOOKUP(AA224,'Bag weights'!A$1:B$20,2,FALSE)</f>
        <v>0</v>
      </c>
      <c r="AC224" s="16">
        <v>72.3</v>
      </c>
      <c r="AD224" s="16" t="s">
        <v>276</v>
      </c>
      <c r="AE224">
        <f>AC224-VLOOKUP(AD224,'Bag weights'!A$1:B$20,2,FALSE)</f>
        <v>51.349999999999994</v>
      </c>
      <c r="AF224" s="16"/>
      <c r="AH224">
        <f>AF224-VLOOKUP(AG224,'Bag weights'!A$1:B$20,2,FALSE)</f>
        <v>0</v>
      </c>
      <c r="AI224" s="16"/>
      <c r="AK224">
        <f>AI224-VLOOKUP(AJ224,'Bag weights'!A$1:B$20,2,FALSE)</f>
        <v>0</v>
      </c>
      <c r="AL224" s="16">
        <v>29.78</v>
      </c>
      <c r="AM224" s="16" t="s">
        <v>295</v>
      </c>
      <c r="AN224">
        <f>AL224-VLOOKUP(AM224,'Bag weights'!A$1:B$20,2,FALSE)</f>
        <v>21.950000000000003</v>
      </c>
      <c r="AO224" s="146">
        <v>3.45</v>
      </c>
      <c r="AP224" s="146" t="s">
        <v>296</v>
      </c>
      <c r="AQ224" s="143">
        <f>AO224-VLOOKUP(AP224,'Bag weights'!A$1:B$20,2,FALSE)</f>
        <v>0.96</v>
      </c>
      <c r="AT224">
        <f>AR224-VLOOKUP(AS224,'Bag weights'!A$1:B$20,2,FALSE)</f>
        <v>0</v>
      </c>
      <c r="AU224" s="146">
        <v>4.2300000000000004</v>
      </c>
      <c r="AV224" s="146" t="s">
        <v>296</v>
      </c>
      <c r="AW224" s="143">
        <f>AU224-VLOOKUP(AV224,'Bag weights'!A$1:B$20,2,FALSE)</f>
        <v>1.7400000000000002</v>
      </c>
      <c r="AX224">
        <f t="shared" si="3"/>
        <v>76.02</v>
      </c>
      <c r="BD224" s="120">
        <v>11.6</v>
      </c>
      <c r="BH224" s="152"/>
    </row>
    <row r="225" spans="1:60">
      <c r="A225" s="87"/>
      <c r="B225" s="87"/>
      <c r="C225" s="87">
        <v>3</v>
      </c>
      <c r="D225" s="87" t="s">
        <v>83</v>
      </c>
      <c r="E225" s="2"/>
      <c r="F225" s="2"/>
      <c r="G225" s="2"/>
      <c r="H225" s="148"/>
      <c r="I225" s="148"/>
      <c r="J225">
        <f>H225-VLOOKUP(I225,'Bag weights'!A:B,2,FALSE)</f>
        <v>0</v>
      </c>
      <c r="K225" s="148"/>
      <c r="L225" s="148"/>
      <c r="M225">
        <f>K225-VLOOKUP(L225,'Bag weights'!A$1:B$20,2,FALSE)</f>
        <v>0</v>
      </c>
      <c r="N225" s="148"/>
      <c r="O225" s="149"/>
      <c r="P225">
        <f>N225-VLOOKUP(O225,'Bag weights'!A$1:B$20,2,FALSE)</f>
        <v>0</v>
      </c>
      <c r="Q225" s="148"/>
      <c r="R225" s="148"/>
      <c r="S225">
        <f>Q225-VLOOKUP(R225,'Bag weights'!A$1:B$20,2,FALSE)</f>
        <v>0</v>
      </c>
      <c r="T225" s="16">
        <v>11.91</v>
      </c>
      <c r="U225" s="16" t="s">
        <v>295</v>
      </c>
      <c r="V225">
        <f>T225-VLOOKUP(U225,'Bag weights'!A$1:B$20,2,FALSE)</f>
        <v>4.08</v>
      </c>
      <c r="W225" s="150">
        <f t="shared" si="6"/>
        <v>0</v>
      </c>
      <c r="X225" s="150"/>
      <c r="Y225">
        <f>W225-VLOOKUP(X225,'Bag weights'!A$1:B$20,2,FALSE)</f>
        <v>0</v>
      </c>
      <c r="Z225" s="150">
        <f t="shared" si="8"/>
        <v>0</v>
      </c>
      <c r="AA225" s="150"/>
      <c r="AB225">
        <f>Z225-VLOOKUP(AA225,'Bag weights'!A$1:B$20,2,FALSE)</f>
        <v>0</v>
      </c>
      <c r="AC225" s="16">
        <v>42.28</v>
      </c>
      <c r="AD225" s="16" t="s">
        <v>276</v>
      </c>
      <c r="AE225">
        <f>AC225-VLOOKUP(AD225,'Bag weights'!A$1:B$20,2,FALSE)</f>
        <v>21.330000000000002</v>
      </c>
      <c r="AF225" s="16"/>
      <c r="AH225">
        <f>AF225-VLOOKUP(AG225,'Bag weights'!A$1:B$20,2,FALSE)</f>
        <v>0</v>
      </c>
      <c r="AI225" s="16"/>
      <c r="AK225">
        <f>AI225-VLOOKUP(AJ225,'Bag weights'!A$1:B$20,2,FALSE)</f>
        <v>0</v>
      </c>
      <c r="AL225" s="16">
        <v>44.55</v>
      </c>
      <c r="AM225" s="16" t="s">
        <v>276</v>
      </c>
      <c r="AN225">
        <f>AL225-VLOOKUP(AM225,'Bag weights'!A$1:B$20,2,FALSE)</f>
        <v>23.599999999999998</v>
      </c>
      <c r="AO225" s="141">
        <v>0.08</v>
      </c>
      <c r="AP225" s="142" t="s">
        <v>302</v>
      </c>
      <c r="AQ225" s="143">
        <f>AO225-VLOOKUP(AP225,'Bag weights'!A$1:B$20,2,FALSE)</f>
        <v>0.08</v>
      </c>
      <c r="AT225">
        <f>AR225-VLOOKUP(AS225,'Bag weights'!A$1:B$20,2,FALSE)</f>
        <v>0</v>
      </c>
      <c r="AU225" s="141">
        <v>0.56999999999999995</v>
      </c>
      <c r="AV225" s="142" t="s">
        <v>302</v>
      </c>
      <c r="AW225" s="143">
        <f>AU225-VLOOKUP(AV225,'Bag weights'!A$1:B$20,2,FALSE)</f>
        <v>0.56999999999999995</v>
      </c>
      <c r="AX225">
        <f t="shared" si="3"/>
        <v>49.089999999999996</v>
      </c>
      <c r="BD225" s="120">
        <v>9.9</v>
      </c>
      <c r="BH225" s="151">
        <v>0.6</v>
      </c>
    </row>
    <row r="226" spans="1:60">
      <c r="A226" s="87"/>
      <c r="B226" s="87"/>
      <c r="C226" s="87">
        <v>3</v>
      </c>
      <c r="D226" s="87" t="s">
        <v>85</v>
      </c>
      <c r="E226" s="2"/>
      <c r="F226" s="2"/>
      <c r="G226" s="2"/>
      <c r="H226" s="148"/>
      <c r="I226" s="148"/>
      <c r="J226">
        <f>H226-VLOOKUP(I226,'Bag weights'!A:B,2,FALSE)</f>
        <v>0</v>
      </c>
      <c r="K226" s="148"/>
      <c r="L226" s="148"/>
      <c r="M226">
        <f>K226-VLOOKUP(L226,'Bag weights'!A$1:B$20,2,FALSE)</f>
        <v>0</v>
      </c>
      <c r="N226" s="148"/>
      <c r="O226" s="149"/>
      <c r="P226">
        <f>N226-VLOOKUP(O226,'Bag weights'!A$1:B$20,2,FALSE)</f>
        <v>0</v>
      </c>
      <c r="Q226" s="148"/>
      <c r="R226" s="148"/>
      <c r="S226">
        <f>Q226-VLOOKUP(R226,'Bag weights'!A$1:B$20,2,FALSE)</f>
        <v>0</v>
      </c>
      <c r="T226" s="16">
        <v>13.02</v>
      </c>
      <c r="U226" s="16" t="s">
        <v>295</v>
      </c>
      <c r="V226">
        <f>T226-VLOOKUP(U226,'Bag weights'!A$1:B$20,2,FALSE)</f>
        <v>5.1899999999999995</v>
      </c>
      <c r="W226" s="150">
        <f t="shared" si="6"/>
        <v>0</v>
      </c>
      <c r="X226" s="150"/>
      <c r="Y226">
        <f>W226-VLOOKUP(X226,'Bag weights'!A$1:B$20,2,FALSE)</f>
        <v>0</v>
      </c>
      <c r="Z226" s="150">
        <f t="shared" si="8"/>
        <v>0</v>
      </c>
      <c r="AA226" s="150"/>
      <c r="AB226">
        <f>Z226-VLOOKUP(AA226,'Bag weights'!A$1:B$20,2,FALSE)</f>
        <v>0</v>
      </c>
      <c r="AC226" s="16">
        <v>76.17</v>
      </c>
      <c r="AD226" s="16" t="s">
        <v>276</v>
      </c>
      <c r="AE226">
        <f>AC226-VLOOKUP(AD226,'Bag weights'!A$1:B$20,2,FALSE)</f>
        <v>55.22</v>
      </c>
      <c r="AF226" s="141">
        <v>0.12</v>
      </c>
      <c r="AG226" s="142" t="s">
        <v>302</v>
      </c>
      <c r="AH226" s="143">
        <f>AF226-VLOOKUP(AG226,'Bag weights'!A$1:B$20,2,FALSE)</f>
        <v>0.12</v>
      </c>
      <c r="AI226" s="16"/>
      <c r="AK226">
        <f>AI226-VLOOKUP(AJ226,'Bag weights'!A$1:B$20,2,FALSE)</f>
        <v>0</v>
      </c>
      <c r="AL226" s="16">
        <v>14.35</v>
      </c>
      <c r="AM226" s="16" t="s">
        <v>295</v>
      </c>
      <c r="AN226">
        <f>AL226-VLOOKUP(AM226,'Bag weights'!A$1:B$20,2,FALSE)</f>
        <v>6.52</v>
      </c>
      <c r="AO226" s="16"/>
      <c r="AQ226">
        <f>AO226-VLOOKUP(AP226,'Bag weights'!A$1:B$20,2,FALSE)</f>
        <v>0</v>
      </c>
      <c r="AT226">
        <f>AR226-VLOOKUP(AS226,'Bag weights'!A$1:B$20,2,FALSE)</f>
        <v>0</v>
      </c>
      <c r="AU226" s="141">
        <v>0.45</v>
      </c>
      <c r="AV226" s="142" t="s">
        <v>302</v>
      </c>
      <c r="AW226" s="143">
        <f>AU226-VLOOKUP(AV226,'Bag weights'!A$1:B$20,2,FALSE)</f>
        <v>0.45</v>
      </c>
      <c r="AX226">
        <f t="shared" si="3"/>
        <v>67.05</v>
      </c>
      <c r="BD226" s="120">
        <v>13.8</v>
      </c>
      <c r="BH226" s="151">
        <v>1.41</v>
      </c>
    </row>
    <row r="227" spans="1:60">
      <c r="A227" s="87"/>
      <c r="B227" s="87"/>
      <c r="C227" s="87">
        <v>3</v>
      </c>
      <c r="D227" s="87" t="s">
        <v>87</v>
      </c>
      <c r="E227" s="2"/>
      <c r="F227" s="2"/>
      <c r="G227" s="2"/>
      <c r="H227" s="148"/>
      <c r="I227" s="148"/>
      <c r="J227">
        <f>H227-VLOOKUP(I227,'Bag weights'!A:B,2,FALSE)</f>
        <v>0</v>
      </c>
      <c r="K227" s="148"/>
      <c r="L227" s="148"/>
      <c r="M227">
        <f>K227-VLOOKUP(L227,'Bag weights'!A$1:B$20,2,FALSE)</f>
        <v>0</v>
      </c>
      <c r="N227" s="148"/>
      <c r="O227" s="149"/>
      <c r="P227">
        <f>N227-VLOOKUP(O227,'Bag weights'!A$1:B$20,2,FALSE)</f>
        <v>0</v>
      </c>
      <c r="Q227" s="148"/>
      <c r="R227" s="148"/>
      <c r="S227">
        <f>Q227-VLOOKUP(R227,'Bag weights'!A$1:B$20,2,FALSE)</f>
        <v>0</v>
      </c>
      <c r="T227" s="16">
        <v>10.33</v>
      </c>
      <c r="U227" s="16" t="s">
        <v>295</v>
      </c>
      <c r="V227">
        <f>T227-VLOOKUP(U227,'Bag weights'!A$1:B$20,2,FALSE)</f>
        <v>2.5</v>
      </c>
      <c r="W227" s="150">
        <f t="shared" si="6"/>
        <v>0</v>
      </c>
      <c r="X227" s="150"/>
      <c r="Y227">
        <f>W227-VLOOKUP(X227,'Bag weights'!A$1:B$20,2,FALSE)</f>
        <v>0</v>
      </c>
      <c r="Z227" s="150">
        <f t="shared" si="8"/>
        <v>0</v>
      </c>
      <c r="AA227" s="150"/>
      <c r="AB227">
        <f>Z227-VLOOKUP(AA227,'Bag weights'!A$1:B$20,2,FALSE)</f>
        <v>0</v>
      </c>
      <c r="AC227" s="16">
        <v>60.68</v>
      </c>
      <c r="AD227" s="16" t="s">
        <v>276</v>
      </c>
      <c r="AE227">
        <f>AC227-VLOOKUP(AD227,'Bag weights'!A$1:B$20,2,FALSE)</f>
        <v>39.730000000000004</v>
      </c>
      <c r="AF227" s="146">
        <v>4.01</v>
      </c>
      <c r="AG227" s="146" t="s">
        <v>296</v>
      </c>
      <c r="AH227" s="143">
        <f>AF227-VLOOKUP(AG227,'Bag weights'!A$1:B$20,2,FALSE)</f>
        <v>1.5199999999999996</v>
      </c>
      <c r="AI227" s="16"/>
      <c r="AK227">
        <f>AI227-VLOOKUP(AJ227,'Bag weights'!A$1:B$20,2,FALSE)</f>
        <v>0</v>
      </c>
      <c r="AL227" s="16">
        <v>27.29</v>
      </c>
      <c r="AM227" s="16" t="s">
        <v>295</v>
      </c>
      <c r="AN227">
        <f>AL227-VLOOKUP(AM227,'Bag weights'!A$1:B$20,2,FALSE)</f>
        <v>19.46</v>
      </c>
      <c r="AO227" s="141">
        <v>0.46</v>
      </c>
      <c r="AP227" s="142" t="s">
        <v>302</v>
      </c>
      <c r="AQ227" s="143">
        <f>AO227-VLOOKUP(AP227,'Bag weights'!A$1:B$20,2,FALSE)</f>
        <v>0.46</v>
      </c>
      <c r="AT227">
        <f>AR227-VLOOKUP(AS227,'Bag weights'!A$1:B$20,2,FALSE)</f>
        <v>0</v>
      </c>
      <c r="AU227" s="146">
        <v>4.34</v>
      </c>
      <c r="AV227" s="146" t="s">
        <v>296</v>
      </c>
      <c r="AW227" s="143">
        <f>AU227-VLOOKUP(AV227,'Bag weights'!A$1:B$20,2,FALSE)</f>
        <v>1.8499999999999996</v>
      </c>
      <c r="AX227">
        <f t="shared" si="3"/>
        <v>63.67</v>
      </c>
      <c r="BD227" s="120">
        <v>21.4</v>
      </c>
      <c r="BH227" s="151">
        <v>1.44</v>
      </c>
    </row>
    <row r="228" spans="1:60">
      <c r="A228" s="87"/>
      <c r="B228" s="87"/>
      <c r="C228" s="87">
        <v>3</v>
      </c>
      <c r="D228" s="87" t="s">
        <v>79</v>
      </c>
      <c r="E228" s="2"/>
      <c r="F228" s="2"/>
      <c r="G228" s="2"/>
      <c r="H228" s="148"/>
      <c r="I228" s="148"/>
      <c r="J228">
        <f>H228-VLOOKUP(I228,'Bag weights'!A:B,2,FALSE)</f>
        <v>0</v>
      </c>
      <c r="K228" s="148"/>
      <c r="L228" s="148"/>
      <c r="M228">
        <f>K228-VLOOKUP(L228,'Bag weights'!A$1:B$20,2,FALSE)</f>
        <v>0</v>
      </c>
      <c r="N228" s="148"/>
      <c r="O228" s="149"/>
      <c r="P228">
        <f>N228-VLOOKUP(O228,'Bag weights'!A$1:B$20,2,FALSE)</f>
        <v>0</v>
      </c>
      <c r="Q228" s="148"/>
      <c r="R228" s="148"/>
      <c r="S228">
        <f>Q228-VLOOKUP(R228,'Bag weights'!A$1:B$20,2,FALSE)</f>
        <v>0</v>
      </c>
      <c r="T228" s="16">
        <v>9.33</v>
      </c>
      <c r="U228" s="16" t="s">
        <v>295</v>
      </c>
      <c r="V228">
        <f>T228-VLOOKUP(U228,'Bag weights'!A$1:B$20,2,FALSE)</f>
        <v>1.5</v>
      </c>
      <c r="W228" s="150">
        <f t="shared" si="6"/>
        <v>0</v>
      </c>
      <c r="X228" s="150"/>
      <c r="Y228">
        <f>W228-VLOOKUP(X228,'Bag weights'!A$1:B$20,2,FALSE)</f>
        <v>0</v>
      </c>
      <c r="Z228" s="150">
        <f t="shared" ref="Z228:Z229" si="9">Z226</f>
        <v>0</v>
      </c>
      <c r="AA228" s="150"/>
      <c r="AB228">
        <f>Z228-VLOOKUP(AA228,'Bag weights'!A$1:B$20,2,FALSE)</f>
        <v>0</v>
      </c>
      <c r="AC228" s="16">
        <v>69.02</v>
      </c>
      <c r="AD228" s="16" t="s">
        <v>276</v>
      </c>
      <c r="AE228">
        <f>AC228-VLOOKUP(AD228,'Bag weights'!A$1:B$20,2,FALSE)</f>
        <v>48.069999999999993</v>
      </c>
      <c r="AF228" s="146">
        <v>3.41</v>
      </c>
      <c r="AG228" s="146" t="s">
        <v>296</v>
      </c>
      <c r="AH228" s="143">
        <f>AF228-VLOOKUP(AG228,'Bag weights'!A$1:B$20,2,FALSE)</f>
        <v>0.91999999999999993</v>
      </c>
      <c r="AI228" s="16"/>
      <c r="AK228">
        <f>AI228-VLOOKUP(AJ228,'Bag weights'!A$1:B$20,2,FALSE)</f>
        <v>0</v>
      </c>
      <c r="AL228" s="16">
        <v>23.38</v>
      </c>
      <c r="AM228" s="16" t="s">
        <v>295</v>
      </c>
      <c r="AN228">
        <f>AL228-VLOOKUP(AM228,'Bag weights'!A$1:B$20,2,FALSE)</f>
        <v>15.549999999999999</v>
      </c>
      <c r="AO228" s="141">
        <v>0.12</v>
      </c>
      <c r="AP228" s="142" t="s">
        <v>302</v>
      </c>
      <c r="AQ228" s="143">
        <f>AO228-VLOOKUP(AP228,'Bag weights'!A$1:B$20,2,FALSE)</f>
        <v>0.12</v>
      </c>
      <c r="AT228">
        <f>AR228-VLOOKUP(AS228,'Bag weights'!A$1:B$20,2,FALSE)</f>
        <v>0</v>
      </c>
      <c r="AU228" s="141">
        <v>0.56999999999999995</v>
      </c>
      <c r="AV228" s="142" t="s">
        <v>302</v>
      </c>
      <c r="AW228" s="143">
        <f>AU228-VLOOKUP(AV228,'Bag weights'!A$1:B$20,2,FALSE)</f>
        <v>0.56999999999999995</v>
      </c>
      <c r="AX228">
        <f t="shared" si="3"/>
        <v>66.16</v>
      </c>
      <c r="BD228" s="120">
        <v>7.2</v>
      </c>
      <c r="BH228" s="151">
        <v>1.0900000000000001</v>
      </c>
    </row>
    <row r="229" spans="1:60">
      <c r="A229" s="87"/>
      <c r="B229" s="87"/>
      <c r="C229" s="87">
        <v>3</v>
      </c>
      <c r="D229" s="87" t="s">
        <v>88</v>
      </c>
      <c r="E229" s="2"/>
      <c r="F229" s="2"/>
      <c r="G229" s="2"/>
      <c r="H229" s="148"/>
      <c r="I229" s="148"/>
      <c r="J229">
        <f>H229-VLOOKUP(I229,'Bag weights'!A:B,2,FALSE)</f>
        <v>0</v>
      </c>
      <c r="K229" s="148"/>
      <c r="L229" s="148"/>
      <c r="M229">
        <f>K229-VLOOKUP(L229,'Bag weights'!A$1:B$20,2,FALSE)</f>
        <v>0</v>
      </c>
      <c r="N229" s="148"/>
      <c r="O229" s="149"/>
      <c r="P229">
        <f>N229-VLOOKUP(O229,'Bag weights'!A$1:B$20,2,FALSE)</f>
        <v>0</v>
      </c>
      <c r="Q229" s="148"/>
      <c r="R229" s="148"/>
      <c r="S229">
        <f>Q229-VLOOKUP(R229,'Bag weights'!A$1:B$20,2,FALSE)</f>
        <v>0</v>
      </c>
      <c r="T229" s="16">
        <v>8.83</v>
      </c>
      <c r="U229" s="16" t="s">
        <v>295</v>
      </c>
      <c r="V229">
        <f>T229-VLOOKUP(U229,'Bag weights'!A$1:B$20,2,FALSE)</f>
        <v>1</v>
      </c>
      <c r="W229" s="150">
        <f t="shared" si="6"/>
        <v>0</v>
      </c>
      <c r="X229" s="150"/>
      <c r="Y229">
        <f>W229-VLOOKUP(X229,'Bag weights'!A$1:B$20,2,FALSE)</f>
        <v>0</v>
      </c>
      <c r="Z229" s="150">
        <f t="shared" si="9"/>
        <v>0</v>
      </c>
      <c r="AA229" s="150"/>
      <c r="AB229">
        <f>Z229-VLOOKUP(AA229,'Bag weights'!A$1:B$20,2,FALSE)</f>
        <v>0</v>
      </c>
      <c r="AC229" s="16">
        <v>71.84</v>
      </c>
      <c r="AD229" s="16" t="s">
        <v>276</v>
      </c>
      <c r="AE229">
        <f>AC229-VLOOKUP(AD229,'Bag weights'!A$1:B$20,2,FALSE)</f>
        <v>50.89</v>
      </c>
      <c r="AF229" s="16"/>
      <c r="AH229">
        <f>AF229-VLOOKUP(AG229,'Bag weights'!A$1:B$20,2,FALSE)</f>
        <v>0</v>
      </c>
      <c r="AI229" s="16"/>
      <c r="AK229">
        <f>AI229-VLOOKUP(AJ229,'Bag weights'!A$1:B$20,2,FALSE)</f>
        <v>0</v>
      </c>
      <c r="AL229" s="16">
        <v>10.119999999999999</v>
      </c>
      <c r="AM229" s="16" t="s">
        <v>295</v>
      </c>
      <c r="AN229">
        <f>AL229-VLOOKUP(AM229,'Bag weights'!A$1:B$20,2,FALSE)</f>
        <v>2.2899999999999991</v>
      </c>
      <c r="AO229" s="16"/>
      <c r="AQ229">
        <f>AO229-VLOOKUP(AP229,'Bag weights'!A$1:B$20,2,FALSE)</f>
        <v>0</v>
      </c>
      <c r="AT229">
        <f>AR229-VLOOKUP(AS229,'Bag weights'!A$1:B$20,2,FALSE)</f>
        <v>0</v>
      </c>
      <c r="AU229" s="141">
        <v>0.6</v>
      </c>
      <c r="AV229" s="142" t="s">
        <v>302</v>
      </c>
      <c r="AW229" s="143">
        <f>AU229-VLOOKUP(AV229,'Bag weights'!A$1:B$20,2,FALSE)</f>
        <v>0.6</v>
      </c>
      <c r="AX229">
        <f t="shared" si="3"/>
        <v>54.18</v>
      </c>
      <c r="BD229" s="120">
        <v>7.3</v>
      </c>
      <c r="BH229" s="151">
        <v>0.77</v>
      </c>
    </row>
    <row r="230" spans="1:60">
      <c r="A230" s="87"/>
      <c r="B230" s="87"/>
      <c r="C230" s="87">
        <v>4</v>
      </c>
      <c r="D230" s="87" t="s">
        <v>83</v>
      </c>
      <c r="E230" s="2"/>
      <c r="F230" s="2"/>
      <c r="G230" s="2"/>
      <c r="H230" s="148"/>
      <c r="I230" s="148"/>
      <c r="J230">
        <f>H230-VLOOKUP(I230,'Bag weights'!A:B,2,FALSE)</f>
        <v>0</v>
      </c>
      <c r="K230" s="148"/>
      <c r="L230" s="148"/>
      <c r="M230">
        <f>K230-VLOOKUP(L230,'Bag weights'!A$1:B$20,2,FALSE)</f>
        <v>0</v>
      </c>
      <c r="N230" s="148"/>
      <c r="O230" s="149"/>
      <c r="P230">
        <f>N230-VLOOKUP(O230,'Bag weights'!A$1:B$20,2,FALSE)</f>
        <v>0</v>
      </c>
      <c r="Q230" s="148"/>
      <c r="R230" s="148"/>
      <c r="S230">
        <f>Q230-VLOOKUP(R230,'Bag weights'!A$1:B$20,2,FALSE)</f>
        <v>0</v>
      </c>
      <c r="T230" s="141">
        <v>0.4</v>
      </c>
      <c r="U230" s="142" t="s">
        <v>302</v>
      </c>
      <c r="V230" s="143">
        <f>T230-VLOOKUP(U230,'Bag weights'!A$1:B$20,2,FALSE)</f>
        <v>0.4</v>
      </c>
      <c r="W230" s="150">
        <f t="shared" si="6"/>
        <v>0</v>
      </c>
      <c r="X230" s="150"/>
      <c r="Y230">
        <f>W230-VLOOKUP(X230,'Bag weights'!A$1:B$20,2,FALSE)</f>
        <v>0</v>
      </c>
      <c r="Z230" s="150">
        <f>Z227</f>
        <v>0</v>
      </c>
      <c r="AA230" s="150"/>
      <c r="AB230">
        <f>Z230-VLOOKUP(AA230,'Bag weights'!A$1:B$20,2,FALSE)</f>
        <v>0</v>
      </c>
      <c r="AC230" s="16">
        <v>79.37</v>
      </c>
      <c r="AD230" s="16" t="s">
        <v>276</v>
      </c>
      <c r="AE230">
        <f>AC230-VLOOKUP(AD230,'Bag weights'!A$1:B$20,2,FALSE)</f>
        <v>58.42</v>
      </c>
      <c r="AF230" s="16"/>
      <c r="AH230">
        <f>AF230-VLOOKUP(AG230,'Bag weights'!A$1:B$20,2,FALSE)</f>
        <v>0</v>
      </c>
      <c r="AI230" s="16"/>
      <c r="AK230">
        <f>AI230-VLOOKUP(AJ230,'Bag weights'!A$1:B$20,2,FALSE)</f>
        <v>0</v>
      </c>
      <c r="AL230" s="16">
        <v>12.62</v>
      </c>
      <c r="AM230" s="16" t="s">
        <v>295</v>
      </c>
      <c r="AN230">
        <f>AL230-VLOOKUP(AM230,'Bag weights'!A$1:B$20,2,FALSE)</f>
        <v>4.7899999999999991</v>
      </c>
      <c r="AO230" s="16"/>
      <c r="AQ230">
        <f>AO230-VLOOKUP(AP230,'Bag weights'!A$1:B$20,2,FALSE)</f>
        <v>0</v>
      </c>
      <c r="AS230" s="16"/>
      <c r="AT230">
        <f>AR230-VLOOKUP(AS230,'Bag weights'!A$1:B$20,2,FALSE)</f>
        <v>0</v>
      </c>
      <c r="AU230" s="146">
        <v>3.39</v>
      </c>
      <c r="AV230" s="146" t="s">
        <v>298</v>
      </c>
      <c r="AW230" s="143">
        <f>AU230-VLOOKUP(AV230,'Bag weights'!A$1:B$20,2,FALSE)</f>
        <v>1.9900000000000002</v>
      </c>
      <c r="AX230">
        <f t="shared" si="3"/>
        <v>63.61</v>
      </c>
      <c r="BD230" s="120">
        <v>3.9</v>
      </c>
      <c r="BH230" s="151">
        <v>0.74</v>
      </c>
    </row>
    <row r="231" spans="1:60">
      <c r="A231" s="87"/>
      <c r="B231" s="87"/>
      <c r="C231" s="87">
        <v>4</v>
      </c>
      <c r="D231" s="87" t="s">
        <v>85</v>
      </c>
      <c r="E231" s="2"/>
      <c r="F231" s="2"/>
      <c r="G231" s="2"/>
      <c r="H231" s="148"/>
      <c r="I231" s="148"/>
      <c r="J231">
        <f>H231-VLOOKUP(I231,'Bag weights'!A:B,2,FALSE)</f>
        <v>0</v>
      </c>
      <c r="K231" s="148"/>
      <c r="L231" s="148"/>
      <c r="M231">
        <f>K231-VLOOKUP(L231,'Bag weights'!A$1:B$20,2,FALSE)</f>
        <v>0</v>
      </c>
      <c r="N231" s="148"/>
      <c r="O231" s="149"/>
      <c r="P231">
        <f>N231-VLOOKUP(O231,'Bag weights'!A$1:B$20,2,FALSE)</f>
        <v>0</v>
      </c>
      <c r="Q231" s="148"/>
      <c r="R231" s="148"/>
      <c r="S231">
        <f>Q231-VLOOKUP(R231,'Bag weights'!A$1:B$20,2,FALSE)</f>
        <v>0</v>
      </c>
      <c r="T231" s="141">
        <v>0.08</v>
      </c>
      <c r="U231" s="142" t="s">
        <v>302</v>
      </c>
      <c r="V231" s="143">
        <f>T231-VLOOKUP(U231,'Bag weights'!A$1:B$20,2,FALSE)</f>
        <v>0.08</v>
      </c>
      <c r="W231" s="150">
        <f t="shared" si="6"/>
        <v>0</v>
      </c>
      <c r="X231" s="150"/>
      <c r="Y231">
        <f>W231-VLOOKUP(X231,'Bag weights'!A$1:B$20,2,FALSE)</f>
        <v>0</v>
      </c>
      <c r="Z231" s="150">
        <f>Z227</f>
        <v>0</v>
      </c>
      <c r="AA231" s="150"/>
      <c r="AB231">
        <f>Z231-VLOOKUP(AA231,'Bag weights'!A$1:B$20,2,FALSE)</f>
        <v>0</v>
      </c>
      <c r="AC231" s="16">
        <v>89.18</v>
      </c>
      <c r="AD231" s="16" t="s">
        <v>276</v>
      </c>
      <c r="AE231">
        <f>AC231-VLOOKUP(AD231,'Bag weights'!A$1:B$20,2,FALSE)</f>
        <v>68.23</v>
      </c>
      <c r="AF231" s="141">
        <v>0.21</v>
      </c>
      <c r="AG231" s="142" t="s">
        <v>302</v>
      </c>
      <c r="AH231" s="143">
        <f>AF231-VLOOKUP(AG231,'Bag weights'!A$1:B$20,2,FALSE)</f>
        <v>0.21</v>
      </c>
      <c r="AI231" s="16"/>
      <c r="AK231">
        <f>AI231-VLOOKUP(AJ231,'Bag weights'!A$1:B$20,2,FALSE)</f>
        <v>0</v>
      </c>
      <c r="AL231" s="16">
        <v>10.37</v>
      </c>
      <c r="AM231" s="16" t="s">
        <v>295</v>
      </c>
      <c r="AN231">
        <f>AL231-VLOOKUP(AM231,'Bag weights'!A$1:B$20,2,FALSE)</f>
        <v>2.5399999999999991</v>
      </c>
      <c r="AO231" s="16"/>
      <c r="AQ231">
        <f>AO231-VLOOKUP(AP231,'Bag weights'!A$1:B$20,2,FALSE)</f>
        <v>0</v>
      </c>
      <c r="AT231">
        <f>AR231-VLOOKUP(AS231,'Bag weights'!A$1:B$20,2,FALSE)</f>
        <v>0</v>
      </c>
      <c r="AU231" s="141">
        <v>0.42</v>
      </c>
      <c r="AV231" s="142" t="s">
        <v>302</v>
      </c>
      <c r="AW231" s="143">
        <f>AU231-VLOOKUP(AV231,'Bag weights'!A$1:B$20,2,FALSE)</f>
        <v>0.42</v>
      </c>
      <c r="AX231">
        <f t="shared" si="3"/>
        <v>71.06</v>
      </c>
      <c r="BD231" s="120">
        <v>7.2</v>
      </c>
      <c r="BH231" s="152"/>
    </row>
    <row r="232" spans="1:60">
      <c r="A232" s="87"/>
      <c r="B232" s="87"/>
      <c r="C232" s="87">
        <v>4</v>
      </c>
      <c r="D232" s="87" t="s">
        <v>87</v>
      </c>
      <c r="E232" s="2"/>
      <c r="F232" s="2"/>
      <c r="G232" s="2"/>
      <c r="H232" s="148"/>
      <c r="I232" s="148"/>
      <c r="J232">
        <f>H232-VLOOKUP(I232,'Bag weights'!A:B,2,FALSE)</f>
        <v>0</v>
      </c>
      <c r="K232" s="148"/>
      <c r="L232" s="148"/>
      <c r="M232">
        <f>K232-VLOOKUP(L232,'Bag weights'!A$1:B$20,2,FALSE)</f>
        <v>0</v>
      </c>
      <c r="N232" s="148"/>
      <c r="O232" s="149"/>
      <c r="P232">
        <f>N232-VLOOKUP(O232,'Bag weights'!A$1:B$20,2,FALSE)</f>
        <v>0</v>
      </c>
      <c r="Q232" s="148"/>
      <c r="R232" s="148"/>
      <c r="S232">
        <f>Q232-VLOOKUP(R232,'Bag weights'!A$1:B$20,2,FALSE)</f>
        <v>0</v>
      </c>
      <c r="T232" s="146">
        <v>3.35</v>
      </c>
      <c r="U232" s="146" t="s">
        <v>296</v>
      </c>
      <c r="V232" s="143">
        <f>T232-VLOOKUP(U232,'Bag weights'!A$1:B$20,2,FALSE)</f>
        <v>0.85999999999999988</v>
      </c>
      <c r="W232" s="150">
        <f t="shared" si="6"/>
        <v>0</v>
      </c>
      <c r="X232" s="150"/>
      <c r="Y232">
        <f>W232-VLOOKUP(X232,'Bag weights'!A$1:B$20,2,FALSE)</f>
        <v>0</v>
      </c>
      <c r="Z232" s="150">
        <f t="shared" ref="Z232:Z233" si="10">Z227</f>
        <v>0</v>
      </c>
      <c r="AA232" s="150"/>
      <c r="AB232">
        <f>Z232-VLOOKUP(AA232,'Bag weights'!A$1:B$20,2,FALSE)</f>
        <v>0</v>
      </c>
      <c r="AC232" s="16">
        <v>80.09</v>
      </c>
      <c r="AD232" s="16" t="s">
        <v>276</v>
      </c>
      <c r="AE232">
        <f>AC232-VLOOKUP(AD232,'Bag weights'!A$1:B$20,2,FALSE)</f>
        <v>59.14</v>
      </c>
      <c r="AF232" s="16"/>
      <c r="AH232">
        <f>AF232-VLOOKUP(AG232,'Bag weights'!A$1:B$20,2,FALSE)</f>
        <v>0</v>
      </c>
      <c r="AI232" s="16"/>
      <c r="AK232">
        <f>AI232-VLOOKUP(AJ232,'Bag weights'!A$1:B$20,2,FALSE)</f>
        <v>0</v>
      </c>
      <c r="AL232" s="146">
        <v>4.08</v>
      </c>
      <c r="AM232" s="146" t="s">
        <v>296</v>
      </c>
      <c r="AN232" s="143">
        <f>AL232-VLOOKUP(AM232,'Bag weights'!A$1:B$20,2,FALSE)</f>
        <v>1.5899999999999999</v>
      </c>
      <c r="AO232" s="141">
        <v>0.42</v>
      </c>
      <c r="AP232" s="142" t="s">
        <v>302</v>
      </c>
      <c r="AQ232" s="143">
        <f>AO232-VLOOKUP(AP232,'Bag weights'!A$1:B$20,2,FALSE)</f>
        <v>0.42</v>
      </c>
      <c r="AT232">
        <f>AR232-VLOOKUP(AS232,'Bag weights'!A$1:B$20,2,FALSE)</f>
        <v>0</v>
      </c>
      <c r="AU232" s="146">
        <v>3.78</v>
      </c>
      <c r="AV232" s="146" t="s">
        <v>296</v>
      </c>
      <c r="AW232" s="143">
        <f>AU232-VLOOKUP(AV232,'Bag weights'!A$1:B$20,2,FALSE)</f>
        <v>1.2899999999999996</v>
      </c>
      <c r="AX232">
        <f t="shared" si="3"/>
        <v>62.01</v>
      </c>
      <c r="BD232" s="120">
        <v>6.1</v>
      </c>
      <c r="BH232" s="151">
        <v>0.93</v>
      </c>
    </row>
    <row r="233" spans="1:60">
      <c r="A233" s="87"/>
      <c r="B233" s="87"/>
      <c r="C233" s="87">
        <v>4</v>
      </c>
      <c r="D233" s="87" t="s">
        <v>79</v>
      </c>
      <c r="E233" s="2"/>
      <c r="F233" s="2"/>
      <c r="G233" s="2"/>
      <c r="H233" s="148"/>
      <c r="I233" s="148"/>
      <c r="J233">
        <f>H233-VLOOKUP(I233,'Bag weights'!A:B,2,FALSE)</f>
        <v>0</v>
      </c>
      <c r="K233" s="148"/>
      <c r="L233" s="148"/>
      <c r="M233">
        <f>K233-VLOOKUP(L233,'Bag weights'!A$1:B$20,2,FALSE)</f>
        <v>0</v>
      </c>
      <c r="N233" s="148"/>
      <c r="O233" s="149"/>
      <c r="P233">
        <f>N233-VLOOKUP(O233,'Bag weights'!A$1:B$20,2,FALSE)</f>
        <v>0</v>
      </c>
      <c r="Q233" s="148"/>
      <c r="R233" s="148"/>
      <c r="S233">
        <f>Q233-VLOOKUP(R233,'Bag weights'!A$1:B$20,2,FALSE)</f>
        <v>0</v>
      </c>
      <c r="T233" s="16">
        <v>9.9700000000000006</v>
      </c>
      <c r="U233" s="16" t="s">
        <v>295</v>
      </c>
      <c r="V233">
        <f>T233-VLOOKUP(U233,'Bag weights'!A$1:B$20,2,FALSE)</f>
        <v>2.1400000000000006</v>
      </c>
      <c r="W233" s="150">
        <f t="shared" si="6"/>
        <v>0</v>
      </c>
      <c r="X233" s="150"/>
      <c r="Y233">
        <f>W233-VLOOKUP(X233,'Bag weights'!A$1:B$20,2,FALSE)</f>
        <v>0</v>
      </c>
      <c r="Z233" s="150">
        <f t="shared" si="10"/>
        <v>0</v>
      </c>
      <c r="AA233" s="150"/>
      <c r="AB233">
        <f>Z233-VLOOKUP(AA233,'Bag weights'!A$1:B$20,2,FALSE)</f>
        <v>0</v>
      </c>
      <c r="AC233" s="16">
        <v>67.430000000000007</v>
      </c>
      <c r="AD233" s="16" t="s">
        <v>276</v>
      </c>
      <c r="AE233">
        <f>AC233-VLOOKUP(AD233,'Bag weights'!A$1:B$20,2,FALSE)</f>
        <v>46.480000000000004</v>
      </c>
      <c r="AF233" s="16"/>
      <c r="AH233">
        <f>AF233-VLOOKUP(AG233,'Bag weights'!A$1:B$20,2,FALSE)</f>
        <v>0</v>
      </c>
      <c r="AI233" s="16"/>
      <c r="AK233">
        <f>AI233-VLOOKUP(AJ233,'Bag weights'!A$1:B$20,2,FALSE)</f>
        <v>0</v>
      </c>
      <c r="AL233" s="16">
        <v>12.77</v>
      </c>
      <c r="AM233" s="16" t="s">
        <v>295</v>
      </c>
      <c r="AN233">
        <f>AL233-VLOOKUP(AM233,'Bag weights'!A$1:B$20,2,FALSE)</f>
        <v>4.9399999999999995</v>
      </c>
      <c r="AO233" s="16"/>
      <c r="AQ233">
        <f>AO233-VLOOKUP(AP233,'Bag weights'!A$1:B$20,2,FALSE)</f>
        <v>0</v>
      </c>
      <c r="AT233">
        <f>AR233-VLOOKUP(AS233,'Bag weights'!A$1:B$20,2,FALSE)</f>
        <v>0</v>
      </c>
      <c r="AU233" s="146">
        <v>3.62</v>
      </c>
      <c r="AV233" s="146" t="s">
        <v>296</v>
      </c>
      <c r="AW233" s="143">
        <f>AU233-VLOOKUP(AV233,'Bag weights'!A$1:B$20,2,FALSE)</f>
        <v>1.1299999999999999</v>
      </c>
      <c r="AX233">
        <f t="shared" si="3"/>
        <v>53.56</v>
      </c>
      <c r="BD233" s="120">
        <v>5.2</v>
      </c>
      <c r="BH233" s="151">
        <v>1.35</v>
      </c>
    </row>
    <row r="234" spans="1:60">
      <c r="A234" s="87"/>
      <c r="B234" s="87"/>
      <c r="C234" s="87">
        <v>4</v>
      </c>
      <c r="D234" s="87" t="s">
        <v>88</v>
      </c>
      <c r="E234" s="2"/>
      <c r="F234" s="2"/>
      <c r="G234" s="2"/>
      <c r="H234" s="148"/>
      <c r="I234" s="148"/>
      <c r="J234">
        <f>H234-VLOOKUP(I234,'Bag weights'!A:B,2,FALSE)</f>
        <v>0</v>
      </c>
      <c r="K234" s="148"/>
      <c r="L234" s="148"/>
      <c r="M234">
        <f>K234-VLOOKUP(L234,'Bag weights'!A$1:B$20,2,FALSE)</f>
        <v>0</v>
      </c>
      <c r="N234" s="148"/>
      <c r="O234" s="149"/>
      <c r="P234">
        <f>N234-VLOOKUP(O234,'Bag weights'!A$1:B$20,2,FALSE)</f>
        <v>0</v>
      </c>
      <c r="Q234" s="148"/>
      <c r="R234" s="148"/>
      <c r="S234">
        <f>Q234-VLOOKUP(R234,'Bag weights'!A$1:B$20,2,FALSE)</f>
        <v>0</v>
      </c>
      <c r="T234" s="16">
        <v>9.84</v>
      </c>
      <c r="U234" s="16" t="s">
        <v>295</v>
      </c>
      <c r="V234">
        <f>T234-VLOOKUP(U234,'Bag weights'!A$1:B$20,2,FALSE)</f>
        <v>2.0099999999999998</v>
      </c>
      <c r="W234" s="150">
        <f t="shared" si="6"/>
        <v>0</v>
      </c>
      <c r="X234" s="150"/>
      <c r="Y234">
        <f>W234-VLOOKUP(X234,'Bag weights'!A$1:B$20,2,FALSE)</f>
        <v>0</v>
      </c>
      <c r="Z234" s="150">
        <f>Z233</f>
        <v>0</v>
      </c>
      <c r="AA234" s="150"/>
      <c r="AB234">
        <f>Z234-VLOOKUP(AA234,'Bag weights'!A$1:B$20,2,FALSE)</f>
        <v>0</v>
      </c>
      <c r="AC234" s="16">
        <v>67.87</v>
      </c>
      <c r="AD234" s="16" t="s">
        <v>276</v>
      </c>
      <c r="AE234">
        <f>AC234-VLOOKUP(AD234,'Bag weights'!A$1:B$20,2,FALSE)</f>
        <v>46.92</v>
      </c>
      <c r="AF234" s="16"/>
      <c r="AH234">
        <f>AF234-VLOOKUP(AG234,'Bag weights'!A$1:B$20,2,FALSE)</f>
        <v>0</v>
      </c>
      <c r="AI234" s="16"/>
      <c r="AK234">
        <f>AI234-VLOOKUP(AJ234,'Bag weights'!A$1:B$20,2,FALSE)</f>
        <v>0</v>
      </c>
      <c r="AL234" s="16">
        <v>15.76</v>
      </c>
      <c r="AM234" s="16" t="s">
        <v>295</v>
      </c>
      <c r="AN234">
        <f>AL234-VLOOKUP(AM234,'Bag weights'!A$1:B$20,2,FALSE)</f>
        <v>7.93</v>
      </c>
      <c r="AO234" s="141">
        <v>0.22</v>
      </c>
      <c r="AP234" s="142" t="s">
        <v>302</v>
      </c>
      <c r="AQ234" s="143">
        <f>AO234-VLOOKUP(AP234,'Bag weights'!A$1:B$20,2,FALSE)</f>
        <v>0.22</v>
      </c>
      <c r="AT234">
        <f>AR234-VLOOKUP(AS234,'Bag weights'!A$1:B$20,2,FALSE)</f>
        <v>0</v>
      </c>
      <c r="AU234" s="146">
        <v>3.31</v>
      </c>
      <c r="AV234" s="146" t="s">
        <v>296</v>
      </c>
      <c r="AW234" s="143">
        <f>AU234-VLOOKUP(AV234,'Bag weights'!A$1:B$20,2,FALSE)</f>
        <v>0.81999999999999984</v>
      </c>
      <c r="AX234">
        <f t="shared" si="3"/>
        <v>57.08</v>
      </c>
      <c r="BD234" s="120">
        <v>11.3</v>
      </c>
      <c r="BH234" s="151">
        <v>0.96</v>
      </c>
    </row>
    <row r="235" spans="1:60">
      <c r="A235" s="2"/>
      <c r="B235" s="2"/>
      <c r="C235" s="2"/>
      <c r="D235" s="2"/>
      <c r="E235" s="2"/>
      <c r="F235" s="2"/>
      <c r="G235" s="2"/>
      <c r="O235" s="122"/>
    </row>
    <row r="236" spans="1:60">
      <c r="A236" s="21" t="s">
        <v>323</v>
      </c>
      <c r="B236" s="21" t="s">
        <v>298</v>
      </c>
      <c r="C236" s="21" t="s">
        <v>296</v>
      </c>
      <c r="D236" s="21" t="s">
        <v>324</v>
      </c>
      <c r="E236" s="21"/>
      <c r="F236" s="21"/>
      <c r="G236" s="21"/>
      <c r="O236" s="122"/>
    </row>
    <row r="237" spans="1:60">
      <c r="A237" s="2"/>
      <c r="B237" s="28">
        <v>1.4</v>
      </c>
      <c r="C237" s="21">
        <v>2.4900000000000002</v>
      </c>
      <c r="D237" s="21">
        <v>7.83</v>
      </c>
      <c r="E237" s="21"/>
      <c r="F237" s="21"/>
      <c r="G237" s="21"/>
      <c r="O237" s="122"/>
      <c r="AH237">
        <f>AF237-VLOOKUP(AG237,'Bag weights'!A$1:B$20,2,FALSE)</f>
        <v>0</v>
      </c>
    </row>
    <row r="238" spans="1:60">
      <c r="A238" s="2"/>
      <c r="B238" s="2"/>
      <c r="C238" s="2"/>
      <c r="D238" s="2"/>
      <c r="E238" s="2"/>
      <c r="F238" s="2"/>
      <c r="G238" s="2"/>
      <c r="O238" s="122"/>
    </row>
    <row r="239" spans="1:60">
      <c r="A239" s="2"/>
      <c r="B239" s="2"/>
      <c r="C239" s="21" t="s">
        <v>327</v>
      </c>
      <c r="D239" s="21" t="s">
        <v>328</v>
      </c>
      <c r="E239" s="21"/>
      <c r="F239" s="21"/>
      <c r="G239" s="21"/>
      <c r="O239" s="122"/>
    </row>
    <row r="240" spans="1:60">
      <c r="A240" s="2"/>
      <c r="B240" s="2"/>
      <c r="C240" s="21" t="s">
        <v>359</v>
      </c>
      <c r="D240" s="21">
        <v>20.95</v>
      </c>
      <c r="E240" s="21"/>
      <c r="F240" s="21"/>
      <c r="G240" s="21"/>
      <c r="O240" s="122"/>
    </row>
    <row r="241" spans="1:15">
      <c r="A241" s="2"/>
      <c r="B241" s="2"/>
      <c r="C241" s="21" t="s">
        <v>360</v>
      </c>
      <c r="D241" s="21"/>
      <c r="E241" s="21"/>
      <c r="F241" s="21"/>
      <c r="G241" s="21"/>
      <c r="O241" s="122"/>
    </row>
    <row r="242" spans="1:15">
      <c r="A242" s="2"/>
      <c r="B242" s="2"/>
      <c r="C242" s="21" t="s">
        <v>361</v>
      </c>
      <c r="D242" s="21">
        <v>7.83</v>
      </c>
      <c r="E242" s="21"/>
      <c r="F242" s="21"/>
      <c r="G242" s="21"/>
      <c r="O242" s="122"/>
    </row>
    <row r="243" spans="1:15">
      <c r="A243" s="2"/>
      <c r="B243" s="2"/>
      <c r="C243" s="21" t="s">
        <v>362</v>
      </c>
      <c r="D243" s="21">
        <v>2.4900000000000002</v>
      </c>
      <c r="E243" s="21"/>
      <c r="F243" s="21"/>
      <c r="G243" s="21"/>
      <c r="O243" s="122"/>
    </row>
    <row r="244" spans="1:15">
      <c r="A244" s="2"/>
      <c r="B244" s="2"/>
      <c r="C244" s="21" t="s">
        <v>363</v>
      </c>
      <c r="D244" s="21">
        <v>1.4</v>
      </c>
      <c r="E244" s="21"/>
      <c r="F244" s="21"/>
      <c r="G244" s="21"/>
      <c r="O244" s="122"/>
    </row>
    <row r="245" spans="1:15" ht="15" customHeight="1">
      <c r="O245" s="122"/>
    </row>
    <row r="246" spans="1:15" ht="15" customHeight="1">
      <c r="O246" s="122"/>
    </row>
    <row r="247" spans="1:15" ht="15" customHeight="1">
      <c r="O247" s="122"/>
    </row>
    <row r="248" spans="1:15" ht="15" customHeight="1">
      <c r="O248" s="122"/>
    </row>
    <row r="249" spans="1:15" ht="15" customHeight="1">
      <c r="O249" s="122"/>
    </row>
    <row r="250" spans="1:15" ht="15" customHeight="1">
      <c r="O250" s="122"/>
    </row>
    <row r="251" spans="1:15" ht="15" customHeight="1">
      <c r="O251" s="122"/>
    </row>
    <row r="252" spans="1:15" ht="15" customHeight="1">
      <c r="O252" s="122"/>
    </row>
    <row r="253" spans="1:15" ht="15" customHeight="1">
      <c r="O253" s="122"/>
    </row>
    <row r="254" spans="1:15" ht="15" customHeight="1">
      <c r="O254" s="122"/>
    </row>
    <row r="255" spans="1:15" ht="15" customHeight="1">
      <c r="O255" s="122"/>
    </row>
    <row r="256" spans="1:15" ht="15" customHeight="1">
      <c r="O256" s="122"/>
    </row>
    <row r="257" spans="15:15" ht="15" customHeight="1">
      <c r="O257" s="122"/>
    </row>
    <row r="258" spans="15:15" ht="15" customHeight="1">
      <c r="O258" s="122"/>
    </row>
    <row r="259" spans="15:15" ht="15" customHeight="1">
      <c r="O259" s="122"/>
    </row>
    <row r="260" spans="15:15" ht="15" customHeight="1">
      <c r="O260" s="122"/>
    </row>
    <row r="261" spans="15:15" ht="15" customHeight="1">
      <c r="O261" s="122"/>
    </row>
    <row r="262" spans="15:15" ht="15" customHeight="1">
      <c r="O262" s="122"/>
    </row>
    <row r="263" spans="15:15" ht="15" customHeight="1">
      <c r="O263" s="122"/>
    </row>
    <row r="264" spans="15:15" ht="15" customHeight="1">
      <c r="O264" s="122"/>
    </row>
    <row r="265" spans="15:15" ht="15" customHeight="1">
      <c r="O265" s="122"/>
    </row>
    <row r="266" spans="15:15" ht="15" customHeight="1">
      <c r="O266" s="122"/>
    </row>
    <row r="267" spans="15:15" ht="15" customHeight="1">
      <c r="O267" s="122"/>
    </row>
    <row r="268" spans="15:15" ht="15" customHeight="1">
      <c r="O268" s="122"/>
    </row>
    <row r="269" spans="15:15" ht="15" customHeight="1">
      <c r="O269" s="122"/>
    </row>
    <row r="270" spans="15:15" ht="15" customHeight="1">
      <c r="O270" s="122"/>
    </row>
    <row r="271" spans="15:15" ht="15" customHeight="1">
      <c r="O271" s="122"/>
    </row>
    <row r="272" spans="15:15" ht="15" customHeight="1">
      <c r="O272" s="122"/>
    </row>
    <row r="273" spans="15:15" ht="15" customHeight="1">
      <c r="O273" s="122"/>
    </row>
    <row r="274" spans="15:15" ht="15" customHeight="1">
      <c r="O274" s="122"/>
    </row>
    <row r="275" spans="15:15" ht="15" customHeight="1">
      <c r="O275" s="122"/>
    </row>
    <row r="276" spans="15:15" ht="15" customHeight="1">
      <c r="O276" s="122"/>
    </row>
    <row r="277" spans="15:15" ht="15" customHeight="1">
      <c r="O277" s="122"/>
    </row>
    <row r="278" spans="15:15" ht="15" customHeight="1">
      <c r="O278" s="122"/>
    </row>
    <row r="279" spans="15:15" ht="15" customHeight="1">
      <c r="O279" s="122"/>
    </row>
    <row r="280" spans="15:15" ht="15" customHeight="1">
      <c r="O280" s="122"/>
    </row>
    <row r="281" spans="15:15" ht="15" customHeight="1">
      <c r="O281" s="122"/>
    </row>
    <row r="282" spans="15:15" ht="15" customHeight="1">
      <c r="O282" s="122"/>
    </row>
    <row r="283" spans="15:15" ht="15" customHeight="1">
      <c r="O283" s="122"/>
    </row>
    <row r="284" spans="15:15" ht="15" customHeight="1">
      <c r="O284" s="122"/>
    </row>
    <row r="285" spans="15:15" ht="15" customHeight="1">
      <c r="O285" s="122"/>
    </row>
    <row r="286" spans="15:15" ht="15" customHeight="1">
      <c r="O286" s="122"/>
    </row>
    <row r="287" spans="15:15" ht="15" customHeight="1">
      <c r="O287" s="122"/>
    </row>
    <row r="288" spans="15:15" ht="15" customHeight="1">
      <c r="O288" s="122"/>
    </row>
    <row r="289" spans="15:15" ht="15" customHeight="1">
      <c r="O289" s="122"/>
    </row>
    <row r="290" spans="15:15" ht="15" customHeight="1">
      <c r="O290" s="122"/>
    </row>
    <row r="291" spans="15:15" ht="15" customHeight="1">
      <c r="O291" s="122"/>
    </row>
    <row r="292" spans="15:15" ht="15" customHeight="1">
      <c r="O292" s="122"/>
    </row>
    <row r="293" spans="15:15" ht="15" customHeight="1">
      <c r="O293" s="122"/>
    </row>
    <row r="294" spans="15:15" ht="15" customHeight="1">
      <c r="O294" s="122"/>
    </row>
    <row r="295" spans="15:15" ht="15" customHeight="1">
      <c r="O295" s="122"/>
    </row>
    <row r="296" spans="15:15" ht="15" customHeight="1">
      <c r="O296" s="122"/>
    </row>
    <row r="297" spans="15:15" ht="15" customHeight="1">
      <c r="O297" s="122"/>
    </row>
    <row r="298" spans="15:15" ht="15" customHeight="1">
      <c r="O298" s="122"/>
    </row>
    <row r="299" spans="15:15" ht="15" customHeight="1">
      <c r="O299" s="122"/>
    </row>
    <row r="300" spans="15:15" ht="15" customHeight="1">
      <c r="O300" s="122"/>
    </row>
    <row r="301" spans="15:15" ht="15" customHeight="1">
      <c r="O301" s="122"/>
    </row>
    <row r="302" spans="15:15" ht="15" customHeight="1">
      <c r="O302" s="122"/>
    </row>
    <row r="303" spans="15:15" ht="15" customHeight="1">
      <c r="O303" s="122"/>
    </row>
    <row r="304" spans="15:15" ht="15" customHeight="1">
      <c r="O304" s="122"/>
    </row>
    <row r="305" spans="15:15" ht="15" customHeight="1">
      <c r="O305" s="122"/>
    </row>
    <row r="306" spans="15:15" ht="15" customHeight="1">
      <c r="O306" s="122"/>
    </row>
    <row r="307" spans="15:15" ht="15" customHeight="1">
      <c r="O307" s="122"/>
    </row>
    <row r="308" spans="15:15" ht="15" customHeight="1">
      <c r="O308" s="122"/>
    </row>
    <row r="309" spans="15:15" ht="15" customHeight="1">
      <c r="O309" s="122"/>
    </row>
    <row r="310" spans="15:15" ht="15" customHeight="1">
      <c r="O310" s="122"/>
    </row>
    <row r="311" spans="15:15" ht="15" customHeight="1">
      <c r="O311" s="122"/>
    </row>
    <row r="312" spans="15:15" ht="15" customHeight="1">
      <c r="O312" s="122"/>
    </row>
    <row r="313" spans="15:15" ht="15" customHeight="1">
      <c r="O313" s="122"/>
    </row>
    <row r="314" spans="15:15" ht="15" customHeight="1">
      <c r="O314" s="122"/>
    </row>
    <row r="315" spans="15:15" ht="15" customHeight="1">
      <c r="O315" s="122"/>
    </row>
    <row r="316" spans="15:15" ht="15" customHeight="1">
      <c r="O316" s="122"/>
    </row>
    <row r="317" spans="15:15" ht="15" customHeight="1">
      <c r="O317" s="122"/>
    </row>
    <row r="318" spans="15:15" ht="15" customHeight="1">
      <c r="O318" s="122"/>
    </row>
    <row r="319" spans="15:15" ht="15" customHeight="1">
      <c r="O319" s="122"/>
    </row>
    <row r="320" spans="15:15" ht="15" customHeight="1">
      <c r="O320" s="122"/>
    </row>
    <row r="321" spans="15:15" ht="15" customHeight="1">
      <c r="O321" s="122"/>
    </row>
    <row r="322" spans="15:15" ht="15" customHeight="1">
      <c r="O322" s="122"/>
    </row>
    <row r="323" spans="15:15" ht="15" customHeight="1">
      <c r="O323" s="122"/>
    </row>
    <row r="324" spans="15:15" ht="15" customHeight="1">
      <c r="O324" s="122"/>
    </row>
    <row r="325" spans="15:15" ht="15" customHeight="1">
      <c r="O325" s="122"/>
    </row>
    <row r="326" spans="15:15" ht="15" customHeight="1">
      <c r="O326" s="122"/>
    </row>
    <row r="327" spans="15:15" ht="15" customHeight="1">
      <c r="O327" s="122"/>
    </row>
    <row r="328" spans="15:15" ht="15" customHeight="1">
      <c r="O328" s="122"/>
    </row>
    <row r="329" spans="15:15" ht="15" customHeight="1">
      <c r="O329" s="122"/>
    </row>
    <row r="330" spans="15:15" ht="15" customHeight="1">
      <c r="O330" s="122"/>
    </row>
    <row r="331" spans="15:15" ht="15" customHeight="1">
      <c r="O331" s="122"/>
    </row>
    <row r="332" spans="15:15" ht="15" customHeight="1">
      <c r="O332" s="122"/>
    </row>
    <row r="333" spans="15:15" ht="15" customHeight="1">
      <c r="O333" s="122"/>
    </row>
    <row r="334" spans="15:15" ht="15" customHeight="1">
      <c r="O334" s="122"/>
    </row>
    <row r="335" spans="15:15" ht="15" customHeight="1">
      <c r="O335" s="122"/>
    </row>
    <row r="336" spans="15:15" ht="15" customHeight="1">
      <c r="O336" s="122"/>
    </row>
    <row r="337" spans="15:15" ht="15" customHeight="1">
      <c r="O337" s="122"/>
    </row>
    <row r="338" spans="15:15" ht="15" customHeight="1">
      <c r="O338" s="122"/>
    </row>
    <row r="339" spans="15:15" ht="15" customHeight="1">
      <c r="O339" s="122"/>
    </row>
    <row r="340" spans="15:15" ht="15" customHeight="1">
      <c r="O340" s="122"/>
    </row>
    <row r="341" spans="15:15" ht="15" customHeight="1">
      <c r="O341" s="122"/>
    </row>
    <row r="342" spans="15:15" ht="15" customHeight="1">
      <c r="O342" s="122"/>
    </row>
    <row r="343" spans="15:15" ht="15" customHeight="1">
      <c r="O343" s="122"/>
    </row>
    <row r="344" spans="15:15" ht="15" customHeight="1">
      <c r="O344" s="122"/>
    </row>
    <row r="345" spans="15:15" ht="15" customHeight="1">
      <c r="O345" s="122"/>
    </row>
    <row r="346" spans="15:15" ht="15" customHeight="1">
      <c r="O346" s="122"/>
    </row>
    <row r="347" spans="15:15" ht="15" customHeight="1">
      <c r="O347" s="122"/>
    </row>
    <row r="348" spans="15:15" ht="15" customHeight="1">
      <c r="O348" s="122"/>
    </row>
    <row r="349" spans="15:15" ht="15" customHeight="1">
      <c r="O349" s="122"/>
    </row>
    <row r="350" spans="15:15" ht="15" customHeight="1">
      <c r="O350" s="122"/>
    </row>
    <row r="351" spans="15:15" ht="15" customHeight="1">
      <c r="O351" s="122"/>
    </row>
    <row r="352" spans="15:15" ht="15" customHeight="1">
      <c r="O352" s="122"/>
    </row>
    <row r="353" spans="15:15" ht="15" customHeight="1">
      <c r="O353" s="122"/>
    </row>
    <row r="354" spans="15:15" ht="15" customHeight="1">
      <c r="O354" s="122"/>
    </row>
    <row r="355" spans="15:15" ht="15" customHeight="1">
      <c r="O355" s="122"/>
    </row>
    <row r="356" spans="15:15" ht="15" customHeight="1">
      <c r="O356" s="122"/>
    </row>
    <row r="357" spans="15:15" ht="15" customHeight="1">
      <c r="O357" s="122"/>
    </row>
    <row r="358" spans="15:15" ht="15" customHeight="1">
      <c r="O358" s="122"/>
    </row>
    <row r="359" spans="15:15" ht="15" customHeight="1">
      <c r="O359" s="122"/>
    </row>
    <row r="360" spans="15:15" ht="15" customHeight="1">
      <c r="O360" s="122"/>
    </row>
    <row r="361" spans="15:15" ht="15" customHeight="1">
      <c r="O361" s="122"/>
    </row>
    <row r="362" spans="15:15" ht="15" customHeight="1">
      <c r="O362" s="122"/>
    </row>
    <row r="363" spans="15:15" ht="15" customHeight="1">
      <c r="O363" s="122"/>
    </row>
    <row r="364" spans="15:15" ht="15" customHeight="1">
      <c r="O364" s="122"/>
    </row>
    <row r="365" spans="15:15" ht="15" customHeight="1">
      <c r="O365" s="122"/>
    </row>
    <row r="366" spans="15:15" ht="15" customHeight="1">
      <c r="O366" s="122"/>
    </row>
    <row r="367" spans="15:15" ht="15" customHeight="1">
      <c r="O367" s="122"/>
    </row>
    <row r="368" spans="15:15" ht="15" customHeight="1">
      <c r="O368" s="122"/>
    </row>
    <row r="369" spans="15:15" ht="15" customHeight="1">
      <c r="O369" s="122"/>
    </row>
    <row r="370" spans="15:15" ht="15" customHeight="1">
      <c r="O370" s="122"/>
    </row>
    <row r="371" spans="15:15" ht="15" customHeight="1">
      <c r="O371" s="122"/>
    </row>
    <row r="372" spans="15:15" ht="15" customHeight="1">
      <c r="O372" s="122"/>
    </row>
    <row r="373" spans="15:15" ht="15" customHeight="1">
      <c r="O373" s="122"/>
    </row>
    <row r="374" spans="15:15" ht="15" customHeight="1">
      <c r="O374" s="122"/>
    </row>
    <row r="375" spans="15:15" ht="15" customHeight="1">
      <c r="O375" s="122"/>
    </row>
    <row r="376" spans="15:15" ht="15" customHeight="1">
      <c r="O376" s="122"/>
    </row>
    <row r="377" spans="15:15" ht="15" customHeight="1">
      <c r="O377" s="122"/>
    </row>
    <row r="378" spans="15:15" ht="15" customHeight="1">
      <c r="O378" s="122"/>
    </row>
    <row r="379" spans="15:15" ht="15" customHeight="1">
      <c r="O379" s="122"/>
    </row>
    <row r="380" spans="15:15" ht="15" customHeight="1">
      <c r="O380" s="122"/>
    </row>
    <row r="381" spans="15:15" ht="15" customHeight="1">
      <c r="O381" s="122"/>
    </row>
    <row r="382" spans="15:15" ht="15" customHeight="1">
      <c r="O382" s="122"/>
    </row>
    <row r="383" spans="15:15" ht="15" customHeight="1">
      <c r="O383" s="122"/>
    </row>
    <row r="384" spans="15:15" ht="15" customHeight="1">
      <c r="O384" s="122"/>
    </row>
    <row r="385" spans="15:15" ht="15" customHeight="1">
      <c r="O385" s="122"/>
    </row>
    <row r="386" spans="15:15" ht="15" customHeight="1">
      <c r="O386" s="122"/>
    </row>
    <row r="387" spans="15:15" ht="15" customHeight="1">
      <c r="O387" s="122"/>
    </row>
    <row r="388" spans="15:15" ht="15" customHeight="1">
      <c r="O388" s="122"/>
    </row>
    <row r="389" spans="15:15" ht="15" customHeight="1">
      <c r="O389" s="122"/>
    </row>
    <row r="390" spans="15:15" ht="15" customHeight="1">
      <c r="O390" s="122"/>
    </row>
    <row r="391" spans="15:15" ht="15" customHeight="1">
      <c r="O391" s="122"/>
    </row>
    <row r="392" spans="15:15" ht="15" customHeight="1">
      <c r="O392" s="122"/>
    </row>
    <row r="393" spans="15:15" ht="15" customHeight="1">
      <c r="O393" s="122"/>
    </row>
    <row r="394" spans="15:15" ht="15" customHeight="1">
      <c r="O394" s="122"/>
    </row>
    <row r="395" spans="15:15" ht="15" customHeight="1">
      <c r="O395" s="122"/>
    </row>
    <row r="396" spans="15:15" ht="15" customHeight="1">
      <c r="O396" s="122"/>
    </row>
    <row r="397" spans="15:15" ht="15" customHeight="1">
      <c r="O397" s="122"/>
    </row>
    <row r="398" spans="15:15" ht="15" customHeight="1">
      <c r="O398" s="122"/>
    </row>
    <row r="399" spans="15:15" ht="15" customHeight="1">
      <c r="O399" s="122"/>
    </row>
    <row r="400" spans="15:15" ht="15" customHeight="1">
      <c r="O400" s="122"/>
    </row>
    <row r="401" spans="15:15" ht="15" customHeight="1">
      <c r="O401" s="122"/>
    </row>
    <row r="402" spans="15:15" ht="15" customHeight="1">
      <c r="O402" s="122"/>
    </row>
    <row r="403" spans="15:15" ht="15" customHeight="1">
      <c r="O403" s="122"/>
    </row>
    <row r="404" spans="15:15" ht="15" customHeight="1">
      <c r="O404" s="122"/>
    </row>
    <row r="405" spans="15:15" ht="15" customHeight="1">
      <c r="O405" s="122"/>
    </row>
    <row r="406" spans="15:15" ht="15" customHeight="1">
      <c r="O406" s="122"/>
    </row>
    <row r="407" spans="15:15" ht="15" customHeight="1">
      <c r="O407" s="122"/>
    </row>
    <row r="408" spans="15:15" ht="15" customHeight="1">
      <c r="O408" s="122"/>
    </row>
    <row r="409" spans="15:15" ht="15" customHeight="1">
      <c r="O409" s="122"/>
    </row>
    <row r="410" spans="15:15" ht="15" customHeight="1">
      <c r="O410" s="122"/>
    </row>
    <row r="411" spans="15:15" ht="15" customHeight="1">
      <c r="O411" s="122"/>
    </row>
    <row r="412" spans="15:15" ht="15" customHeight="1">
      <c r="O412" s="122"/>
    </row>
    <row r="413" spans="15:15" ht="15" customHeight="1">
      <c r="O413" s="122"/>
    </row>
    <row r="414" spans="15:15" ht="15" customHeight="1">
      <c r="O414" s="122"/>
    </row>
    <row r="415" spans="15:15" ht="15" customHeight="1">
      <c r="O415" s="122"/>
    </row>
    <row r="416" spans="15:15" ht="15" customHeight="1">
      <c r="O416" s="122"/>
    </row>
    <row r="417" spans="15:15" ht="15" customHeight="1">
      <c r="O417" s="122"/>
    </row>
    <row r="418" spans="15:15" ht="15" customHeight="1">
      <c r="O418" s="122"/>
    </row>
    <row r="419" spans="15:15" ht="15" customHeight="1">
      <c r="O419" s="122"/>
    </row>
    <row r="420" spans="15:15" ht="15" customHeight="1">
      <c r="O420" s="122"/>
    </row>
    <row r="421" spans="15:15" ht="15" customHeight="1">
      <c r="O421" s="122"/>
    </row>
    <row r="422" spans="15:15" ht="15" customHeight="1">
      <c r="O422" s="122"/>
    </row>
    <row r="423" spans="15:15" ht="15" customHeight="1">
      <c r="O423" s="122"/>
    </row>
    <row r="424" spans="15:15" ht="15" customHeight="1">
      <c r="O424" s="122"/>
    </row>
    <row r="425" spans="15:15" ht="15" customHeight="1">
      <c r="O425" s="122"/>
    </row>
    <row r="426" spans="15:15" ht="15" customHeight="1">
      <c r="O426" s="122"/>
    </row>
    <row r="427" spans="15:15" ht="15" customHeight="1">
      <c r="O427" s="122"/>
    </row>
    <row r="428" spans="15:15" ht="15" customHeight="1">
      <c r="O428" s="122"/>
    </row>
    <row r="429" spans="15:15" ht="15" customHeight="1">
      <c r="O429" s="122"/>
    </row>
    <row r="430" spans="15:15" ht="15" customHeight="1">
      <c r="O430" s="122"/>
    </row>
    <row r="431" spans="15:15" ht="15" customHeight="1">
      <c r="O431" s="122"/>
    </row>
    <row r="432" spans="15:15" ht="15" customHeight="1">
      <c r="O432" s="122"/>
    </row>
    <row r="433" spans="15:15" ht="15" customHeight="1">
      <c r="O433" s="122"/>
    </row>
    <row r="434" spans="15:15" ht="15" customHeight="1">
      <c r="O434" s="122"/>
    </row>
    <row r="435" spans="15:15" ht="15" customHeight="1">
      <c r="O435" s="122"/>
    </row>
    <row r="436" spans="15:15" ht="15" customHeight="1">
      <c r="O436" s="122"/>
    </row>
    <row r="437" spans="15:15" ht="15" customHeight="1">
      <c r="O437" s="122"/>
    </row>
    <row r="438" spans="15:15" ht="15" customHeight="1">
      <c r="O438" s="122"/>
    </row>
    <row r="439" spans="15:15" ht="15" customHeight="1">
      <c r="O439" s="122"/>
    </row>
    <row r="440" spans="15:15" ht="15" customHeight="1">
      <c r="O440" s="122"/>
    </row>
    <row r="441" spans="15:15" ht="15" customHeight="1">
      <c r="O441" s="122"/>
    </row>
    <row r="442" spans="15:15" ht="15" customHeight="1">
      <c r="O442" s="122"/>
    </row>
    <row r="443" spans="15:15" ht="15" customHeight="1">
      <c r="O443" s="122"/>
    </row>
    <row r="444" spans="15:15" ht="15" customHeight="1">
      <c r="O444" s="122"/>
    </row>
    <row r="445" spans="15:15" ht="15" customHeight="1">
      <c r="O445" s="122"/>
    </row>
    <row r="446" spans="15:15" ht="15" customHeight="1">
      <c r="O446" s="122"/>
    </row>
    <row r="447" spans="15:15" ht="15" customHeight="1">
      <c r="O447" s="122"/>
    </row>
    <row r="448" spans="15:15" ht="15" customHeight="1">
      <c r="O448" s="122"/>
    </row>
    <row r="449" spans="15:15" ht="15" customHeight="1">
      <c r="O449" s="122"/>
    </row>
    <row r="450" spans="15:15" ht="15" customHeight="1">
      <c r="O450" s="122"/>
    </row>
    <row r="451" spans="15:15" ht="15" customHeight="1">
      <c r="O451" s="122"/>
    </row>
    <row r="452" spans="15:15" ht="15" customHeight="1">
      <c r="O452" s="122"/>
    </row>
    <row r="453" spans="15:15" ht="15" customHeight="1">
      <c r="O453" s="122"/>
    </row>
    <row r="454" spans="15:15" ht="15" customHeight="1">
      <c r="O454" s="122"/>
    </row>
    <row r="455" spans="15:15" ht="15" customHeight="1">
      <c r="O455" s="122"/>
    </row>
    <row r="456" spans="15:15" ht="15" customHeight="1">
      <c r="O456" s="122"/>
    </row>
    <row r="457" spans="15:15" ht="15" customHeight="1">
      <c r="O457" s="122"/>
    </row>
    <row r="458" spans="15:15" ht="15" customHeight="1">
      <c r="O458" s="122"/>
    </row>
    <row r="459" spans="15:15" ht="15" customHeight="1">
      <c r="O459" s="122"/>
    </row>
    <row r="460" spans="15:15" ht="15" customHeight="1">
      <c r="O460" s="122"/>
    </row>
    <row r="461" spans="15:15" ht="15" customHeight="1">
      <c r="O461" s="122"/>
    </row>
    <row r="462" spans="15:15" ht="15" customHeight="1">
      <c r="O462" s="122"/>
    </row>
    <row r="463" spans="15:15" ht="15" customHeight="1">
      <c r="O463" s="122"/>
    </row>
    <row r="464" spans="15:15" ht="15" customHeight="1">
      <c r="O464" s="122"/>
    </row>
    <row r="465" spans="15:15" ht="15" customHeight="1">
      <c r="O465" s="122"/>
    </row>
    <row r="466" spans="15:15" ht="15" customHeight="1">
      <c r="O466" s="122"/>
    </row>
    <row r="467" spans="15:15" ht="15" customHeight="1">
      <c r="O467" s="122"/>
    </row>
    <row r="468" spans="15:15" ht="15" customHeight="1">
      <c r="O468" s="122"/>
    </row>
    <row r="469" spans="15:15" ht="15" customHeight="1">
      <c r="O469" s="122"/>
    </row>
    <row r="470" spans="15:15" ht="15" customHeight="1">
      <c r="O470" s="122"/>
    </row>
    <row r="471" spans="15:15" ht="15" customHeight="1">
      <c r="O471" s="122"/>
    </row>
    <row r="472" spans="15:15" ht="15" customHeight="1">
      <c r="O472" s="122"/>
    </row>
    <row r="473" spans="15:15" ht="15" customHeight="1">
      <c r="O473" s="122"/>
    </row>
    <row r="474" spans="15:15" ht="15" customHeight="1">
      <c r="O474" s="122"/>
    </row>
    <row r="475" spans="15:15" ht="15" customHeight="1">
      <c r="O475" s="122"/>
    </row>
    <row r="476" spans="15:15" ht="15" customHeight="1">
      <c r="O476" s="122"/>
    </row>
    <row r="477" spans="15:15" ht="15" customHeight="1">
      <c r="O477" s="122"/>
    </row>
    <row r="478" spans="15:15" ht="15" customHeight="1">
      <c r="O478" s="122"/>
    </row>
    <row r="479" spans="15:15" ht="15" customHeight="1">
      <c r="O479" s="122"/>
    </row>
    <row r="480" spans="15:15" ht="15" customHeight="1">
      <c r="O480" s="122"/>
    </row>
    <row r="481" spans="15:15" ht="15" customHeight="1">
      <c r="O481" s="122"/>
    </row>
    <row r="482" spans="15:15" ht="15" customHeight="1">
      <c r="O482" s="122"/>
    </row>
    <row r="483" spans="15:15" ht="15" customHeight="1">
      <c r="O483" s="122"/>
    </row>
    <row r="484" spans="15:15" ht="15" customHeight="1">
      <c r="O484" s="122"/>
    </row>
    <row r="485" spans="15:15" ht="15" customHeight="1">
      <c r="O485" s="122"/>
    </row>
    <row r="486" spans="15:15" ht="15" customHeight="1">
      <c r="O486" s="122"/>
    </row>
    <row r="487" spans="15:15" ht="15" customHeight="1">
      <c r="O487" s="122"/>
    </row>
    <row r="488" spans="15:15" ht="15" customHeight="1">
      <c r="O488" s="122"/>
    </row>
    <row r="489" spans="15:15" ht="15" customHeight="1">
      <c r="O489" s="122"/>
    </row>
    <row r="490" spans="15:15" ht="15" customHeight="1">
      <c r="O490" s="122"/>
    </row>
    <row r="491" spans="15:15" ht="15" customHeight="1">
      <c r="O491" s="122"/>
    </row>
    <row r="492" spans="15:15" ht="15" customHeight="1">
      <c r="O492" s="122"/>
    </row>
    <row r="493" spans="15:15" ht="15" customHeight="1">
      <c r="O493" s="122"/>
    </row>
    <row r="494" spans="15:15" ht="15" customHeight="1">
      <c r="O494" s="122"/>
    </row>
    <row r="495" spans="15:15" ht="15" customHeight="1">
      <c r="O495" s="122"/>
    </row>
    <row r="496" spans="15:15" ht="15" customHeight="1">
      <c r="O496" s="122"/>
    </row>
    <row r="497" spans="15:15" ht="15" customHeight="1">
      <c r="O497" s="122"/>
    </row>
    <row r="498" spans="15:15" ht="15" customHeight="1">
      <c r="O498" s="122"/>
    </row>
    <row r="499" spans="15:15" ht="15" customHeight="1">
      <c r="O499" s="122"/>
    </row>
    <row r="500" spans="15:15" ht="15" customHeight="1">
      <c r="O500" s="122"/>
    </row>
    <row r="501" spans="15:15" ht="15" customHeight="1">
      <c r="O501" s="122"/>
    </row>
    <row r="502" spans="15:15" ht="15" customHeight="1">
      <c r="O502" s="122"/>
    </row>
    <row r="503" spans="15:15" ht="15" customHeight="1">
      <c r="O503" s="122"/>
    </row>
    <row r="504" spans="15:15" ht="15" customHeight="1">
      <c r="O504" s="122"/>
    </row>
    <row r="505" spans="15:15" ht="15" customHeight="1">
      <c r="O505" s="122"/>
    </row>
    <row r="506" spans="15:15" ht="15" customHeight="1">
      <c r="O506" s="122"/>
    </row>
    <row r="507" spans="15:15" ht="15" customHeight="1">
      <c r="O507" s="122"/>
    </row>
    <row r="508" spans="15:15" ht="15" customHeight="1">
      <c r="O508" s="122"/>
    </row>
    <row r="509" spans="15:15" ht="15" customHeight="1">
      <c r="O509" s="122"/>
    </row>
    <row r="510" spans="15:15" ht="15" customHeight="1">
      <c r="O510" s="122"/>
    </row>
    <row r="511" spans="15:15" ht="15" customHeight="1">
      <c r="O511" s="122"/>
    </row>
    <row r="512" spans="15:15" ht="15" customHeight="1">
      <c r="O512" s="122"/>
    </row>
    <row r="513" spans="15:15" ht="15" customHeight="1">
      <c r="O513" s="122"/>
    </row>
    <row r="514" spans="15:15" ht="15" customHeight="1">
      <c r="O514" s="122"/>
    </row>
    <row r="515" spans="15:15" ht="15" customHeight="1">
      <c r="O515" s="122"/>
    </row>
    <row r="516" spans="15:15" ht="15" customHeight="1">
      <c r="O516" s="122"/>
    </row>
    <row r="517" spans="15:15" ht="15" customHeight="1">
      <c r="O517" s="122"/>
    </row>
    <row r="518" spans="15:15" ht="15" customHeight="1">
      <c r="O518" s="122"/>
    </row>
    <row r="519" spans="15:15" ht="15" customHeight="1">
      <c r="O519" s="122"/>
    </row>
    <row r="520" spans="15:15" ht="15" customHeight="1">
      <c r="O520" s="122"/>
    </row>
    <row r="521" spans="15:15" ht="15" customHeight="1">
      <c r="O521" s="122"/>
    </row>
    <row r="522" spans="15:15" ht="15" customHeight="1">
      <c r="O522" s="122"/>
    </row>
    <row r="523" spans="15:15" ht="15" customHeight="1">
      <c r="O523" s="122"/>
    </row>
    <row r="524" spans="15:15" ht="15" customHeight="1">
      <c r="O524" s="122"/>
    </row>
    <row r="525" spans="15:15" ht="15" customHeight="1">
      <c r="O525" s="122"/>
    </row>
    <row r="526" spans="15:15" ht="15" customHeight="1">
      <c r="O526" s="122"/>
    </row>
    <row r="527" spans="15:15" ht="15" customHeight="1">
      <c r="O527" s="122"/>
    </row>
    <row r="528" spans="15:15" ht="15" customHeight="1">
      <c r="O528" s="122"/>
    </row>
    <row r="529" spans="15:15" ht="15" customHeight="1">
      <c r="O529" s="122"/>
    </row>
    <row r="530" spans="15:15" ht="15" customHeight="1">
      <c r="O530" s="122"/>
    </row>
    <row r="531" spans="15:15" ht="15" customHeight="1">
      <c r="O531" s="122"/>
    </row>
    <row r="532" spans="15:15" ht="15" customHeight="1">
      <c r="O532" s="122"/>
    </row>
    <row r="533" spans="15:15" ht="15" customHeight="1">
      <c r="O533" s="122"/>
    </row>
    <row r="534" spans="15:15" ht="15" customHeight="1">
      <c r="O534" s="122"/>
    </row>
    <row r="535" spans="15:15" ht="15" customHeight="1">
      <c r="O535" s="122"/>
    </row>
    <row r="536" spans="15:15" ht="15" customHeight="1">
      <c r="O536" s="122"/>
    </row>
    <row r="537" spans="15:15" ht="15" customHeight="1">
      <c r="O537" s="122"/>
    </row>
    <row r="538" spans="15:15" ht="15" customHeight="1">
      <c r="O538" s="122"/>
    </row>
    <row r="539" spans="15:15" ht="15" customHeight="1">
      <c r="O539" s="122"/>
    </row>
    <row r="540" spans="15:15" ht="15" customHeight="1">
      <c r="O540" s="122"/>
    </row>
    <row r="541" spans="15:15" ht="15" customHeight="1">
      <c r="O541" s="122"/>
    </row>
    <row r="542" spans="15:15" ht="15" customHeight="1">
      <c r="O542" s="122"/>
    </row>
    <row r="543" spans="15:15" ht="15" customHeight="1">
      <c r="O543" s="122"/>
    </row>
    <row r="544" spans="15:15" ht="15" customHeight="1">
      <c r="O544" s="122"/>
    </row>
    <row r="545" spans="15:15" ht="15" customHeight="1">
      <c r="O545" s="122"/>
    </row>
    <row r="546" spans="15:15" ht="15" customHeight="1">
      <c r="O546" s="122"/>
    </row>
    <row r="547" spans="15:15" ht="15" customHeight="1">
      <c r="O547" s="122"/>
    </row>
    <row r="548" spans="15:15" ht="15" customHeight="1">
      <c r="O548" s="122"/>
    </row>
    <row r="549" spans="15:15" ht="15" customHeight="1">
      <c r="O549" s="122"/>
    </row>
    <row r="550" spans="15:15" ht="15" customHeight="1">
      <c r="O550" s="122"/>
    </row>
    <row r="551" spans="15:15" ht="15" customHeight="1">
      <c r="O551" s="122"/>
    </row>
    <row r="552" spans="15:15" ht="15" customHeight="1">
      <c r="O552" s="122"/>
    </row>
    <row r="553" spans="15:15" ht="15" customHeight="1">
      <c r="O553" s="122"/>
    </row>
    <row r="554" spans="15:15" ht="15" customHeight="1">
      <c r="O554" s="122"/>
    </row>
    <row r="555" spans="15:15" ht="15" customHeight="1">
      <c r="O555" s="122"/>
    </row>
    <row r="556" spans="15:15" ht="15" customHeight="1">
      <c r="O556" s="122"/>
    </row>
    <row r="557" spans="15:15" ht="15" customHeight="1">
      <c r="O557" s="122"/>
    </row>
    <row r="558" spans="15:15" ht="15" customHeight="1">
      <c r="O558" s="122"/>
    </row>
    <row r="559" spans="15:15" ht="15" customHeight="1">
      <c r="O559" s="122"/>
    </row>
    <row r="560" spans="15:15" ht="15" customHeight="1">
      <c r="O560" s="122"/>
    </row>
    <row r="561" spans="15:15" ht="15" customHeight="1">
      <c r="O561" s="122"/>
    </row>
    <row r="562" spans="15:15" ht="15" customHeight="1">
      <c r="O562" s="122"/>
    </row>
    <row r="563" spans="15:15" ht="15" customHeight="1">
      <c r="O563" s="122"/>
    </row>
    <row r="564" spans="15:15" ht="15" customHeight="1">
      <c r="O564" s="122"/>
    </row>
    <row r="565" spans="15:15" ht="15" customHeight="1">
      <c r="O565" s="122"/>
    </row>
    <row r="566" spans="15:15" ht="15" customHeight="1">
      <c r="O566" s="122"/>
    </row>
    <row r="567" spans="15:15" ht="15" customHeight="1">
      <c r="O567" s="122"/>
    </row>
    <row r="568" spans="15:15" ht="15" customHeight="1">
      <c r="O568" s="122"/>
    </row>
    <row r="569" spans="15:15" ht="15" customHeight="1">
      <c r="O569" s="122"/>
    </row>
    <row r="570" spans="15:15" ht="15" customHeight="1">
      <c r="O570" s="122"/>
    </row>
    <row r="571" spans="15:15" ht="15" customHeight="1">
      <c r="O571" s="122"/>
    </row>
    <row r="572" spans="15:15" ht="15" customHeight="1">
      <c r="O572" s="122"/>
    </row>
    <row r="573" spans="15:15" ht="15" customHeight="1">
      <c r="O573" s="122"/>
    </row>
    <row r="574" spans="15:15" ht="15" customHeight="1">
      <c r="O574" s="122"/>
    </row>
    <row r="575" spans="15:15" ht="15" customHeight="1">
      <c r="O575" s="122"/>
    </row>
    <row r="576" spans="15:15" ht="15" customHeight="1">
      <c r="O576" s="122"/>
    </row>
    <row r="577" spans="15:15" ht="15" customHeight="1">
      <c r="O577" s="122"/>
    </row>
    <row r="578" spans="15:15" ht="15" customHeight="1">
      <c r="O578" s="122"/>
    </row>
    <row r="579" spans="15:15" ht="15" customHeight="1">
      <c r="O579" s="122"/>
    </row>
    <row r="580" spans="15:15" ht="15" customHeight="1">
      <c r="O580" s="122"/>
    </row>
    <row r="581" spans="15:15" ht="15" customHeight="1">
      <c r="O581" s="122"/>
    </row>
    <row r="582" spans="15:15" ht="15" customHeight="1">
      <c r="O582" s="122"/>
    </row>
    <row r="583" spans="15:15" ht="15" customHeight="1">
      <c r="O583" s="122"/>
    </row>
    <row r="584" spans="15:15" ht="15" customHeight="1">
      <c r="O584" s="122"/>
    </row>
    <row r="585" spans="15:15" ht="15" customHeight="1">
      <c r="O585" s="122"/>
    </row>
    <row r="586" spans="15:15" ht="15" customHeight="1">
      <c r="O586" s="122"/>
    </row>
    <row r="587" spans="15:15" ht="15" customHeight="1">
      <c r="O587" s="122"/>
    </row>
    <row r="588" spans="15:15" ht="15" customHeight="1">
      <c r="O588" s="122"/>
    </row>
    <row r="589" spans="15:15" ht="15" customHeight="1">
      <c r="O589" s="122"/>
    </row>
    <row r="590" spans="15:15" ht="15" customHeight="1">
      <c r="O590" s="122"/>
    </row>
    <row r="591" spans="15:15" ht="15" customHeight="1">
      <c r="O591" s="122"/>
    </row>
    <row r="592" spans="15:15" ht="15" customHeight="1">
      <c r="O592" s="122"/>
    </row>
    <row r="593" spans="15:15" ht="15" customHeight="1">
      <c r="O593" s="122"/>
    </row>
    <row r="594" spans="15:15" ht="15" customHeight="1">
      <c r="O594" s="122"/>
    </row>
    <row r="595" spans="15:15" ht="15" customHeight="1">
      <c r="O595" s="122"/>
    </row>
    <row r="596" spans="15:15" ht="15" customHeight="1">
      <c r="O596" s="122"/>
    </row>
    <row r="597" spans="15:15" ht="15" customHeight="1">
      <c r="O597" s="122"/>
    </row>
    <row r="598" spans="15:15" ht="15" customHeight="1">
      <c r="O598" s="122"/>
    </row>
    <row r="599" spans="15:15" ht="15" customHeight="1">
      <c r="O599" s="122"/>
    </row>
    <row r="600" spans="15:15" ht="15" customHeight="1">
      <c r="O600" s="122"/>
    </row>
    <row r="601" spans="15:15" ht="15" customHeight="1">
      <c r="O601" s="122"/>
    </row>
    <row r="602" spans="15:15" ht="15" customHeight="1">
      <c r="O602" s="122"/>
    </row>
    <row r="603" spans="15:15" ht="15" customHeight="1">
      <c r="O603" s="122"/>
    </row>
    <row r="604" spans="15:15" ht="15" customHeight="1">
      <c r="O604" s="122"/>
    </row>
    <row r="605" spans="15:15" ht="15" customHeight="1">
      <c r="O605" s="122"/>
    </row>
    <row r="606" spans="15:15" ht="15" customHeight="1">
      <c r="O606" s="122"/>
    </row>
    <row r="607" spans="15:15" ht="15" customHeight="1">
      <c r="O607" s="122"/>
    </row>
    <row r="608" spans="15:15" ht="15" customHeight="1">
      <c r="O608" s="122"/>
    </row>
    <row r="609" spans="15:15" ht="15" customHeight="1">
      <c r="O609" s="122"/>
    </row>
    <row r="610" spans="15:15" ht="15" customHeight="1">
      <c r="O610" s="122"/>
    </row>
    <row r="611" spans="15:15" ht="15" customHeight="1">
      <c r="O611" s="122"/>
    </row>
    <row r="612" spans="15:15" ht="15" customHeight="1">
      <c r="O612" s="122"/>
    </row>
    <row r="613" spans="15:15" ht="15" customHeight="1">
      <c r="O613" s="122"/>
    </row>
    <row r="614" spans="15:15" ht="15" customHeight="1">
      <c r="O614" s="122"/>
    </row>
    <row r="615" spans="15:15" ht="15" customHeight="1">
      <c r="O615" s="122"/>
    </row>
    <row r="616" spans="15:15" ht="15" customHeight="1">
      <c r="O616" s="122"/>
    </row>
    <row r="617" spans="15:15" ht="15" customHeight="1">
      <c r="O617" s="122"/>
    </row>
    <row r="618" spans="15:15" ht="15" customHeight="1">
      <c r="O618" s="122"/>
    </row>
    <row r="619" spans="15:15" ht="15" customHeight="1">
      <c r="O619" s="122"/>
    </row>
    <row r="620" spans="15:15" ht="15" customHeight="1">
      <c r="O620" s="122"/>
    </row>
    <row r="621" spans="15:15" ht="15" customHeight="1">
      <c r="O621" s="122"/>
    </row>
    <row r="622" spans="15:15" ht="15" customHeight="1">
      <c r="O622" s="122"/>
    </row>
    <row r="623" spans="15:15" ht="15" customHeight="1">
      <c r="O623" s="122"/>
    </row>
    <row r="624" spans="15:15" ht="15" customHeight="1">
      <c r="O624" s="122"/>
    </row>
    <row r="625" spans="15:15" ht="15" customHeight="1">
      <c r="O625" s="122"/>
    </row>
    <row r="626" spans="15:15" ht="15" customHeight="1">
      <c r="O626" s="122"/>
    </row>
    <row r="627" spans="15:15" ht="15" customHeight="1">
      <c r="O627" s="122"/>
    </row>
    <row r="628" spans="15:15" ht="15" customHeight="1">
      <c r="O628" s="122"/>
    </row>
    <row r="629" spans="15:15" ht="15" customHeight="1">
      <c r="O629" s="122"/>
    </row>
    <row r="630" spans="15:15" ht="15" customHeight="1">
      <c r="O630" s="122"/>
    </row>
    <row r="631" spans="15:15" ht="15" customHeight="1">
      <c r="O631" s="122"/>
    </row>
    <row r="632" spans="15:15" ht="15" customHeight="1">
      <c r="O632" s="122"/>
    </row>
    <row r="633" spans="15:15" ht="15" customHeight="1">
      <c r="O633" s="122"/>
    </row>
    <row r="634" spans="15:15" ht="15" customHeight="1">
      <c r="O634" s="122"/>
    </row>
    <row r="635" spans="15:15" ht="15" customHeight="1">
      <c r="O635" s="122"/>
    </row>
    <row r="636" spans="15:15" ht="15" customHeight="1">
      <c r="O636" s="122"/>
    </row>
    <row r="637" spans="15:15" ht="15" customHeight="1">
      <c r="O637" s="122"/>
    </row>
    <row r="638" spans="15:15" ht="15" customHeight="1">
      <c r="O638" s="122"/>
    </row>
    <row r="639" spans="15:15" ht="15" customHeight="1">
      <c r="O639" s="122"/>
    </row>
    <row r="640" spans="15:15" ht="15" customHeight="1">
      <c r="O640" s="122"/>
    </row>
    <row r="641" spans="15:15" ht="15" customHeight="1">
      <c r="O641" s="122"/>
    </row>
    <row r="642" spans="15:15" ht="15" customHeight="1">
      <c r="O642" s="122"/>
    </row>
    <row r="643" spans="15:15" ht="15" customHeight="1">
      <c r="O643" s="122"/>
    </row>
    <row r="644" spans="15:15" ht="15" customHeight="1">
      <c r="O644" s="122"/>
    </row>
    <row r="645" spans="15:15" ht="15" customHeight="1">
      <c r="O645" s="122"/>
    </row>
    <row r="646" spans="15:15" ht="15" customHeight="1">
      <c r="O646" s="122"/>
    </row>
    <row r="647" spans="15:15" ht="15" customHeight="1">
      <c r="O647" s="122"/>
    </row>
    <row r="648" spans="15:15" ht="15" customHeight="1">
      <c r="O648" s="122"/>
    </row>
    <row r="649" spans="15:15" ht="15" customHeight="1">
      <c r="O649" s="122"/>
    </row>
    <row r="650" spans="15:15" ht="15" customHeight="1">
      <c r="O650" s="122"/>
    </row>
    <row r="651" spans="15:15" ht="15" customHeight="1">
      <c r="O651" s="122"/>
    </row>
    <row r="652" spans="15:15" ht="15" customHeight="1">
      <c r="O652" s="122"/>
    </row>
    <row r="653" spans="15:15" ht="15" customHeight="1">
      <c r="O653" s="122"/>
    </row>
    <row r="654" spans="15:15" ht="15" customHeight="1">
      <c r="O654" s="122"/>
    </row>
    <row r="655" spans="15:15" ht="15" customHeight="1">
      <c r="O655" s="122"/>
    </row>
    <row r="656" spans="15:15" ht="15" customHeight="1">
      <c r="O656" s="122"/>
    </row>
    <row r="657" spans="15:15" ht="15" customHeight="1">
      <c r="O657" s="122"/>
    </row>
    <row r="658" spans="15:15" ht="15" customHeight="1">
      <c r="O658" s="122"/>
    </row>
    <row r="659" spans="15:15" ht="15" customHeight="1">
      <c r="O659" s="122"/>
    </row>
    <row r="660" spans="15:15" ht="15" customHeight="1">
      <c r="O660" s="122"/>
    </row>
    <row r="661" spans="15:15" ht="15" customHeight="1">
      <c r="O661" s="122"/>
    </row>
    <row r="662" spans="15:15" ht="15" customHeight="1">
      <c r="O662" s="122"/>
    </row>
    <row r="663" spans="15:15" ht="15" customHeight="1">
      <c r="O663" s="122"/>
    </row>
    <row r="664" spans="15:15" ht="15" customHeight="1">
      <c r="O664" s="122"/>
    </row>
    <row r="665" spans="15:15" ht="15" customHeight="1">
      <c r="O665" s="122"/>
    </row>
    <row r="666" spans="15:15" ht="15" customHeight="1">
      <c r="O666" s="122"/>
    </row>
    <row r="667" spans="15:15" ht="15" customHeight="1">
      <c r="O667" s="122"/>
    </row>
    <row r="668" spans="15:15" ht="15" customHeight="1">
      <c r="O668" s="122"/>
    </row>
    <row r="669" spans="15:15" ht="15" customHeight="1">
      <c r="O669" s="122"/>
    </row>
    <row r="670" spans="15:15" ht="15" customHeight="1">
      <c r="O670" s="122"/>
    </row>
    <row r="671" spans="15:15" ht="15" customHeight="1">
      <c r="O671" s="122"/>
    </row>
    <row r="672" spans="15:15" ht="15" customHeight="1">
      <c r="O672" s="122"/>
    </row>
    <row r="673" spans="15:15" ht="15" customHeight="1">
      <c r="O673" s="122"/>
    </row>
    <row r="674" spans="15:15" ht="15" customHeight="1">
      <c r="O674" s="122"/>
    </row>
    <row r="675" spans="15:15" ht="15" customHeight="1">
      <c r="O675" s="122"/>
    </row>
    <row r="676" spans="15:15" ht="15" customHeight="1">
      <c r="O676" s="122"/>
    </row>
    <row r="677" spans="15:15" ht="15" customHeight="1">
      <c r="O677" s="122"/>
    </row>
    <row r="678" spans="15:15" ht="15" customHeight="1">
      <c r="O678" s="122"/>
    </row>
    <row r="679" spans="15:15" ht="15" customHeight="1">
      <c r="O679" s="122"/>
    </row>
    <row r="680" spans="15:15" ht="15" customHeight="1">
      <c r="O680" s="122"/>
    </row>
    <row r="681" spans="15:15" ht="15" customHeight="1">
      <c r="O681" s="122"/>
    </row>
    <row r="682" spans="15:15" ht="15" customHeight="1">
      <c r="O682" s="122"/>
    </row>
    <row r="683" spans="15:15" ht="15" customHeight="1">
      <c r="O683" s="122"/>
    </row>
    <row r="684" spans="15:15" ht="15" customHeight="1">
      <c r="O684" s="122"/>
    </row>
    <row r="685" spans="15:15" ht="15" customHeight="1">
      <c r="O685" s="122"/>
    </row>
    <row r="686" spans="15:15" ht="15" customHeight="1">
      <c r="O686" s="122"/>
    </row>
    <row r="687" spans="15:15" ht="15" customHeight="1">
      <c r="O687" s="122"/>
    </row>
    <row r="688" spans="15:15" ht="15" customHeight="1">
      <c r="O688" s="122"/>
    </row>
    <row r="689" spans="15:15" ht="15" customHeight="1">
      <c r="O689" s="122"/>
    </row>
    <row r="690" spans="15:15" ht="15" customHeight="1">
      <c r="O690" s="122"/>
    </row>
    <row r="691" spans="15:15" ht="15" customHeight="1">
      <c r="O691" s="122"/>
    </row>
    <row r="692" spans="15:15" ht="15" customHeight="1">
      <c r="O692" s="122"/>
    </row>
    <row r="693" spans="15:15" ht="15" customHeight="1">
      <c r="O693" s="122"/>
    </row>
    <row r="694" spans="15:15" ht="15" customHeight="1">
      <c r="O694" s="122"/>
    </row>
    <row r="695" spans="15:15" ht="15" customHeight="1">
      <c r="O695" s="122"/>
    </row>
    <row r="696" spans="15:15" ht="15" customHeight="1">
      <c r="O696" s="122"/>
    </row>
    <row r="697" spans="15:15" ht="15" customHeight="1">
      <c r="O697" s="122"/>
    </row>
    <row r="698" spans="15:15" ht="15" customHeight="1">
      <c r="O698" s="122"/>
    </row>
    <row r="699" spans="15:15" ht="15" customHeight="1">
      <c r="O699" s="122"/>
    </row>
    <row r="700" spans="15:15" ht="15" customHeight="1">
      <c r="O700" s="122"/>
    </row>
    <row r="701" spans="15:15" ht="15" customHeight="1">
      <c r="O701" s="122"/>
    </row>
    <row r="702" spans="15:15" ht="15" customHeight="1">
      <c r="O702" s="122"/>
    </row>
    <row r="703" spans="15:15" ht="15" customHeight="1">
      <c r="O703" s="122"/>
    </row>
    <row r="704" spans="15:15" ht="15" customHeight="1">
      <c r="O704" s="122"/>
    </row>
    <row r="705" spans="15:15" ht="15" customHeight="1">
      <c r="O705" s="122"/>
    </row>
    <row r="706" spans="15:15" ht="15" customHeight="1">
      <c r="O706" s="122"/>
    </row>
    <row r="707" spans="15:15" ht="15" customHeight="1">
      <c r="O707" s="122"/>
    </row>
    <row r="708" spans="15:15" ht="15" customHeight="1">
      <c r="O708" s="122"/>
    </row>
    <row r="709" spans="15:15" ht="15" customHeight="1">
      <c r="O709" s="122"/>
    </row>
    <row r="710" spans="15:15" ht="15" customHeight="1">
      <c r="O710" s="122"/>
    </row>
    <row r="711" spans="15:15" ht="15" customHeight="1">
      <c r="O711" s="122"/>
    </row>
    <row r="712" spans="15:15" ht="15" customHeight="1">
      <c r="O712" s="122"/>
    </row>
    <row r="713" spans="15:15" ht="15" customHeight="1">
      <c r="O713" s="122"/>
    </row>
    <row r="714" spans="15:15" ht="15" customHeight="1">
      <c r="O714" s="122"/>
    </row>
    <row r="715" spans="15:15" ht="15" customHeight="1">
      <c r="O715" s="122"/>
    </row>
    <row r="716" spans="15:15" ht="15" customHeight="1">
      <c r="O716" s="122"/>
    </row>
    <row r="717" spans="15:15" ht="15" customHeight="1">
      <c r="O717" s="122"/>
    </row>
    <row r="718" spans="15:15" ht="15" customHeight="1">
      <c r="O718" s="122"/>
    </row>
    <row r="719" spans="15:15" ht="15" customHeight="1">
      <c r="O719" s="122"/>
    </row>
    <row r="720" spans="15:15" ht="15" customHeight="1">
      <c r="O720" s="122"/>
    </row>
    <row r="721" spans="15:15" ht="15" customHeight="1">
      <c r="O721" s="122"/>
    </row>
    <row r="722" spans="15:15" ht="15" customHeight="1">
      <c r="O722" s="122"/>
    </row>
    <row r="723" spans="15:15" ht="15" customHeight="1">
      <c r="O723" s="122"/>
    </row>
    <row r="724" spans="15:15" ht="15" customHeight="1">
      <c r="O724" s="122"/>
    </row>
    <row r="725" spans="15:15" ht="15" customHeight="1">
      <c r="O725" s="122"/>
    </row>
    <row r="726" spans="15:15" ht="15" customHeight="1">
      <c r="O726" s="122"/>
    </row>
    <row r="727" spans="15:15" ht="15" customHeight="1">
      <c r="O727" s="122"/>
    </row>
    <row r="728" spans="15:15" ht="15" customHeight="1">
      <c r="O728" s="122"/>
    </row>
    <row r="729" spans="15:15" ht="15" customHeight="1">
      <c r="O729" s="122"/>
    </row>
    <row r="730" spans="15:15" ht="15" customHeight="1">
      <c r="O730" s="122"/>
    </row>
    <row r="731" spans="15:15" ht="15" customHeight="1">
      <c r="O731" s="122"/>
    </row>
    <row r="732" spans="15:15" ht="15" customHeight="1">
      <c r="O732" s="122"/>
    </row>
    <row r="733" spans="15:15" ht="15" customHeight="1">
      <c r="O733" s="122"/>
    </row>
    <row r="734" spans="15:15" ht="15" customHeight="1">
      <c r="O734" s="122"/>
    </row>
    <row r="735" spans="15:15" ht="15" customHeight="1">
      <c r="O735" s="122"/>
    </row>
    <row r="736" spans="15:15" ht="15" customHeight="1">
      <c r="O736" s="122"/>
    </row>
    <row r="737" spans="15:15" ht="15" customHeight="1">
      <c r="O737" s="122"/>
    </row>
    <row r="738" spans="15:15" ht="15" customHeight="1">
      <c r="O738" s="122"/>
    </row>
    <row r="739" spans="15:15" ht="15" customHeight="1">
      <c r="O739" s="122"/>
    </row>
    <row r="740" spans="15:15" ht="15" customHeight="1">
      <c r="O740" s="122"/>
    </row>
    <row r="741" spans="15:15" ht="15" customHeight="1">
      <c r="O741" s="122"/>
    </row>
    <row r="742" spans="15:15" ht="15" customHeight="1">
      <c r="O742" s="122"/>
    </row>
    <row r="743" spans="15:15" ht="15" customHeight="1">
      <c r="O743" s="122"/>
    </row>
    <row r="744" spans="15:15" ht="15" customHeight="1">
      <c r="O744" s="122"/>
    </row>
    <row r="745" spans="15:15" ht="15" customHeight="1">
      <c r="O745" s="122"/>
    </row>
    <row r="746" spans="15:15" ht="15" customHeight="1">
      <c r="O746" s="122"/>
    </row>
    <row r="747" spans="15:15" ht="15" customHeight="1">
      <c r="O747" s="122"/>
    </row>
    <row r="748" spans="15:15" ht="15" customHeight="1">
      <c r="O748" s="122"/>
    </row>
    <row r="749" spans="15:15" ht="15" customHeight="1">
      <c r="O749" s="122"/>
    </row>
    <row r="750" spans="15:15" ht="15" customHeight="1">
      <c r="O750" s="122"/>
    </row>
    <row r="751" spans="15:15" ht="15" customHeight="1">
      <c r="O751" s="122"/>
    </row>
    <row r="752" spans="15:15" ht="15" customHeight="1">
      <c r="O752" s="122"/>
    </row>
    <row r="753" spans="15:15" ht="15" customHeight="1">
      <c r="O753" s="122"/>
    </row>
    <row r="754" spans="15:15" ht="15" customHeight="1">
      <c r="O754" s="122"/>
    </row>
    <row r="755" spans="15:15" ht="15" customHeight="1">
      <c r="O755" s="122"/>
    </row>
    <row r="756" spans="15:15" ht="15" customHeight="1">
      <c r="O756" s="122"/>
    </row>
    <row r="757" spans="15:15" ht="15" customHeight="1">
      <c r="O757" s="122"/>
    </row>
    <row r="758" spans="15:15" ht="15" customHeight="1">
      <c r="O758" s="122"/>
    </row>
    <row r="759" spans="15:15" ht="15" customHeight="1">
      <c r="O759" s="122"/>
    </row>
    <row r="760" spans="15:15" ht="15" customHeight="1">
      <c r="O760" s="122"/>
    </row>
    <row r="761" spans="15:15" ht="15" customHeight="1">
      <c r="O761" s="122"/>
    </row>
    <row r="762" spans="15:15" ht="15" customHeight="1">
      <c r="O762" s="122"/>
    </row>
    <row r="763" spans="15:15" ht="15" customHeight="1">
      <c r="O763" s="122"/>
    </row>
    <row r="764" spans="15:15" ht="15" customHeight="1">
      <c r="O764" s="122"/>
    </row>
    <row r="765" spans="15:15" ht="15" customHeight="1">
      <c r="O765" s="122"/>
    </row>
    <row r="766" spans="15:15" ht="15" customHeight="1">
      <c r="O766" s="122"/>
    </row>
    <row r="767" spans="15:15" ht="15" customHeight="1">
      <c r="O767" s="122"/>
    </row>
    <row r="768" spans="15:15" ht="15" customHeight="1">
      <c r="O768" s="122"/>
    </row>
    <row r="769" spans="15:15" ht="15" customHeight="1">
      <c r="O769" s="122"/>
    </row>
    <row r="770" spans="15:15" ht="15" customHeight="1">
      <c r="O770" s="122"/>
    </row>
    <row r="771" spans="15:15" ht="15" customHeight="1">
      <c r="O771" s="122"/>
    </row>
    <row r="772" spans="15:15" ht="15" customHeight="1">
      <c r="O772" s="122"/>
    </row>
    <row r="773" spans="15:15" ht="15" customHeight="1">
      <c r="O773" s="122"/>
    </row>
    <row r="774" spans="15:15" ht="15" customHeight="1">
      <c r="O774" s="122"/>
    </row>
    <row r="775" spans="15:15" ht="15" customHeight="1">
      <c r="O775" s="122"/>
    </row>
    <row r="776" spans="15:15" ht="15" customHeight="1">
      <c r="O776" s="122"/>
    </row>
    <row r="777" spans="15:15" ht="15" customHeight="1">
      <c r="O777" s="122"/>
    </row>
    <row r="778" spans="15:15" ht="15" customHeight="1">
      <c r="O778" s="122"/>
    </row>
    <row r="779" spans="15:15" ht="15" customHeight="1">
      <c r="O779" s="122"/>
    </row>
    <row r="780" spans="15:15" ht="15" customHeight="1">
      <c r="O780" s="122"/>
    </row>
    <row r="781" spans="15:15" ht="15" customHeight="1">
      <c r="O781" s="122"/>
    </row>
    <row r="782" spans="15:15" ht="15" customHeight="1">
      <c r="O782" s="122"/>
    </row>
    <row r="783" spans="15:15" ht="15" customHeight="1">
      <c r="O783" s="122"/>
    </row>
    <row r="784" spans="15:15" ht="15" customHeight="1">
      <c r="O784" s="122"/>
    </row>
    <row r="785" spans="15:15" ht="15" customHeight="1">
      <c r="O785" s="122"/>
    </row>
    <row r="786" spans="15:15" ht="15" customHeight="1">
      <c r="O786" s="122"/>
    </row>
    <row r="787" spans="15:15" ht="15" customHeight="1">
      <c r="O787" s="122"/>
    </row>
    <row r="788" spans="15:15" ht="15" customHeight="1">
      <c r="O788" s="122"/>
    </row>
    <row r="789" spans="15:15" ht="15" customHeight="1">
      <c r="O789" s="122"/>
    </row>
    <row r="790" spans="15:15" ht="15" customHeight="1">
      <c r="O790" s="122"/>
    </row>
    <row r="791" spans="15:15" ht="15" customHeight="1">
      <c r="O791" s="122"/>
    </row>
    <row r="792" spans="15:15" ht="15" customHeight="1">
      <c r="O792" s="122"/>
    </row>
    <row r="793" spans="15:15" ht="15" customHeight="1">
      <c r="O793" s="122"/>
    </row>
    <row r="794" spans="15:15" ht="15" customHeight="1">
      <c r="O794" s="122"/>
    </row>
    <row r="795" spans="15:15" ht="15" customHeight="1">
      <c r="O795" s="122"/>
    </row>
    <row r="796" spans="15:15" ht="15" customHeight="1">
      <c r="O796" s="122"/>
    </row>
    <row r="797" spans="15:15" ht="15" customHeight="1">
      <c r="O797" s="122"/>
    </row>
    <row r="798" spans="15:15" ht="15" customHeight="1">
      <c r="O798" s="122"/>
    </row>
    <row r="799" spans="15:15" ht="15" customHeight="1">
      <c r="O799" s="122"/>
    </row>
    <row r="800" spans="15:15" ht="15" customHeight="1">
      <c r="O800" s="122"/>
    </row>
    <row r="801" spans="15:15" ht="15" customHeight="1">
      <c r="O801" s="122"/>
    </row>
    <row r="802" spans="15:15" ht="15" customHeight="1">
      <c r="O802" s="122"/>
    </row>
    <row r="803" spans="15:15" ht="15" customHeight="1">
      <c r="O803" s="122"/>
    </row>
    <row r="804" spans="15:15" ht="15" customHeight="1">
      <c r="O804" s="122"/>
    </row>
    <row r="805" spans="15:15" ht="15" customHeight="1">
      <c r="O805" s="122"/>
    </row>
    <row r="806" spans="15:15" ht="15" customHeight="1">
      <c r="O806" s="122"/>
    </row>
    <row r="807" spans="15:15" ht="15" customHeight="1">
      <c r="O807" s="122"/>
    </row>
    <row r="808" spans="15:15" ht="15" customHeight="1">
      <c r="O808" s="122"/>
    </row>
    <row r="809" spans="15:15" ht="15" customHeight="1">
      <c r="O809" s="122"/>
    </row>
    <row r="810" spans="15:15" ht="15" customHeight="1">
      <c r="O810" s="122"/>
    </row>
    <row r="811" spans="15:15" ht="15" customHeight="1">
      <c r="O811" s="122"/>
    </row>
    <row r="812" spans="15:15" ht="15" customHeight="1">
      <c r="O812" s="122"/>
    </row>
    <row r="813" spans="15:15" ht="15" customHeight="1">
      <c r="O813" s="122"/>
    </row>
    <row r="814" spans="15:15" ht="15" customHeight="1">
      <c r="O814" s="122"/>
    </row>
    <row r="815" spans="15:15" ht="15" customHeight="1">
      <c r="O815" s="122"/>
    </row>
    <row r="816" spans="15:15" ht="15" customHeight="1">
      <c r="O816" s="122"/>
    </row>
    <row r="817" spans="15:15" ht="15" customHeight="1">
      <c r="O817" s="122"/>
    </row>
    <row r="818" spans="15:15" ht="15" customHeight="1">
      <c r="O818" s="122"/>
    </row>
    <row r="819" spans="15:15" ht="15" customHeight="1">
      <c r="O819" s="122"/>
    </row>
    <row r="820" spans="15:15" ht="15" customHeight="1">
      <c r="O820" s="122"/>
    </row>
    <row r="821" spans="15:15" ht="15" customHeight="1">
      <c r="O821" s="122"/>
    </row>
    <row r="822" spans="15:15" ht="15" customHeight="1">
      <c r="O822" s="122"/>
    </row>
    <row r="823" spans="15:15" ht="15" customHeight="1">
      <c r="O823" s="122"/>
    </row>
    <row r="824" spans="15:15" ht="15" customHeight="1">
      <c r="O824" s="122"/>
    </row>
    <row r="825" spans="15:15" ht="15" customHeight="1">
      <c r="O825" s="122"/>
    </row>
    <row r="826" spans="15:15" ht="15" customHeight="1">
      <c r="O826" s="122"/>
    </row>
    <row r="827" spans="15:15" ht="15" customHeight="1">
      <c r="O827" s="122"/>
    </row>
    <row r="828" spans="15:15" ht="15" customHeight="1">
      <c r="O828" s="122"/>
    </row>
    <row r="829" spans="15:15" ht="15" customHeight="1">
      <c r="O829" s="122"/>
    </row>
    <row r="830" spans="15:15" ht="15" customHeight="1">
      <c r="O830" s="122"/>
    </row>
    <row r="831" spans="15:15" ht="15" customHeight="1">
      <c r="O831" s="122"/>
    </row>
    <row r="832" spans="15:15" ht="15" customHeight="1">
      <c r="O832" s="122"/>
    </row>
    <row r="833" spans="15:15" ht="15" customHeight="1">
      <c r="O833" s="122"/>
    </row>
    <row r="834" spans="15:15" ht="15" customHeight="1">
      <c r="O834" s="122"/>
    </row>
    <row r="835" spans="15:15" ht="15" customHeight="1">
      <c r="O835" s="122"/>
    </row>
    <row r="836" spans="15:15" ht="15" customHeight="1">
      <c r="O836" s="122"/>
    </row>
    <row r="837" spans="15:15" ht="15" customHeight="1">
      <c r="O837" s="122"/>
    </row>
    <row r="838" spans="15:15" ht="15" customHeight="1">
      <c r="O838" s="122"/>
    </row>
    <row r="839" spans="15:15" ht="15" customHeight="1">
      <c r="O839" s="122"/>
    </row>
    <row r="840" spans="15:15" ht="15" customHeight="1">
      <c r="O840" s="122"/>
    </row>
    <row r="841" spans="15:15" ht="15" customHeight="1">
      <c r="O841" s="122"/>
    </row>
    <row r="842" spans="15:15" ht="15" customHeight="1">
      <c r="O842" s="122"/>
    </row>
    <row r="843" spans="15:15" ht="15" customHeight="1">
      <c r="O843" s="122"/>
    </row>
    <row r="844" spans="15:15" ht="15" customHeight="1">
      <c r="O844" s="122"/>
    </row>
    <row r="845" spans="15:15" ht="15" customHeight="1">
      <c r="O845" s="122"/>
    </row>
    <row r="846" spans="15:15" ht="15" customHeight="1">
      <c r="O846" s="122"/>
    </row>
    <row r="847" spans="15:15" ht="15" customHeight="1">
      <c r="O847" s="122"/>
    </row>
    <row r="848" spans="15:15" ht="15" customHeight="1">
      <c r="O848" s="122"/>
    </row>
    <row r="849" spans="15:15" ht="15" customHeight="1">
      <c r="O849" s="122"/>
    </row>
    <row r="850" spans="15:15" ht="15" customHeight="1">
      <c r="O850" s="122"/>
    </row>
    <row r="851" spans="15:15" ht="15" customHeight="1">
      <c r="O851" s="122"/>
    </row>
    <row r="852" spans="15:15" ht="15" customHeight="1">
      <c r="O852" s="122"/>
    </row>
    <row r="853" spans="15:15" ht="15" customHeight="1">
      <c r="O853" s="122"/>
    </row>
    <row r="854" spans="15:15" ht="15" customHeight="1">
      <c r="O854" s="122"/>
    </row>
    <row r="855" spans="15:15" ht="15" customHeight="1">
      <c r="O855" s="122"/>
    </row>
    <row r="856" spans="15:15" ht="15" customHeight="1">
      <c r="O856" s="122"/>
    </row>
    <row r="857" spans="15:15" ht="15" customHeight="1">
      <c r="O857" s="122"/>
    </row>
    <row r="858" spans="15:15" ht="15" customHeight="1">
      <c r="O858" s="122"/>
    </row>
    <row r="859" spans="15:15" ht="15" customHeight="1">
      <c r="O859" s="122"/>
    </row>
    <row r="860" spans="15:15" ht="15" customHeight="1">
      <c r="O860" s="122"/>
    </row>
    <row r="861" spans="15:15" ht="15" customHeight="1">
      <c r="O861" s="122"/>
    </row>
    <row r="862" spans="15:15" ht="15" customHeight="1">
      <c r="O862" s="122"/>
    </row>
    <row r="863" spans="15:15" ht="15" customHeight="1">
      <c r="O863" s="122"/>
    </row>
    <row r="864" spans="15:15" ht="15" customHeight="1">
      <c r="O864" s="122"/>
    </row>
    <row r="865" spans="15:15" ht="15" customHeight="1">
      <c r="O865" s="122"/>
    </row>
    <row r="866" spans="15:15" ht="15" customHeight="1">
      <c r="O866" s="122"/>
    </row>
    <row r="867" spans="15:15" ht="15" customHeight="1">
      <c r="O867" s="122"/>
    </row>
    <row r="868" spans="15:15" ht="15" customHeight="1">
      <c r="O868" s="122"/>
    </row>
    <row r="869" spans="15:15" ht="15" customHeight="1">
      <c r="O869" s="122"/>
    </row>
    <row r="870" spans="15:15" ht="15" customHeight="1">
      <c r="O870" s="122"/>
    </row>
    <row r="871" spans="15:15" ht="15" customHeight="1">
      <c r="O871" s="122"/>
    </row>
    <row r="872" spans="15:15" ht="15" customHeight="1">
      <c r="O872" s="122"/>
    </row>
    <row r="873" spans="15:15" ht="15" customHeight="1">
      <c r="O873" s="122"/>
    </row>
    <row r="874" spans="15:15" ht="15" customHeight="1">
      <c r="O874" s="122"/>
    </row>
    <row r="875" spans="15:15" ht="15" customHeight="1">
      <c r="O875" s="122"/>
    </row>
    <row r="876" spans="15:15" ht="15" customHeight="1">
      <c r="O876" s="122"/>
    </row>
    <row r="877" spans="15:15" ht="15" customHeight="1">
      <c r="O877" s="122"/>
    </row>
    <row r="878" spans="15:15" ht="15" customHeight="1">
      <c r="O878" s="122"/>
    </row>
    <row r="879" spans="15:15" ht="15" customHeight="1">
      <c r="O879" s="122"/>
    </row>
    <row r="880" spans="15:15" ht="15" customHeight="1">
      <c r="O880" s="122"/>
    </row>
    <row r="881" spans="15:15" ht="15" customHeight="1">
      <c r="O881" s="122"/>
    </row>
    <row r="882" spans="15:15" ht="15" customHeight="1">
      <c r="O882" s="122"/>
    </row>
    <row r="883" spans="15:15" ht="15" customHeight="1">
      <c r="O883" s="122"/>
    </row>
    <row r="884" spans="15:15" ht="15" customHeight="1">
      <c r="O884" s="122"/>
    </row>
    <row r="885" spans="15:15" ht="15" customHeight="1">
      <c r="O885" s="122"/>
    </row>
    <row r="886" spans="15:15" ht="15" customHeight="1">
      <c r="O886" s="122"/>
    </row>
    <row r="887" spans="15:15" ht="15" customHeight="1">
      <c r="O887" s="122"/>
    </row>
    <row r="888" spans="15:15" ht="15" customHeight="1">
      <c r="O888" s="122"/>
    </row>
    <row r="889" spans="15:15" ht="15" customHeight="1">
      <c r="O889" s="122"/>
    </row>
    <row r="890" spans="15:15" ht="15" customHeight="1">
      <c r="O890" s="122"/>
    </row>
    <row r="891" spans="15:15" ht="15" customHeight="1">
      <c r="O891" s="122"/>
    </row>
    <row r="892" spans="15:15" ht="15" customHeight="1">
      <c r="O892" s="122"/>
    </row>
    <row r="893" spans="15:15" ht="15" customHeight="1">
      <c r="O893" s="122"/>
    </row>
    <row r="894" spans="15:15" ht="15" customHeight="1">
      <c r="O894" s="122"/>
    </row>
    <row r="895" spans="15:15" ht="15" customHeight="1">
      <c r="O895" s="122"/>
    </row>
    <row r="896" spans="15:15" ht="15" customHeight="1">
      <c r="O896" s="122"/>
    </row>
    <row r="897" spans="15:15" ht="15" customHeight="1">
      <c r="O897" s="122"/>
    </row>
    <row r="898" spans="15:15" ht="15" customHeight="1">
      <c r="O898" s="122"/>
    </row>
    <row r="899" spans="15:15" ht="15" customHeight="1">
      <c r="O899" s="122"/>
    </row>
    <row r="900" spans="15:15" ht="15" customHeight="1">
      <c r="O900" s="122"/>
    </row>
    <row r="901" spans="15:15" ht="15" customHeight="1">
      <c r="O901" s="122"/>
    </row>
    <row r="902" spans="15:15" ht="15" customHeight="1">
      <c r="O902" s="122"/>
    </row>
    <row r="903" spans="15:15" ht="15" customHeight="1">
      <c r="O903" s="122"/>
    </row>
    <row r="904" spans="15:15" ht="15" customHeight="1">
      <c r="O904" s="122"/>
    </row>
    <row r="905" spans="15:15" ht="15" customHeight="1">
      <c r="O905" s="122"/>
    </row>
    <row r="906" spans="15:15" ht="15" customHeight="1">
      <c r="O906" s="122"/>
    </row>
    <row r="907" spans="15:15" ht="15" customHeight="1">
      <c r="O907" s="122"/>
    </row>
    <row r="908" spans="15:15" ht="15" customHeight="1">
      <c r="O908" s="122"/>
    </row>
    <row r="909" spans="15:15" ht="15" customHeight="1">
      <c r="O909" s="122"/>
    </row>
    <row r="910" spans="15:15" ht="15" customHeight="1">
      <c r="O910" s="122"/>
    </row>
    <row r="911" spans="15:15" ht="15" customHeight="1">
      <c r="O911" s="122"/>
    </row>
    <row r="912" spans="15:15" ht="15" customHeight="1">
      <c r="O912" s="122"/>
    </row>
    <row r="913" spans="15:15" ht="15" customHeight="1">
      <c r="O913" s="122"/>
    </row>
    <row r="914" spans="15:15" ht="15" customHeight="1">
      <c r="O914" s="122"/>
    </row>
    <row r="915" spans="15:15" ht="15" customHeight="1">
      <c r="O915" s="122"/>
    </row>
    <row r="916" spans="15:15" ht="15" customHeight="1">
      <c r="O916" s="122"/>
    </row>
    <row r="917" spans="15:15" ht="15" customHeight="1">
      <c r="O917" s="122"/>
    </row>
    <row r="918" spans="15:15" ht="15" customHeight="1">
      <c r="O918" s="122"/>
    </row>
    <row r="919" spans="15:15" ht="15" customHeight="1">
      <c r="O919" s="122"/>
    </row>
    <row r="920" spans="15:15" ht="15" customHeight="1">
      <c r="O920" s="122"/>
    </row>
    <row r="921" spans="15:15" ht="15" customHeight="1">
      <c r="O921" s="122"/>
    </row>
    <row r="922" spans="15:15" ht="15" customHeight="1">
      <c r="O922" s="122"/>
    </row>
    <row r="923" spans="15:15" ht="15" customHeight="1">
      <c r="O923" s="122"/>
    </row>
    <row r="924" spans="15:15" ht="15" customHeight="1">
      <c r="O924" s="122"/>
    </row>
    <row r="925" spans="15:15" ht="15" customHeight="1">
      <c r="O925" s="122"/>
    </row>
    <row r="926" spans="15:15" ht="15" customHeight="1">
      <c r="O926" s="122"/>
    </row>
    <row r="927" spans="15:15" ht="15" customHeight="1">
      <c r="O927" s="122"/>
    </row>
    <row r="928" spans="15:15" ht="15" customHeight="1">
      <c r="O928" s="122"/>
    </row>
    <row r="929" spans="15:15" ht="15" customHeight="1">
      <c r="O929" s="122"/>
    </row>
    <row r="930" spans="15:15" ht="15" customHeight="1">
      <c r="O930" s="122"/>
    </row>
    <row r="931" spans="15:15" ht="15" customHeight="1">
      <c r="O931" s="122"/>
    </row>
    <row r="932" spans="15:15" ht="15" customHeight="1">
      <c r="O932" s="122"/>
    </row>
    <row r="933" spans="15:15" ht="15" customHeight="1">
      <c r="O933" s="122"/>
    </row>
    <row r="934" spans="15:15" ht="15" customHeight="1">
      <c r="O934" s="122"/>
    </row>
    <row r="935" spans="15:15" ht="15" customHeight="1">
      <c r="O935" s="122"/>
    </row>
    <row r="936" spans="15:15" ht="15" customHeight="1">
      <c r="O936" s="122"/>
    </row>
    <row r="937" spans="15:15" ht="15" customHeight="1">
      <c r="O937" s="122"/>
    </row>
    <row r="938" spans="15:15" ht="15" customHeight="1">
      <c r="O938" s="122"/>
    </row>
    <row r="939" spans="15:15" ht="15" customHeight="1">
      <c r="O939" s="122"/>
    </row>
    <row r="940" spans="15:15" ht="15" customHeight="1">
      <c r="O940" s="122"/>
    </row>
    <row r="941" spans="15:15" ht="15" customHeight="1">
      <c r="O941" s="122"/>
    </row>
    <row r="942" spans="15:15" ht="15" customHeight="1">
      <c r="O942" s="122"/>
    </row>
    <row r="943" spans="15:15" ht="15" customHeight="1">
      <c r="O943" s="122"/>
    </row>
    <row r="944" spans="15:15" ht="15" customHeight="1">
      <c r="O944" s="122"/>
    </row>
    <row r="945" spans="15:15" ht="15" customHeight="1">
      <c r="O945" s="122"/>
    </row>
    <row r="946" spans="15:15" ht="15" customHeight="1">
      <c r="O946" s="122"/>
    </row>
    <row r="947" spans="15:15" ht="15" customHeight="1">
      <c r="O947" s="122"/>
    </row>
    <row r="948" spans="15:15" ht="15" customHeight="1">
      <c r="O948" s="122"/>
    </row>
    <row r="949" spans="15:15" ht="15" customHeight="1">
      <c r="O949" s="122"/>
    </row>
    <row r="950" spans="15:15" ht="15" customHeight="1">
      <c r="O950" s="122"/>
    </row>
    <row r="951" spans="15:15" ht="15" customHeight="1">
      <c r="O951" s="122"/>
    </row>
    <row r="952" spans="15:15" ht="15" customHeight="1">
      <c r="O952" s="122"/>
    </row>
    <row r="953" spans="15:15" ht="15" customHeight="1">
      <c r="O953" s="122"/>
    </row>
    <row r="954" spans="15:15" ht="15" customHeight="1">
      <c r="O954" s="122"/>
    </row>
    <row r="955" spans="15:15" ht="15" customHeight="1">
      <c r="O955" s="122"/>
    </row>
    <row r="956" spans="15:15" ht="15" customHeight="1">
      <c r="O956" s="122"/>
    </row>
    <row r="957" spans="15:15" ht="15" customHeight="1">
      <c r="O957" s="122"/>
    </row>
    <row r="958" spans="15:15" ht="15" customHeight="1">
      <c r="O958" s="122"/>
    </row>
    <row r="959" spans="15:15" ht="15" customHeight="1">
      <c r="O959" s="122"/>
    </row>
    <row r="960" spans="15:15" ht="15" customHeight="1">
      <c r="O960" s="122"/>
    </row>
    <row r="961" spans="15:15" ht="15" customHeight="1">
      <c r="O961" s="122"/>
    </row>
    <row r="962" spans="15:15" ht="15" customHeight="1">
      <c r="O962" s="122"/>
    </row>
    <row r="963" spans="15:15" ht="15" customHeight="1">
      <c r="O963" s="122"/>
    </row>
    <row r="964" spans="15:15" ht="15" customHeight="1">
      <c r="O964" s="122"/>
    </row>
    <row r="965" spans="15:15" ht="15" customHeight="1">
      <c r="O965" s="122"/>
    </row>
    <row r="966" spans="15:15" ht="15" customHeight="1">
      <c r="O966" s="122"/>
    </row>
    <row r="967" spans="15:15" ht="15" customHeight="1">
      <c r="O967" s="122"/>
    </row>
    <row r="968" spans="15:15" ht="15" customHeight="1">
      <c r="O968" s="122"/>
    </row>
    <row r="969" spans="15:15" ht="15" customHeight="1">
      <c r="O969" s="122"/>
    </row>
    <row r="970" spans="15:15" ht="15" customHeight="1">
      <c r="O970" s="122"/>
    </row>
    <row r="971" spans="15:15" ht="15" customHeight="1">
      <c r="O971" s="122"/>
    </row>
    <row r="972" spans="15:15" ht="15" customHeight="1">
      <c r="O972" s="122"/>
    </row>
    <row r="973" spans="15:15" ht="15" customHeight="1">
      <c r="O973" s="122"/>
    </row>
    <row r="974" spans="15:15" ht="15" customHeight="1">
      <c r="O974" s="122"/>
    </row>
    <row r="975" spans="15:15" ht="15" customHeight="1">
      <c r="O975" s="122"/>
    </row>
    <row r="976" spans="15:15" ht="15" customHeight="1">
      <c r="O976" s="122"/>
    </row>
    <row r="977" spans="15:15" ht="15" customHeight="1">
      <c r="O977" s="122"/>
    </row>
    <row r="978" spans="15:15" ht="15" customHeight="1">
      <c r="O978" s="122"/>
    </row>
    <row r="979" spans="15:15" ht="15" customHeight="1">
      <c r="O979" s="122"/>
    </row>
    <row r="980" spans="15:15" ht="15" customHeight="1">
      <c r="O980" s="122"/>
    </row>
    <row r="981" spans="15:15" ht="15" customHeight="1">
      <c r="O981" s="122"/>
    </row>
    <row r="982" spans="15:15" ht="15" customHeight="1">
      <c r="O982" s="122"/>
    </row>
    <row r="983" spans="15:15" ht="15" customHeight="1">
      <c r="O983" s="122"/>
    </row>
    <row r="984" spans="15:15" ht="15" customHeight="1">
      <c r="O984" s="122"/>
    </row>
    <row r="985" spans="15:15" ht="15" customHeight="1">
      <c r="O985" s="122"/>
    </row>
    <row r="986" spans="15:15" ht="15" customHeight="1">
      <c r="O986" s="122"/>
    </row>
    <row r="987" spans="15:15" ht="15" customHeight="1">
      <c r="O987" s="122"/>
    </row>
    <row r="988" spans="15:15" ht="15" customHeight="1">
      <c r="O988" s="122"/>
    </row>
    <row r="989" spans="15:15" ht="15" customHeight="1">
      <c r="O989" s="122"/>
    </row>
    <row r="990" spans="15:15" ht="15" customHeight="1">
      <c r="O990" s="122"/>
    </row>
    <row r="991" spans="15:15" ht="15" customHeight="1">
      <c r="O991" s="122"/>
    </row>
    <row r="992" spans="15:15" ht="15" customHeight="1">
      <c r="O992" s="122"/>
    </row>
    <row r="993" spans="15:15" ht="15" customHeight="1">
      <c r="O993" s="122"/>
    </row>
    <row r="994" spans="15:15" ht="15" customHeight="1">
      <c r="O994" s="122"/>
    </row>
    <row r="995" spans="15:15" ht="15" customHeight="1">
      <c r="O995" s="122"/>
    </row>
    <row r="996" spans="15:15" ht="15" customHeight="1">
      <c r="O996" s="122"/>
    </row>
    <row r="997" spans="15:15" ht="15" customHeight="1">
      <c r="O997" s="122"/>
    </row>
    <row r="998" spans="15:15" ht="15" customHeight="1">
      <c r="O998" s="122"/>
    </row>
    <row r="999" spans="15:15" ht="15" customHeight="1">
      <c r="O999" s="122"/>
    </row>
    <row r="1000" spans="15:15" ht="15" customHeight="1">
      <c r="O1000" s="122"/>
    </row>
    <row r="1001" spans="15:15" ht="15" customHeight="1">
      <c r="O1001" s="122"/>
    </row>
    <row r="1002" spans="15:15" ht="15" customHeight="1">
      <c r="O1002" s="122"/>
    </row>
    <row r="1003" spans="15:15" ht="15" customHeight="1">
      <c r="O1003" s="122"/>
    </row>
    <row r="1004" spans="15:15" ht="15" customHeight="1">
      <c r="O1004" s="122"/>
    </row>
    <row r="1005" spans="15:15" ht="15" customHeight="1">
      <c r="O1005" s="122"/>
    </row>
    <row r="1006" spans="15:15" ht="15" customHeight="1">
      <c r="O1006" s="122"/>
    </row>
    <row r="1007" spans="15:15" ht="15" customHeight="1">
      <c r="O1007" s="122"/>
    </row>
    <row r="1008" spans="15:15" ht="15" customHeight="1">
      <c r="O1008" s="122"/>
    </row>
    <row r="1009" spans="15:15" ht="15" customHeight="1">
      <c r="O1009" s="122"/>
    </row>
    <row r="1010" spans="15:15" ht="15" customHeight="1">
      <c r="O1010" s="122"/>
    </row>
    <row r="1011" spans="15:15" ht="15" customHeight="1">
      <c r="O1011" s="122"/>
    </row>
    <row r="1012" spans="15:15" ht="15" customHeight="1">
      <c r="O1012" s="122"/>
    </row>
    <row r="1013" spans="15:15" ht="15" customHeight="1">
      <c r="O1013" s="122"/>
    </row>
  </sheetData>
  <mergeCells count="4">
    <mergeCell ref="H1:Y1"/>
    <mergeCell ref="BG1:BJ1"/>
    <mergeCell ref="A65:B67"/>
    <mergeCell ref="BC1:BF1"/>
  </mergeCells>
  <conditionalFormatting sqref="AO1:AY1">
    <cfRule type="notContainsBlanks" dxfId="1" priority="1">
      <formula>LEN(TRIM(AO1))&gt;0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X152"/>
  <sheetViews>
    <sheetView workbookViewId="0">
      <pane ySplit="2" topLeftCell="A3" activePane="bottomLeft" state="frozen"/>
      <selection pane="bottomLeft" activeCell="B4" sqref="B4"/>
    </sheetView>
  </sheetViews>
  <sheetFormatPr defaultColWidth="17.28515625" defaultRowHeight="15" customHeight="1"/>
  <cols>
    <col min="1" max="1" width="7" customWidth="1"/>
    <col min="2" max="2" width="7.7109375" customWidth="1"/>
    <col min="3" max="3" width="6.85546875" customWidth="1"/>
    <col min="4" max="4" width="7.7109375" customWidth="1"/>
    <col min="5" max="5" width="7.5703125" customWidth="1"/>
    <col min="6" max="6" width="7" customWidth="1"/>
    <col min="7" max="7" width="5.140625" customWidth="1"/>
    <col min="8" max="8" width="13.140625" customWidth="1"/>
    <col min="9" max="9" width="6.5703125" customWidth="1"/>
    <col min="10" max="10" width="13.42578125" customWidth="1"/>
    <col min="11" max="11" width="11.42578125" customWidth="1"/>
    <col min="12" max="12" width="5.7109375" customWidth="1"/>
    <col min="13" max="13" width="13.140625" customWidth="1"/>
    <col min="14" max="14" width="12.7109375" customWidth="1"/>
    <col min="15" max="15" width="6" customWidth="1"/>
    <col min="16" max="16" width="14.5703125" customWidth="1"/>
    <col min="17" max="17" width="6.85546875" customWidth="1"/>
    <col min="18" max="18" width="6.42578125" customWidth="1"/>
    <col min="19" max="19" width="11.42578125" customWidth="1"/>
    <col min="20" max="20" width="12.140625" customWidth="1"/>
    <col min="21" max="21" width="6.42578125" customWidth="1"/>
    <col min="22" max="23" width="11.28515625" customWidth="1"/>
    <col min="24" max="24" width="5.85546875" customWidth="1"/>
    <col min="25" max="25" width="12.5703125" customWidth="1"/>
    <col min="26" max="26" width="10.5703125" customWidth="1"/>
    <col min="27" max="27" width="6" customWidth="1"/>
    <col min="28" max="28" width="11" customWidth="1"/>
    <col min="29" max="29" width="11.7109375" customWidth="1"/>
    <col min="30" max="30" width="6.140625" customWidth="1"/>
    <col min="31" max="31" width="11.7109375" customWidth="1"/>
    <col min="32" max="32" width="12.85546875" customWidth="1"/>
    <col min="33" max="33" width="5.85546875" customWidth="1"/>
    <col min="34" max="34" width="13.28515625" customWidth="1"/>
    <col min="35" max="35" width="11.7109375" customWidth="1"/>
    <col min="36" max="36" width="5" customWidth="1"/>
    <col min="37" max="37" width="12.7109375" customWidth="1"/>
    <col min="38" max="38" width="10.42578125" customWidth="1"/>
    <col min="39" max="39" width="6.140625" customWidth="1"/>
    <col min="40" max="40" width="12" customWidth="1"/>
    <col min="41" max="41" width="11.7109375" customWidth="1"/>
    <col min="42" max="42" width="6.85546875" customWidth="1"/>
    <col min="43" max="43" width="13" customWidth="1"/>
    <col min="44" max="44" width="11.5703125" customWidth="1"/>
    <col min="45" max="45" width="5.42578125" customWidth="1"/>
    <col min="46" max="46" width="12" customWidth="1"/>
    <col min="47" max="47" width="9.85546875" customWidth="1"/>
    <col min="48" max="48" width="5.42578125" customWidth="1"/>
    <col min="49" max="49" width="14" customWidth="1"/>
    <col min="50" max="50" width="10.140625" customWidth="1"/>
  </cols>
  <sheetData>
    <row r="1" spans="1:50">
      <c r="A1" s="6"/>
      <c r="B1" s="6"/>
      <c r="C1" s="6"/>
      <c r="D1" s="6"/>
      <c r="E1" s="6"/>
      <c r="F1" s="6"/>
      <c r="G1" s="6"/>
      <c r="H1" s="164" t="s">
        <v>239</v>
      </c>
      <c r="I1" s="154"/>
      <c r="J1" s="154"/>
      <c r="K1" s="154"/>
      <c r="L1" s="154"/>
      <c r="M1" s="154"/>
      <c r="N1" s="154"/>
      <c r="O1" s="154"/>
      <c r="P1" s="154"/>
      <c r="Q1" s="154"/>
      <c r="R1" s="154"/>
      <c r="S1" s="154"/>
      <c r="T1" s="154"/>
      <c r="U1" s="154"/>
      <c r="V1" s="154"/>
      <c r="W1" s="154"/>
      <c r="X1" s="154"/>
      <c r="Y1" s="154"/>
      <c r="Z1" s="54"/>
      <c r="AA1" s="54"/>
      <c r="AB1" s="54"/>
      <c r="AC1" s="54"/>
      <c r="AD1" s="54"/>
      <c r="AE1" s="54"/>
      <c r="AF1" s="54"/>
      <c r="AG1" s="54"/>
      <c r="AH1" s="54"/>
      <c r="AI1" s="54"/>
      <c r="AJ1" s="54"/>
      <c r="AK1" s="54"/>
      <c r="AL1" s="54"/>
      <c r="AM1" s="54"/>
      <c r="AN1" s="54"/>
      <c r="AO1" s="21"/>
      <c r="AP1" s="21"/>
      <c r="AQ1" s="21"/>
      <c r="AR1" s="21"/>
      <c r="AS1" s="21"/>
      <c r="AT1" s="21"/>
      <c r="AU1" s="21"/>
      <c r="AV1" s="21"/>
      <c r="AW1" s="21"/>
    </row>
    <row r="2" spans="1:50">
      <c r="A2" s="91" t="s">
        <v>51</v>
      </c>
      <c r="B2" s="91" t="s">
        <v>52</v>
      </c>
      <c r="C2" s="91" t="s">
        <v>53</v>
      </c>
      <c r="D2" s="91" t="s">
        <v>54</v>
      </c>
      <c r="E2" s="92" t="s">
        <v>243</v>
      </c>
      <c r="F2" s="92" t="s">
        <v>244</v>
      </c>
      <c r="G2" s="92"/>
      <c r="H2" s="92" t="s">
        <v>245</v>
      </c>
      <c r="I2" s="116" t="s">
        <v>246</v>
      </c>
      <c r="J2" s="92" t="s">
        <v>247</v>
      </c>
      <c r="K2" s="92" t="s">
        <v>248</v>
      </c>
      <c r="L2" s="92" t="s">
        <v>246</v>
      </c>
      <c r="M2" s="92" t="s">
        <v>249</v>
      </c>
      <c r="N2" s="92" t="s">
        <v>292</v>
      </c>
      <c r="O2" s="117" t="s">
        <v>246</v>
      </c>
      <c r="P2" s="93" t="s">
        <v>293</v>
      </c>
      <c r="Q2" s="93" t="s">
        <v>252</v>
      </c>
      <c r="R2" s="93" t="s">
        <v>246</v>
      </c>
      <c r="S2" s="93" t="s">
        <v>253</v>
      </c>
      <c r="T2" s="16" t="s">
        <v>254</v>
      </c>
      <c r="U2" s="16" t="s">
        <v>246</v>
      </c>
      <c r="V2" s="16" t="s">
        <v>255</v>
      </c>
      <c r="W2" s="92" t="s">
        <v>256</v>
      </c>
      <c r="X2" s="92" t="s">
        <v>246</v>
      </c>
      <c r="Y2" s="92" t="s">
        <v>257</v>
      </c>
      <c r="Z2" s="92" t="s">
        <v>258</v>
      </c>
      <c r="AA2" s="92" t="s">
        <v>246</v>
      </c>
      <c r="AB2" s="92" t="s">
        <v>259</v>
      </c>
      <c r="AC2" s="92" t="s">
        <v>260</v>
      </c>
      <c r="AD2" s="92" t="s">
        <v>246</v>
      </c>
      <c r="AE2" s="92" t="s">
        <v>261</v>
      </c>
      <c r="AF2" s="86" t="s">
        <v>262</v>
      </c>
      <c r="AG2" s="86" t="s">
        <v>246</v>
      </c>
      <c r="AH2" s="86" t="s">
        <v>263</v>
      </c>
      <c r="AI2" s="86" t="s">
        <v>264</v>
      </c>
      <c r="AJ2" s="86" t="s">
        <v>246</v>
      </c>
      <c r="AK2" s="86" t="s">
        <v>265</v>
      </c>
      <c r="AL2" s="86" t="s">
        <v>266</v>
      </c>
      <c r="AM2" s="86" t="s">
        <v>246</v>
      </c>
      <c r="AN2" s="86" t="s">
        <v>267</v>
      </c>
      <c r="AO2" s="86" t="s">
        <v>268</v>
      </c>
      <c r="AP2" s="86" t="s">
        <v>246</v>
      </c>
      <c r="AQ2" s="86" t="s">
        <v>269</v>
      </c>
      <c r="AR2" s="86" t="s">
        <v>270</v>
      </c>
      <c r="AS2" s="86" t="s">
        <v>244</v>
      </c>
      <c r="AT2" s="86" t="s">
        <v>271</v>
      </c>
      <c r="AU2" s="86" t="s">
        <v>272</v>
      </c>
      <c r="AV2" s="86" t="s">
        <v>246</v>
      </c>
      <c r="AW2" s="86" t="s">
        <v>273</v>
      </c>
      <c r="AX2" s="16" t="s">
        <v>274</v>
      </c>
    </row>
    <row r="3" spans="1:50">
      <c r="A3" s="87" t="s">
        <v>78</v>
      </c>
      <c r="B3" s="87" t="s">
        <v>101</v>
      </c>
      <c r="C3" s="87">
        <v>1</v>
      </c>
      <c r="D3" s="87" t="s">
        <v>83</v>
      </c>
      <c r="E3" s="2"/>
      <c r="F3" s="2"/>
      <c r="G3" s="2"/>
      <c r="J3">
        <f>H3-VLOOKUP(I3,'Bag weights'!A:B,2,FALSE)</f>
        <v>0</v>
      </c>
      <c r="M3">
        <f>K3-VLOOKUP(L3,'Bag weights'!A$1:B$20,2,FALSE)</f>
        <v>0</v>
      </c>
      <c r="O3" s="122"/>
      <c r="P3">
        <f>N3-VLOOKUP(O3,'Bag weights'!A$1:B$20,2,FALSE)</f>
        <v>0</v>
      </c>
      <c r="Q3" s="16"/>
      <c r="R3" s="16"/>
      <c r="S3">
        <f>Q3-VLOOKUP(R3,'Bag weights'!A$1:B$20,2,FALSE)</f>
        <v>0</v>
      </c>
      <c r="T3" s="16">
        <v>34.520000000000003</v>
      </c>
      <c r="U3" s="16" t="s">
        <v>294</v>
      </c>
      <c r="V3">
        <f>T3-VLOOKUP(U3,'Bag weights'!A$1:B$20,2,FALSE)</f>
        <v>20.14</v>
      </c>
      <c r="Y3">
        <f>W3-VLOOKUP(X3,'Bag weights'!A$1:B$20,2,FALSE)</f>
        <v>0</v>
      </c>
      <c r="Z3" s="16">
        <v>21.24</v>
      </c>
      <c r="AA3" s="16" t="s">
        <v>295</v>
      </c>
      <c r="AB3">
        <f>Z3-VLOOKUP(AA3,'Bag weights'!A$1:B$20,2,FALSE)</f>
        <v>13.409999999999998</v>
      </c>
      <c r="AC3" s="16">
        <v>12.05</v>
      </c>
      <c r="AD3" s="16" t="s">
        <v>295</v>
      </c>
      <c r="AE3">
        <f>AC3-VLOOKUP(AD3,'Bag weights'!A$1:B$20,2,FALSE)</f>
        <v>4.2200000000000006</v>
      </c>
      <c r="AH3">
        <f>AF3-VLOOKUP(AG3,'Bag weights'!A$1:B$20,2,FALSE)</f>
        <v>0</v>
      </c>
      <c r="AI3" s="16">
        <v>13.43</v>
      </c>
      <c r="AJ3" s="16" t="s">
        <v>295</v>
      </c>
      <c r="AK3">
        <f>AI3-VLOOKUP(AJ3,'Bag weights'!A$1:B$20,2,FALSE)</f>
        <v>5.6</v>
      </c>
      <c r="AL3" s="16">
        <v>39.229999999999997</v>
      </c>
      <c r="AM3" s="16" t="s">
        <v>294</v>
      </c>
      <c r="AN3">
        <f>AL3-VLOOKUP(AM3,'Bag weights'!A$1:B$20,2,FALSE)</f>
        <v>24.849999999999994</v>
      </c>
      <c r="AO3" s="16">
        <v>48.65</v>
      </c>
      <c r="AP3" s="16" t="s">
        <v>290</v>
      </c>
      <c r="AQ3">
        <f>AO3-VLOOKUP(AP3,'Bag weights'!A$1:B$20,2,FALSE)</f>
        <v>21.15</v>
      </c>
      <c r="AT3">
        <f>AR3-VLOOKUP(AS3,'Bag weights'!A$1:B$20,2,FALSE)</f>
        <v>0</v>
      </c>
      <c r="AU3" s="16">
        <v>3.73</v>
      </c>
      <c r="AV3" s="16" t="s">
        <v>296</v>
      </c>
      <c r="AW3">
        <f>AU3-VLOOKUP(AV3,'Bag weights'!A$1:B$20,2,FALSE)</f>
        <v>1.2399999999999998</v>
      </c>
      <c r="AX3">
        <f t="shared" ref="AX3:AX152" si="0">SUM(AT3+AQ3+AN3+AK3+AH3+AE3+AB3+Y3+V3+S3+J3+P3+M3)</f>
        <v>89.36999999999999</v>
      </c>
    </row>
    <row r="4" spans="1:50">
      <c r="A4" s="86" t="s">
        <v>289</v>
      </c>
      <c r="B4" s="87"/>
      <c r="C4" s="87">
        <v>1</v>
      </c>
      <c r="D4" s="87" t="s">
        <v>85</v>
      </c>
      <c r="E4" s="2"/>
      <c r="F4" s="2"/>
      <c r="G4" s="2"/>
      <c r="J4">
        <f>H4-VLOOKUP(I4,'Bag weights'!A:B,2,FALSE)</f>
        <v>0</v>
      </c>
      <c r="M4">
        <f>K4-VLOOKUP(L4,'Bag weights'!A$1:B$20,2,FALSE)</f>
        <v>0</v>
      </c>
      <c r="O4" s="122"/>
      <c r="P4">
        <f>N4-VLOOKUP(O4,'Bag weights'!A$1:B$20,2,FALSE)</f>
        <v>0</v>
      </c>
      <c r="S4">
        <f>Q4-VLOOKUP(R4,'Bag weights'!A$1:B$20,2,FALSE)</f>
        <v>0</v>
      </c>
      <c r="V4">
        <f>T4-VLOOKUP(U4,'Bag weights'!A$1:B$20,2,FALSE)</f>
        <v>0</v>
      </c>
      <c r="Y4">
        <f>W4-VLOOKUP(X4,'Bag weights'!A$1:B$20,2,FALSE)</f>
        <v>0</v>
      </c>
      <c r="AB4">
        <f>Z4-VLOOKUP(AA4,'Bag weights'!A$1:B$20,2,FALSE)</f>
        <v>0</v>
      </c>
      <c r="AE4">
        <f>AC4-VLOOKUP(AD4,'Bag weights'!A$1:B$20,2,FALSE)</f>
        <v>0</v>
      </c>
      <c r="AH4">
        <f>AF4-VLOOKUP(AG4,'Bag weights'!A$1:B$20,2,FALSE)</f>
        <v>0</v>
      </c>
      <c r="AK4">
        <f>AI4-VLOOKUP(AJ4,'Bag weights'!A$1:B$20,2,FALSE)</f>
        <v>0</v>
      </c>
      <c r="AN4">
        <f>AL4-VLOOKUP(AM4,'Bag weights'!A$1:B$20,2,FALSE)</f>
        <v>0</v>
      </c>
      <c r="AQ4">
        <f>AO4-VLOOKUP(AP4,'Bag weights'!A$1:B$20,2,FALSE)</f>
        <v>0</v>
      </c>
      <c r="AT4">
        <f>AR4-VLOOKUP(AS4,'Bag weights'!A$1:B$20,2,FALSE)</f>
        <v>0</v>
      </c>
      <c r="AW4">
        <f>AU4-VLOOKUP(AV4,'Bag weights'!A$1:B$20,2,FALSE)</f>
        <v>0</v>
      </c>
      <c r="AX4">
        <f t="shared" si="0"/>
        <v>0</v>
      </c>
    </row>
    <row r="5" spans="1:50">
      <c r="A5" s="171" t="s">
        <v>297</v>
      </c>
      <c r="B5" s="172"/>
      <c r="C5" s="87">
        <v>1</v>
      </c>
      <c r="D5" s="87" t="s">
        <v>87</v>
      </c>
      <c r="E5" s="2"/>
      <c r="F5" s="2"/>
      <c r="G5" s="2"/>
      <c r="H5" s="16">
        <v>1.83</v>
      </c>
      <c r="I5" s="16" t="s">
        <v>298</v>
      </c>
      <c r="J5">
        <f>H5-VLOOKUP(I5,'Bag weights'!A:B,2,FALSE)</f>
        <v>0.43000000000000016</v>
      </c>
      <c r="M5">
        <f>K5-VLOOKUP(L5,'Bag weights'!A$1:B$20,2,FALSE)</f>
        <v>0</v>
      </c>
      <c r="O5" s="122"/>
      <c r="P5">
        <f>N5-VLOOKUP(O5,'Bag weights'!A$1:B$20,2,FALSE)</f>
        <v>0</v>
      </c>
      <c r="S5">
        <f>Q5-VLOOKUP(N15,'Bag weights'!A$1:B$20,2,FALSE)</f>
        <v>0</v>
      </c>
      <c r="T5" s="16">
        <v>36.29</v>
      </c>
      <c r="U5" s="16" t="s">
        <v>294</v>
      </c>
      <c r="V5">
        <f>T5-VLOOKUP(U5,'Bag weights'!A$1:B$20,2,FALSE)</f>
        <v>21.909999999999997</v>
      </c>
      <c r="W5" s="16">
        <v>1.47</v>
      </c>
      <c r="X5" s="16" t="s">
        <v>298</v>
      </c>
      <c r="Y5">
        <f>W5-VLOOKUP(X5,'Bag weights'!A$1:B$20,2,FALSE)</f>
        <v>7.0000000000000062E-2</v>
      </c>
      <c r="Z5" s="16">
        <v>45.12</v>
      </c>
      <c r="AA5" s="16" t="s">
        <v>294</v>
      </c>
      <c r="AB5">
        <f>Z5-VLOOKUP(AA5,'Bag weights'!A$1:B$20,2,FALSE)</f>
        <v>30.739999999999995</v>
      </c>
      <c r="AC5" s="16">
        <v>10.27</v>
      </c>
      <c r="AD5" s="16" t="s">
        <v>295</v>
      </c>
      <c r="AE5">
        <f>AC5-VLOOKUP(AD5,'Bag weights'!A$1:B$20,2,FALSE)</f>
        <v>2.4399999999999995</v>
      </c>
      <c r="AF5" s="16">
        <v>2.57</v>
      </c>
      <c r="AG5" s="16" t="s">
        <v>296</v>
      </c>
      <c r="AH5">
        <f>AF5-VLOOKUP(AG5,'Bag weights'!A$1:B$20,2,FALSE)</f>
        <v>7.9999999999999627E-2</v>
      </c>
      <c r="AI5" s="16">
        <v>14.9</v>
      </c>
      <c r="AJ5" s="16" t="s">
        <v>295</v>
      </c>
      <c r="AK5">
        <f>AI5-VLOOKUP(AJ5,'Bag weights'!A$1:B$20,2,FALSE)</f>
        <v>7.07</v>
      </c>
      <c r="AN5">
        <f>AL5-VLOOKUP(AM5,'Bag weights'!A$1:B$20,2,FALSE)</f>
        <v>0</v>
      </c>
      <c r="AO5" s="16">
        <v>36.72</v>
      </c>
      <c r="AP5" s="16" t="s">
        <v>290</v>
      </c>
      <c r="AQ5">
        <f>AO5-VLOOKUP(AP5,'Bag weights'!A$1:B$20,2,FALSE)</f>
        <v>9.2199999999999989</v>
      </c>
      <c r="AT5">
        <f>AR5-VLOOKUP(AS5,'Bag weights'!A$1:B$20,2,FALSE)</f>
        <v>0</v>
      </c>
      <c r="AU5" s="16">
        <v>3.39</v>
      </c>
      <c r="AV5" s="16" t="s">
        <v>296</v>
      </c>
      <c r="AW5">
        <f>AU5-VLOOKUP(AV5,'Bag weights'!A$1:B$20,2,FALSE)</f>
        <v>0.89999999999999991</v>
      </c>
      <c r="AX5">
        <f t="shared" si="0"/>
        <v>71.959999999999994</v>
      </c>
    </row>
    <row r="6" spans="1:50">
      <c r="A6" s="173"/>
      <c r="B6" s="174"/>
      <c r="C6" s="87">
        <v>1</v>
      </c>
      <c r="D6" s="87" t="s">
        <v>79</v>
      </c>
      <c r="E6" s="2"/>
      <c r="F6" s="2"/>
      <c r="G6" s="2"/>
      <c r="H6" s="16"/>
      <c r="J6">
        <f>H6-VLOOKUP(I6,'Bag weights'!A:B,2,FALSE)</f>
        <v>0</v>
      </c>
      <c r="M6">
        <f>K6-VLOOKUP(L6,'Bag weights'!A$1:B$20,2,FALSE)</f>
        <v>0</v>
      </c>
      <c r="O6" s="122"/>
      <c r="P6">
        <f>N6-VLOOKUP(O6,'Bag weights'!A$1:B$20,2,FALSE)</f>
        <v>0</v>
      </c>
      <c r="S6">
        <f>Q6-VLOOKUP(R6,'Bag weights'!A$1:B$20,2,FALSE)</f>
        <v>0</v>
      </c>
      <c r="V6">
        <f>T6-VLOOKUP(U6,'Bag weights'!A$1:B$20,2,FALSE)</f>
        <v>0</v>
      </c>
      <c r="Y6">
        <f>W6-VLOOKUP(X6,'Bag weights'!A$1:B$20,2,FALSE)</f>
        <v>0</v>
      </c>
      <c r="AB6">
        <f>Z6-VLOOKUP(AA6,'Bag weights'!A$1:B$20,2,FALSE)</f>
        <v>0</v>
      </c>
      <c r="AE6">
        <f>AC6-VLOOKUP(AD6,'Bag weights'!A$1:B$20,2,FALSE)</f>
        <v>0</v>
      </c>
      <c r="AH6">
        <f>AF6-VLOOKUP(AG6,'Bag weights'!A$1:B$20,2,FALSE)</f>
        <v>0</v>
      </c>
      <c r="AK6">
        <f>AI6-VLOOKUP(AJ6,'Bag weights'!A$1:B$20,2,FALSE)</f>
        <v>0</v>
      </c>
      <c r="AN6">
        <f>AL6-VLOOKUP(AM6,'Bag weights'!A$1:B$20,2,FALSE)</f>
        <v>0</v>
      </c>
      <c r="AQ6">
        <f>AO6-VLOOKUP(AP6,'Bag weights'!A$1:B$20,2,FALSE)</f>
        <v>0</v>
      </c>
      <c r="AT6">
        <f>AR6-VLOOKUP(AS6,'Bag weights'!A$1:B$20,2,FALSE)</f>
        <v>0</v>
      </c>
      <c r="AW6">
        <f>AU6-VLOOKUP(AV6,'Bag weights'!A$1:B$20,2,FALSE)</f>
        <v>0</v>
      </c>
      <c r="AX6">
        <f t="shared" si="0"/>
        <v>0</v>
      </c>
    </row>
    <row r="7" spans="1:50">
      <c r="A7" s="175"/>
      <c r="B7" s="176"/>
      <c r="C7" s="87">
        <v>1</v>
      </c>
      <c r="D7" s="87" t="s">
        <v>88</v>
      </c>
      <c r="E7" s="2"/>
      <c r="F7" s="2"/>
      <c r="G7" s="2"/>
      <c r="H7" s="16">
        <v>4.01</v>
      </c>
      <c r="I7" s="16" t="s">
        <v>296</v>
      </c>
      <c r="J7">
        <f>H7-VLOOKUP(I7,'Bag weights'!A:B,2,FALSE)</f>
        <v>1.5199999999999996</v>
      </c>
      <c r="M7">
        <f>K7-VLOOKUP(L7,'Bag weights'!A$1:B$20,2,FALSE)</f>
        <v>0</v>
      </c>
      <c r="N7" s="16">
        <v>1.71</v>
      </c>
      <c r="O7" s="119" t="s">
        <v>298</v>
      </c>
      <c r="P7">
        <f>N7-VLOOKUP(O7,'Bag weights'!A$1:B$20,2,FALSE)</f>
        <v>0.31000000000000005</v>
      </c>
      <c r="S7">
        <f>Q7-VLOOKUP(R7,'Bag weights'!A$1:B$20,2,FALSE)</f>
        <v>0</v>
      </c>
      <c r="T7" s="16">
        <v>30.65</v>
      </c>
      <c r="U7" s="16" t="s">
        <v>294</v>
      </c>
      <c r="V7">
        <f>T7-VLOOKUP(U7,'Bag weights'!A$1:B$20,2,FALSE)</f>
        <v>16.269999999999996</v>
      </c>
      <c r="Y7">
        <f>W7-VLOOKUP(X7,'Bag weights'!A$1:B$20,2,FALSE)</f>
        <v>0</v>
      </c>
      <c r="Z7" s="16">
        <v>31.2</v>
      </c>
      <c r="AA7" s="16" t="s">
        <v>294</v>
      </c>
      <c r="AB7">
        <f>Z7-VLOOKUP(AA7,'Bag weights'!A$1:B$20,2,FALSE)</f>
        <v>16.82</v>
      </c>
      <c r="AC7" s="16">
        <v>29.58</v>
      </c>
      <c r="AD7" s="16" t="s">
        <v>294</v>
      </c>
      <c r="AE7">
        <f>AC7-VLOOKUP(AD7,'Bag weights'!A$1:B$20,2,FALSE)</f>
        <v>15.199999999999998</v>
      </c>
      <c r="AH7">
        <f>AF7-VLOOKUP(AG7,'Bag weights'!A$1:B$20,2,FALSE)</f>
        <v>0</v>
      </c>
      <c r="AI7" s="16">
        <v>13.32</v>
      </c>
      <c r="AJ7" s="16" t="s">
        <v>295</v>
      </c>
      <c r="AK7">
        <f>AI7-VLOOKUP(AJ7,'Bag weights'!A$1:B$20,2,FALSE)</f>
        <v>5.49</v>
      </c>
      <c r="AL7" s="16">
        <v>29.46</v>
      </c>
      <c r="AM7" s="16" t="s">
        <v>294</v>
      </c>
      <c r="AN7">
        <f>AL7-VLOOKUP(AM7,'Bag weights'!A$1:B$20,2,FALSE)</f>
        <v>15.08</v>
      </c>
      <c r="AO7" s="16">
        <v>14.35</v>
      </c>
      <c r="AP7" s="16" t="s">
        <v>295</v>
      </c>
      <c r="AQ7">
        <f>AO7-VLOOKUP(AP7,'Bag weights'!A$1:B$20,2,FALSE)</f>
        <v>6.52</v>
      </c>
      <c r="AT7">
        <f>AR7-VLOOKUP(AS7,'Bag weights'!A$1:B$20,2,FALSE)</f>
        <v>0</v>
      </c>
      <c r="AU7" s="16">
        <v>3.86</v>
      </c>
      <c r="AV7" s="16" t="s">
        <v>296</v>
      </c>
      <c r="AW7">
        <f>AU7-VLOOKUP(AV7,'Bag weights'!A$1:B$20,2,FALSE)</f>
        <v>1.3699999999999997</v>
      </c>
      <c r="AX7">
        <f t="shared" si="0"/>
        <v>77.209999999999994</v>
      </c>
    </row>
    <row r="8" spans="1:50">
      <c r="A8" s="87"/>
      <c r="B8" s="87"/>
      <c r="C8" s="87">
        <v>2</v>
      </c>
      <c r="D8" s="87" t="s">
        <v>83</v>
      </c>
      <c r="E8" s="2"/>
      <c r="F8" s="2"/>
      <c r="G8" s="2"/>
      <c r="J8">
        <f>H8-VLOOKUP(I8,'Bag weights'!A:B,2,FALSE)</f>
        <v>0</v>
      </c>
      <c r="M8">
        <f>K8-VLOOKUP(L8,'Bag weights'!A$1:B$20,2,FALSE)</f>
        <v>0</v>
      </c>
      <c r="O8" s="122"/>
      <c r="P8">
        <f>N8-VLOOKUP(O8,'Bag weights'!A$1:B$20,2,FALSE)</f>
        <v>0</v>
      </c>
      <c r="S8">
        <f>Q8-VLOOKUP(R8,'Bag weights'!A$1:B$20,2,FALSE)</f>
        <v>0</v>
      </c>
      <c r="V8">
        <f>T8-VLOOKUP(U8,'Bag weights'!A$1:B$20,2,FALSE)</f>
        <v>0</v>
      </c>
      <c r="Y8">
        <f>W8-VLOOKUP(X8,'Bag weights'!A$1:B$20,2,FALSE)</f>
        <v>0</v>
      </c>
      <c r="AB8">
        <f>Z8-VLOOKUP(AA8,'Bag weights'!A$1:B$20,2,FALSE)</f>
        <v>0</v>
      </c>
      <c r="AE8">
        <f>AC8-VLOOKUP(AD8,'Bag weights'!A$1:B$20,2,FALSE)</f>
        <v>0</v>
      </c>
      <c r="AH8">
        <f>AF8-VLOOKUP(AG8,'Bag weights'!A$1:B$20,2,FALSE)</f>
        <v>0</v>
      </c>
      <c r="AK8">
        <f>AI8-VLOOKUP(AJ8,'Bag weights'!A$1:B$20,2,FALSE)</f>
        <v>0</v>
      </c>
      <c r="AN8">
        <f>AL8-VLOOKUP(AM8,'Bag weights'!A$1:B$20,2,FALSE)</f>
        <v>0</v>
      </c>
      <c r="AQ8">
        <f>AO8-VLOOKUP(AP8,'Bag weights'!A$1:B$20,2,FALSE)</f>
        <v>0</v>
      </c>
      <c r="AT8">
        <f>AR8-VLOOKUP(AS8,'Bag weights'!A$1:B$20,2,FALSE)</f>
        <v>0</v>
      </c>
      <c r="AW8">
        <f>AU8-VLOOKUP(AV8,'Bag weights'!A$1:B$20,2,FALSE)</f>
        <v>0</v>
      </c>
      <c r="AX8">
        <f t="shared" si="0"/>
        <v>0</v>
      </c>
    </row>
    <row r="9" spans="1:50">
      <c r="A9" s="87"/>
      <c r="B9" s="87"/>
      <c r="C9" s="87">
        <v>2</v>
      </c>
      <c r="D9" s="87" t="s">
        <v>85</v>
      </c>
      <c r="E9" s="21" t="s">
        <v>300</v>
      </c>
      <c r="F9" s="2"/>
      <c r="G9" s="2"/>
      <c r="H9" s="16">
        <v>1.53</v>
      </c>
      <c r="I9" s="16" t="s">
        <v>298</v>
      </c>
      <c r="J9">
        <f>H9-VLOOKUP(I9,'Bag weights'!A:B,2,FALSE)</f>
        <v>0.13000000000000012</v>
      </c>
      <c r="M9">
        <f>K9-VLOOKUP(L9,'Bag weights'!A$1:B$20,2,FALSE)</f>
        <v>0</v>
      </c>
      <c r="O9" s="122"/>
      <c r="P9">
        <f>N9-VLOOKUP(O9,'Bag weights'!A$1:B$20,2,FALSE)</f>
        <v>0</v>
      </c>
      <c r="S9">
        <f>Q9-VLOOKUP(R9,'Bag weights'!A$1:B$20,2,FALSE)</f>
        <v>0</v>
      </c>
      <c r="T9" s="16">
        <v>24.71</v>
      </c>
      <c r="U9" s="16" t="s">
        <v>294</v>
      </c>
      <c r="V9">
        <f>T9-VLOOKUP(U9,'Bag weights'!A$1:B$20,2,FALSE)</f>
        <v>10.33</v>
      </c>
      <c r="W9" s="16">
        <v>1.44</v>
      </c>
      <c r="X9" s="16" t="s">
        <v>298</v>
      </c>
      <c r="Y9">
        <f>W9-VLOOKUP(X9,'Bag weights'!A$1:B$20,2,FALSE)</f>
        <v>4.0000000000000036E-2</v>
      </c>
      <c r="Z9" s="16">
        <v>17.16</v>
      </c>
      <c r="AA9" s="16" t="s">
        <v>295</v>
      </c>
      <c r="AB9">
        <f>Z9-VLOOKUP(AA9,'Bag weights'!A$1:B$20,2,FALSE)</f>
        <v>9.33</v>
      </c>
      <c r="AC9" s="16">
        <v>26.97</v>
      </c>
      <c r="AD9" s="16" t="s">
        <v>294</v>
      </c>
      <c r="AE9">
        <f>AC9-VLOOKUP(AD9,'Bag weights'!A$1:B$20,2,FALSE)</f>
        <v>12.589999999999998</v>
      </c>
      <c r="AF9" s="16">
        <v>1.61</v>
      </c>
      <c r="AG9" s="16" t="s">
        <v>298</v>
      </c>
      <c r="AH9">
        <f>AF9-VLOOKUP(AG9,'Bag weights'!A$1:B$20,2,FALSE)</f>
        <v>0.21000000000000019</v>
      </c>
      <c r="AI9" s="16">
        <v>19.07</v>
      </c>
      <c r="AJ9" s="16" t="s">
        <v>295</v>
      </c>
      <c r="AK9">
        <f>AI9-VLOOKUP(AJ9,'Bag weights'!A$1:B$20,2,FALSE)</f>
        <v>11.24</v>
      </c>
      <c r="AL9" s="16">
        <v>35.19</v>
      </c>
      <c r="AM9" s="16" t="s">
        <v>294</v>
      </c>
      <c r="AN9">
        <f>AL9-VLOOKUP(AM9,'Bag weights'!A$1:B$20,2,FALSE)</f>
        <v>20.809999999999995</v>
      </c>
      <c r="AO9" s="16">
        <v>18.55</v>
      </c>
      <c r="AP9" s="16" t="s">
        <v>295</v>
      </c>
      <c r="AQ9">
        <f>AO9-VLOOKUP(AP9,'Bag weights'!A$1:B$20,2,FALSE)</f>
        <v>10.72</v>
      </c>
      <c r="AT9">
        <f>AR9-VLOOKUP(AS9,'Bag weights'!A$1:B$20,2,FALSE)</f>
        <v>0</v>
      </c>
      <c r="AU9" s="16">
        <v>3.23</v>
      </c>
      <c r="AV9" s="16" t="s">
        <v>296</v>
      </c>
      <c r="AW9">
        <f>AU9-VLOOKUP(AV9,'Bag weights'!A$1:B$20,2,FALSE)</f>
        <v>0.73999999999999977</v>
      </c>
      <c r="AX9">
        <f t="shared" si="0"/>
        <v>75.399999999999991</v>
      </c>
    </row>
    <row r="10" spans="1:50">
      <c r="A10" s="87"/>
      <c r="B10" s="87"/>
      <c r="C10" s="87">
        <v>2</v>
      </c>
      <c r="D10" s="87" t="s">
        <v>87</v>
      </c>
      <c r="E10" s="2"/>
      <c r="F10" s="2"/>
      <c r="G10" s="2"/>
      <c r="H10" s="16">
        <v>7.88</v>
      </c>
      <c r="I10" s="16" t="s">
        <v>295</v>
      </c>
      <c r="J10">
        <f>H10-VLOOKUP(I10,'Bag weights'!A:B,2,FALSE)</f>
        <v>4.9999999999999822E-2</v>
      </c>
      <c r="M10">
        <f>K10-VLOOKUP(L10,'Bag weights'!A$1:B$20,2,FALSE)</f>
        <v>0</v>
      </c>
      <c r="N10" s="16">
        <v>7.62</v>
      </c>
      <c r="O10" s="119" t="s">
        <v>295</v>
      </c>
      <c r="P10">
        <f>N10-VLOOKUP(O10,'Bag weights'!A$1:B$20,2,FALSE)</f>
        <v>-0.20999999999999996</v>
      </c>
      <c r="S10">
        <f>Q10-VLOOKUP(R10,'Bag weights'!A$1:B$20,2,FALSE)</f>
        <v>0</v>
      </c>
      <c r="T10" s="16">
        <v>26.69</v>
      </c>
      <c r="U10" s="16" t="s">
        <v>294</v>
      </c>
      <c r="V10">
        <f>T10-VLOOKUP(U10,'Bag weights'!A$1:B$20,2,FALSE)</f>
        <v>12.31</v>
      </c>
      <c r="Y10">
        <f>W10-VLOOKUP(X10,'Bag weights'!A$1:B$20,2,FALSE)</f>
        <v>0</v>
      </c>
      <c r="Z10" s="16">
        <v>31.27</v>
      </c>
      <c r="AA10" s="16" t="s">
        <v>294</v>
      </c>
      <c r="AB10">
        <f>Z10-VLOOKUP(AA10,'Bag weights'!A$1:B$20,2,FALSE)</f>
        <v>16.89</v>
      </c>
      <c r="AC10" s="16">
        <v>19.29</v>
      </c>
      <c r="AD10" s="16" t="s">
        <v>294</v>
      </c>
      <c r="AE10">
        <f>AC10-VLOOKUP(AD10,'Bag weights'!A$1:B$20,2,FALSE)</f>
        <v>4.9099999999999984</v>
      </c>
      <c r="AH10">
        <f>AF10-VLOOKUP(AG10,'Bag weights'!A$1:B$20,2,FALSE)</f>
        <v>0</v>
      </c>
      <c r="AI10" s="16">
        <v>24.79</v>
      </c>
      <c r="AJ10" s="16" t="s">
        <v>295</v>
      </c>
      <c r="AK10">
        <f>AI10-VLOOKUP(AJ10,'Bag weights'!A$1:B$20,2,FALSE)</f>
        <v>16.96</v>
      </c>
      <c r="AL10" s="16">
        <v>15.37</v>
      </c>
      <c r="AM10" s="16" t="s">
        <v>295</v>
      </c>
      <c r="AN10">
        <f>AL10-VLOOKUP(AM10,'Bag weights'!A$1:B$20,2,FALSE)</f>
        <v>7.5399999999999991</v>
      </c>
      <c r="AO10" s="16">
        <v>39.979999999999997</v>
      </c>
      <c r="AP10" s="16" t="s">
        <v>290</v>
      </c>
      <c r="AQ10">
        <f>AO10-VLOOKUP(AP10,'Bag weights'!A$1:B$20,2,FALSE)</f>
        <v>12.479999999999997</v>
      </c>
      <c r="AT10">
        <f>AR10-VLOOKUP(AS10,'Bag weights'!A$1:B$20,2,FALSE)</f>
        <v>0</v>
      </c>
      <c r="AU10" s="16">
        <v>1.59</v>
      </c>
      <c r="AV10" s="16" t="s">
        <v>298</v>
      </c>
      <c r="AW10">
        <f>AU10-VLOOKUP(AV10,'Bag weights'!A$1:B$20,2,FALSE)</f>
        <v>0.19000000000000017</v>
      </c>
      <c r="AX10">
        <f t="shared" si="0"/>
        <v>70.929999999999993</v>
      </c>
    </row>
    <row r="11" spans="1:50">
      <c r="A11" s="87"/>
      <c r="B11" s="87"/>
      <c r="C11" s="87">
        <v>2</v>
      </c>
      <c r="D11" s="87" t="s">
        <v>79</v>
      </c>
      <c r="E11" s="2"/>
      <c r="F11" s="2"/>
      <c r="G11" s="2"/>
      <c r="J11">
        <f>H11-VLOOKUP(I11,'Bag weights'!A:B,2,FALSE)</f>
        <v>0</v>
      </c>
      <c r="M11">
        <f>K11-VLOOKUP(L11,'Bag weights'!A$1:B$20,2,FALSE)</f>
        <v>0</v>
      </c>
      <c r="O11" s="119"/>
      <c r="P11">
        <f>N11-VLOOKUP(O11,'Bag weights'!A$1:B$20,2,FALSE)</f>
        <v>0</v>
      </c>
      <c r="S11">
        <f>Q11-VLOOKUP(R11,'Bag weights'!A$1:B$20,2,FALSE)</f>
        <v>0</v>
      </c>
      <c r="T11" s="16">
        <v>36.68</v>
      </c>
      <c r="U11" s="16" t="s">
        <v>294</v>
      </c>
      <c r="V11">
        <f>T11-VLOOKUP(U11,'Bag weights'!A$1:B$20,2,FALSE)</f>
        <v>22.299999999999997</v>
      </c>
      <c r="Y11">
        <f>W11-VLOOKUP(X11,'Bag weights'!A$1:B$20,2,FALSE)</f>
        <v>0</v>
      </c>
      <c r="Z11" s="16">
        <v>12.84</v>
      </c>
      <c r="AA11" s="16" t="s">
        <v>295</v>
      </c>
      <c r="AB11">
        <f>Z11-VLOOKUP(AA11,'Bag weights'!A$1:B$20,2,FALSE)</f>
        <v>5.01</v>
      </c>
      <c r="AC11" s="16">
        <v>12.54</v>
      </c>
      <c r="AD11" s="16" t="s">
        <v>295</v>
      </c>
      <c r="AE11">
        <f>AC11-VLOOKUP(AD11,'Bag weights'!A$1:B$20,2,FALSE)</f>
        <v>4.7099999999999991</v>
      </c>
      <c r="AF11" s="16">
        <v>3.05</v>
      </c>
      <c r="AG11" s="16" t="s">
        <v>296</v>
      </c>
      <c r="AH11">
        <f>AF11-VLOOKUP(AG11,'Bag weights'!A$1:B$20,2,FALSE)</f>
        <v>0.55999999999999961</v>
      </c>
      <c r="AI11" s="16">
        <v>18.71</v>
      </c>
      <c r="AJ11" s="16" t="s">
        <v>295</v>
      </c>
      <c r="AK11">
        <f>AI11-VLOOKUP(AJ11,'Bag weights'!A$1:B$20,2,FALSE)</f>
        <v>10.88</v>
      </c>
      <c r="AL11" s="16">
        <v>21.07</v>
      </c>
      <c r="AM11" s="16" t="s">
        <v>295</v>
      </c>
      <c r="AN11">
        <f>AL11-VLOOKUP(AM11,'Bag weights'!A$1:B$20,2,FALSE)</f>
        <v>13.24</v>
      </c>
      <c r="AO11" s="16">
        <v>25.38</v>
      </c>
      <c r="AP11" s="16" t="s">
        <v>295</v>
      </c>
      <c r="AQ11">
        <f>AO11-VLOOKUP(AP11,'Bag weights'!A$1:B$20,2,FALSE)</f>
        <v>17.549999999999997</v>
      </c>
      <c r="AT11">
        <f>AR11-VLOOKUP(AS11,'Bag weights'!A$1:B$20,2,FALSE)</f>
        <v>0</v>
      </c>
      <c r="AU11" s="16">
        <v>2.83</v>
      </c>
      <c r="AV11" s="16" t="s">
        <v>296</v>
      </c>
      <c r="AW11">
        <f>AU11-VLOOKUP(AV11,'Bag weights'!A$1:B$20,2,FALSE)</f>
        <v>0.33999999999999986</v>
      </c>
      <c r="AX11">
        <f t="shared" si="0"/>
        <v>74.25</v>
      </c>
    </row>
    <row r="12" spans="1:50">
      <c r="A12" s="87"/>
      <c r="B12" s="87"/>
      <c r="C12" s="87">
        <v>2</v>
      </c>
      <c r="D12" s="87" t="s">
        <v>88</v>
      </c>
      <c r="E12" s="2"/>
      <c r="F12" s="2"/>
      <c r="G12" s="2"/>
      <c r="J12">
        <f>H12-VLOOKUP(I12,'Bag weights'!A:B,2,FALSE)</f>
        <v>0</v>
      </c>
      <c r="M12">
        <f>K12-VLOOKUP(L12,'Bag weights'!A$1:B$20,2,FALSE)</f>
        <v>0</v>
      </c>
      <c r="N12" s="16">
        <v>10.24</v>
      </c>
      <c r="O12" s="119" t="s">
        <v>295</v>
      </c>
      <c r="P12">
        <f>N12-VLOOKUP(O12,'Bag weights'!A$1:B$20,2,FALSE)</f>
        <v>2.41</v>
      </c>
      <c r="S12">
        <f>Q12-VLOOKUP(R12,'Bag weights'!A$1:B$20,2,FALSE)</f>
        <v>0</v>
      </c>
      <c r="T12" s="16">
        <v>48.46</v>
      </c>
      <c r="U12" s="16" t="s">
        <v>294</v>
      </c>
      <c r="V12">
        <f>T12-VLOOKUP(U12,'Bag weights'!A$1:B$20,2,FALSE)</f>
        <v>34.08</v>
      </c>
      <c r="Y12">
        <f>W12-VLOOKUP(X12,'Bag weights'!A$1:B$20,2,FALSE)</f>
        <v>0</v>
      </c>
      <c r="Z12" s="16">
        <v>13.67</v>
      </c>
      <c r="AA12" s="16" t="s">
        <v>295</v>
      </c>
      <c r="AB12">
        <f>Z12-VLOOKUP(AA12,'Bag weights'!A$1:B$20,2,FALSE)</f>
        <v>5.84</v>
      </c>
      <c r="AC12" s="16">
        <v>43.57</v>
      </c>
      <c r="AD12" s="16" t="s">
        <v>294</v>
      </c>
      <c r="AE12">
        <f>AC12-VLOOKUP(AD12,'Bag weights'!A$1:B$20,2,FALSE)</f>
        <v>29.189999999999998</v>
      </c>
      <c r="AH12">
        <f>AF12-VLOOKUP(AG12,'Bag weights'!A$1:B$20,2,FALSE)</f>
        <v>0</v>
      </c>
      <c r="AI12" s="16">
        <v>16.22</v>
      </c>
      <c r="AJ12" s="16" t="s">
        <v>295</v>
      </c>
      <c r="AK12">
        <f>AI12-VLOOKUP(AJ12,'Bag weights'!A$1:B$20,2,FALSE)</f>
        <v>8.3899999999999988</v>
      </c>
      <c r="AL12" s="16">
        <v>33.74</v>
      </c>
      <c r="AM12" s="16" t="s">
        <v>295</v>
      </c>
      <c r="AN12">
        <f>AL12-VLOOKUP(AM12,'Bag weights'!A$1:B$20,2,FALSE)</f>
        <v>25.910000000000004</v>
      </c>
      <c r="AO12" s="16">
        <v>32.97</v>
      </c>
      <c r="AP12" s="16" t="s">
        <v>295</v>
      </c>
      <c r="AQ12">
        <f>AO12-VLOOKUP(AP12,'Bag weights'!A$1:B$20,2,FALSE)</f>
        <v>25.14</v>
      </c>
      <c r="AT12">
        <f>AR12-VLOOKUP(AS12,'Bag weights'!A$1:B$20,2,FALSE)</f>
        <v>0</v>
      </c>
      <c r="AU12" s="16">
        <v>3.62</v>
      </c>
      <c r="AV12" s="16" t="s">
        <v>296</v>
      </c>
      <c r="AW12">
        <f>AU12-VLOOKUP(AV12,'Bag weights'!A$1:B$20,2,FALSE)</f>
        <v>1.1299999999999999</v>
      </c>
      <c r="AX12">
        <f t="shared" si="0"/>
        <v>130.96</v>
      </c>
    </row>
    <row r="13" spans="1:50">
      <c r="A13" s="87"/>
      <c r="B13" s="87"/>
      <c r="C13" s="87">
        <v>3</v>
      </c>
      <c r="D13" s="87" t="s">
        <v>83</v>
      </c>
      <c r="E13" s="2"/>
      <c r="F13" s="2"/>
      <c r="G13" s="2"/>
      <c r="J13">
        <f>H13-VLOOKUP(I13,'Bag weights'!A:B,2,FALSE)</f>
        <v>0</v>
      </c>
      <c r="M13">
        <f>K13-VLOOKUP(L13,'Bag weights'!A$1:B$20,2,FALSE)</f>
        <v>0</v>
      </c>
      <c r="O13" s="122"/>
      <c r="P13">
        <f>N13-VLOOKUP(O13,'Bag weights'!A$1:B$20,2,FALSE)</f>
        <v>0</v>
      </c>
      <c r="S13">
        <f>Q13-VLOOKUP(R13,'Bag weights'!A$1:B$20,2,FALSE)</f>
        <v>0</v>
      </c>
      <c r="V13">
        <f>T13-VLOOKUP(U13,'Bag weights'!A$1:B$20,2,FALSE)</f>
        <v>0</v>
      </c>
      <c r="Y13">
        <f>W13-VLOOKUP(X13,'Bag weights'!A$1:B$20,2,FALSE)</f>
        <v>0</v>
      </c>
      <c r="AB13">
        <f>Z13-VLOOKUP(AA13,'Bag weights'!A$1:B$20,2,FALSE)</f>
        <v>0</v>
      </c>
      <c r="AE13">
        <f>AC13-VLOOKUP(AD13,'Bag weights'!A$1:B$20,2,FALSE)</f>
        <v>0</v>
      </c>
      <c r="AH13">
        <f>AF13-VLOOKUP(AG13,'Bag weights'!A$1:B$20,2,FALSE)</f>
        <v>0</v>
      </c>
      <c r="AK13">
        <f>AI13-VLOOKUP(AJ13,'Bag weights'!A$1:B$20,2,FALSE)</f>
        <v>0</v>
      </c>
      <c r="AN13">
        <f>AL13-VLOOKUP(AM13,'Bag weights'!A$1:B$20,2,FALSE)</f>
        <v>0</v>
      </c>
      <c r="AQ13">
        <f>AO13-VLOOKUP(AP13,'Bag weights'!A$1:B$20,2,FALSE)</f>
        <v>0</v>
      </c>
      <c r="AT13">
        <f>AR13-VLOOKUP(AS13,'Bag weights'!A$1:B$20,2,FALSE)</f>
        <v>0</v>
      </c>
      <c r="AW13">
        <f>AU13-VLOOKUP(AV13,'Bag weights'!A$1:B$20,2,FALSE)</f>
        <v>0</v>
      </c>
      <c r="AX13">
        <f t="shared" si="0"/>
        <v>0</v>
      </c>
    </row>
    <row r="14" spans="1:50">
      <c r="A14" s="87"/>
      <c r="B14" s="87"/>
      <c r="C14" s="87">
        <v>3</v>
      </c>
      <c r="D14" s="87" t="s">
        <v>85</v>
      </c>
      <c r="E14" s="2"/>
      <c r="F14" s="2"/>
      <c r="G14" s="2"/>
      <c r="J14">
        <f>H14-VLOOKUP(I14,'Bag weights'!A:B,2,FALSE)</f>
        <v>0</v>
      </c>
      <c r="M14">
        <f>K14-VLOOKUP(L14,'Bag weights'!A$1:B$20,2,FALSE)</f>
        <v>0</v>
      </c>
      <c r="O14" s="122"/>
      <c r="P14">
        <f>N14-VLOOKUP(O14,'Bag weights'!A$1:B$20,2,FALSE)</f>
        <v>0</v>
      </c>
      <c r="S14">
        <f>Q14-VLOOKUP(R14,'Bag weights'!A$1:B$20,2,FALSE)</f>
        <v>0</v>
      </c>
      <c r="V14">
        <f>T14-VLOOKUP(U14,'Bag weights'!A$1:B$20,2,FALSE)</f>
        <v>0</v>
      </c>
      <c r="Y14">
        <f>W14-VLOOKUP(X14,'Bag weights'!A$1:B$20,2,FALSE)</f>
        <v>0</v>
      </c>
      <c r="AB14">
        <f>Z14-VLOOKUP(AA14,'Bag weights'!A$1:B$20,2,FALSE)</f>
        <v>0</v>
      </c>
      <c r="AE14">
        <f>AC14-VLOOKUP(AD14,'Bag weights'!A$1:B$20,2,FALSE)</f>
        <v>0</v>
      </c>
      <c r="AH14">
        <f>AF14-VLOOKUP(AG14,'Bag weights'!A$1:B$20,2,FALSE)</f>
        <v>0</v>
      </c>
      <c r="AK14">
        <f>AI14-VLOOKUP(AJ14,'Bag weights'!A$1:B$20,2,FALSE)</f>
        <v>0</v>
      </c>
      <c r="AN14">
        <f>AL14-VLOOKUP(AM14,'Bag weights'!A$1:B$20,2,FALSE)</f>
        <v>0</v>
      </c>
      <c r="AQ14">
        <f>AO14-VLOOKUP(AP14,'Bag weights'!A$1:B$20,2,FALSE)</f>
        <v>0</v>
      </c>
      <c r="AT14">
        <f>AR14-VLOOKUP(AS14,'Bag weights'!A$1:B$20,2,FALSE)</f>
        <v>0</v>
      </c>
      <c r="AW14">
        <f>AU14-VLOOKUP(AV14,'Bag weights'!A$1:B$20,2,FALSE)</f>
        <v>0</v>
      </c>
      <c r="AX14">
        <f t="shared" si="0"/>
        <v>0</v>
      </c>
    </row>
    <row r="15" spans="1:50">
      <c r="A15" s="87"/>
      <c r="B15" s="87"/>
      <c r="C15" s="87">
        <v>3</v>
      </c>
      <c r="D15" s="87" t="s">
        <v>87</v>
      </c>
      <c r="E15" s="21" t="s">
        <v>300</v>
      </c>
      <c r="F15" s="2"/>
      <c r="G15" s="2"/>
      <c r="J15">
        <f>H15-VLOOKUP(I15,'Bag weights'!A:B,2,FALSE)</f>
        <v>0</v>
      </c>
      <c r="M15">
        <f>K15-VLOOKUP(L15,'Bag weights'!A$1:B$20,2,FALSE)</f>
        <v>0</v>
      </c>
      <c r="O15" s="122"/>
      <c r="P15">
        <f>N15-VLOOKUP(O15,'Bag weights'!A$1:B$20,2,FALSE)</f>
        <v>0</v>
      </c>
      <c r="S15">
        <f>Q15-VLOOKUP(R15,'Bag weights'!A$1:B$20,2,FALSE)</f>
        <v>0</v>
      </c>
      <c r="T15" s="16">
        <v>37.15</v>
      </c>
      <c r="U15" s="16" t="s">
        <v>276</v>
      </c>
      <c r="V15">
        <f>T15-VLOOKUP(U15,'Bag weights'!A$1:B$20,2,FALSE)</f>
        <v>16.2</v>
      </c>
      <c r="Y15">
        <f>W15-VLOOKUP(X15,'Bag weights'!A$1:B$20,2,FALSE)</f>
        <v>0</v>
      </c>
      <c r="Z15" s="16">
        <v>52.22</v>
      </c>
      <c r="AA15" s="16" t="s">
        <v>276</v>
      </c>
      <c r="AB15">
        <f>Z15-VLOOKUP(AA15,'Bag weights'!A$1:B$20,2,FALSE)</f>
        <v>31.27</v>
      </c>
      <c r="AC15" s="16">
        <v>8.91</v>
      </c>
      <c r="AD15" s="16" t="s">
        <v>295</v>
      </c>
      <c r="AE15">
        <f>AC15-VLOOKUP(AD15,'Bag weights'!A$1:B$20,2,FALSE)</f>
        <v>1.08</v>
      </c>
      <c r="AF15" s="16">
        <v>10.1</v>
      </c>
      <c r="AG15" s="16" t="s">
        <v>295</v>
      </c>
      <c r="AH15">
        <f>AF15-VLOOKUP(AG15,'Bag weights'!A$1:B$20,2,FALSE)</f>
        <v>2.2699999999999996</v>
      </c>
      <c r="AI15" s="16">
        <v>15.31</v>
      </c>
      <c r="AJ15" s="16" t="s">
        <v>295</v>
      </c>
      <c r="AK15">
        <f>AI15-VLOOKUP(AJ15,'Bag weights'!A$1:B$20,2,FALSE)</f>
        <v>7.48</v>
      </c>
      <c r="AL15" s="16">
        <v>25.71</v>
      </c>
      <c r="AM15" s="16" t="s">
        <v>295</v>
      </c>
      <c r="AN15">
        <f>AL15-VLOOKUP(AM15,'Bag weights'!A$1:B$20,2,FALSE)</f>
        <v>17.880000000000003</v>
      </c>
      <c r="AO15" s="16">
        <v>16.3</v>
      </c>
      <c r="AP15" s="16" t="s">
        <v>295</v>
      </c>
      <c r="AQ15">
        <f>AO15-VLOOKUP(AP15,'Bag weights'!A$1:B$20,2,FALSE)</f>
        <v>8.4700000000000006</v>
      </c>
      <c r="AT15">
        <f>AR15-VLOOKUP(AS15,'Bag weights'!A$1:B$20,2,FALSE)</f>
        <v>0</v>
      </c>
      <c r="AU15" s="16">
        <v>1.24</v>
      </c>
      <c r="AV15" s="16" t="s">
        <v>302</v>
      </c>
      <c r="AW15">
        <f>AU15-VLOOKUP(AV15,'Bag weights'!A$1:B$20,2,FALSE)</f>
        <v>1.24</v>
      </c>
      <c r="AX15">
        <f t="shared" si="0"/>
        <v>84.649999999999991</v>
      </c>
    </row>
    <row r="16" spans="1:50">
      <c r="A16" s="87"/>
      <c r="B16" s="87"/>
      <c r="C16" s="87">
        <v>3</v>
      </c>
      <c r="D16" s="87" t="s">
        <v>79</v>
      </c>
      <c r="E16" s="2"/>
      <c r="F16" s="2"/>
      <c r="G16" s="2"/>
      <c r="J16">
        <f>H16-VLOOKUP(I16,'Bag weights'!A:B,2,FALSE)</f>
        <v>0</v>
      </c>
      <c r="M16">
        <f>K16-VLOOKUP(L16,'Bag weights'!A$1:B$20,2,FALSE)</f>
        <v>0</v>
      </c>
      <c r="O16" s="122"/>
      <c r="P16">
        <f>N16-VLOOKUP(O16,'Bag weights'!A$1:B$20,2,FALSE)</f>
        <v>0</v>
      </c>
      <c r="S16">
        <f>Q16-VLOOKUP(R16,'Bag weights'!A$1:B$20,2,FALSE)</f>
        <v>0</v>
      </c>
      <c r="V16">
        <f>T16-VLOOKUP(U16,'Bag weights'!A$1:B$20,2,FALSE)</f>
        <v>0</v>
      </c>
      <c r="Y16">
        <f>W16-VLOOKUP(X16,'Bag weights'!A$1:B$20,2,FALSE)</f>
        <v>0</v>
      </c>
      <c r="AB16">
        <f>Z16-VLOOKUP(AA16,'Bag weights'!A$1:B$20,2,FALSE)</f>
        <v>0</v>
      </c>
      <c r="AE16">
        <f>AC16-VLOOKUP(AD16,'Bag weights'!A$1:B$20,2,FALSE)</f>
        <v>0</v>
      </c>
      <c r="AH16">
        <f>AF16-VLOOKUP(AG16,'Bag weights'!A$1:B$20,2,FALSE)</f>
        <v>0</v>
      </c>
      <c r="AK16">
        <f>AI16-VLOOKUP(AJ16,'Bag weights'!A$1:B$20,2,FALSE)</f>
        <v>0</v>
      </c>
      <c r="AN16">
        <f>AL16-VLOOKUP(AM16,'Bag weights'!A$1:B$20,2,FALSE)</f>
        <v>0</v>
      </c>
      <c r="AQ16">
        <f>AO16-VLOOKUP(AP16,'Bag weights'!A$1:B$20,2,FALSE)</f>
        <v>0</v>
      </c>
      <c r="AT16">
        <f>AR16-VLOOKUP(AS16,'Bag weights'!A$1:B$20,2,FALSE)</f>
        <v>0</v>
      </c>
      <c r="AW16">
        <f>AU16-VLOOKUP(AV16,'Bag weights'!A$1:B$20,2,FALSE)</f>
        <v>0</v>
      </c>
      <c r="AX16">
        <f t="shared" si="0"/>
        <v>0</v>
      </c>
    </row>
    <row r="17" spans="1:50">
      <c r="A17" s="87"/>
      <c r="B17" s="87"/>
      <c r="C17" s="87">
        <v>3</v>
      </c>
      <c r="D17" s="87" t="s">
        <v>88</v>
      </c>
      <c r="E17" s="2"/>
      <c r="F17" s="2"/>
      <c r="G17" s="2"/>
      <c r="J17">
        <f>H17-VLOOKUP(I17,'Bag weights'!A:B,2,FALSE)</f>
        <v>0</v>
      </c>
      <c r="M17">
        <f>K17-VLOOKUP(L17,'Bag weights'!A$1:B$20,2,FALSE)</f>
        <v>0</v>
      </c>
      <c r="O17" s="122"/>
      <c r="P17">
        <f>N17-VLOOKUP(O17,'Bag weights'!A$1:B$20,2,FALSE)</f>
        <v>0</v>
      </c>
      <c r="S17">
        <f>Q17-VLOOKUP(R17,'Bag weights'!A$1:B$20,2,FALSE)</f>
        <v>0</v>
      </c>
      <c r="V17">
        <f>T17-VLOOKUP(U17,'Bag weights'!A$1:B$20,2,FALSE)</f>
        <v>0</v>
      </c>
      <c r="Y17">
        <f>W17-VLOOKUP(X17,'Bag weights'!A$1:B$20,2,FALSE)</f>
        <v>0</v>
      </c>
      <c r="AB17">
        <f>Z17-VLOOKUP(AA17,'Bag weights'!A$1:B$20,2,FALSE)</f>
        <v>0</v>
      </c>
      <c r="AE17">
        <f>AC17-VLOOKUP(AD17,'Bag weights'!A$1:B$20,2,FALSE)</f>
        <v>0</v>
      </c>
      <c r="AH17">
        <f>AF17-VLOOKUP(AG17,'Bag weights'!A$1:B$20,2,FALSE)</f>
        <v>0</v>
      </c>
      <c r="AK17">
        <f>AI17-VLOOKUP(AJ17,'Bag weights'!A$1:B$20,2,FALSE)</f>
        <v>0</v>
      </c>
      <c r="AN17">
        <f>AL17-VLOOKUP(AM17,'Bag weights'!A$1:B$20,2,FALSE)</f>
        <v>0</v>
      </c>
      <c r="AQ17">
        <f>AO17-VLOOKUP(AP17,'Bag weights'!A$1:B$20,2,FALSE)</f>
        <v>0</v>
      </c>
      <c r="AT17">
        <f>AR17-VLOOKUP(AS17,'Bag weights'!A$1:B$20,2,FALSE)</f>
        <v>0</v>
      </c>
      <c r="AW17">
        <f>AU17-VLOOKUP(AV17,'Bag weights'!A$1:B$20,2,FALSE)</f>
        <v>0</v>
      </c>
      <c r="AX17">
        <f t="shared" si="0"/>
        <v>0</v>
      </c>
    </row>
    <row r="18" spans="1:50">
      <c r="A18" s="87"/>
      <c r="B18" s="87"/>
      <c r="C18" s="87">
        <v>4</v>
      </c>
      <c r="D18" s="87" t="s">
        <v>83</v>
      </c>
      <c r="E18" s="2"/>
      <c r="F18" s="2"/>
      <c r="G18" s="2"/>
      <c r="J18">
        <f>H18-VLOOKUP(I18,'Bag weights'!A:B,2,FALSE)</f>
        <v>0</v>
      </c>
      <c r="M18">
        <f>K18-VLOOKUP(L18,'Bag weights'!A$1:B$20,2,FALSE)</f>
        <v>0</v>
      </c>
      <c r="O18" s="122"/>
      <c r="P18">
        <f>N18-VLOOKUP(O18,'Bag weights'!A$1:B$20,2,FALSE)</f>
        <v>0</v>
      </c>
      <c r="S18">
        <f>Q18-VLOOKUP(R18,'Bag weights'!A$1:B$20,2,FALSE)</f>
        <v>0</v>
      </c>
      <c r="V18">
        <f>T18-VLOOKUP(U18,'Bag weights'!A$1:B$20,2,FALSE)</f>
        <v>0</v>
      </c>
      <c r="Y18">
        <f>W18-VLOOKUP(X18,'Bag weights'!A$1:B$20,2,FALSE)</f>
        <v>0</v>
      </c>
      <c r="AB18">
        <f>Z18-VLOOKUP(AA18,'Bag weights'!A$1:B$20,2,FALSE)</f>
        <v>0</v>
      </c>
      <c r="AE18">
        <f>AC18-VLOOKUP(AD18,'Bag weights'!A$1:B$20,2,FALSE)</f>
        <v>0</v>
      </c>
      <c r="AH18">
        <f>AF18-VLOOKUP(AG18,'Bag weights'!A$1:B$20,2,FALSE)</f>
        <v>0</v>
      </c>
      <c r="AK18">
        <f>AI18-VLOOKUP(AJ18,'Bag weights'!A$1:B$20,2,FALSE)</f>
        <v>0</v>
      </c>
      <c r="AN18">
        <f>AL18-VLOOKUP(AM18,'Bag weights'!A$1:B$20,2,FALSE)</f>
        <v>0</v>
      </c>
      <c r="AQ18">
        <f>AO18-VLOOKUP(AP18,'Bag weights'!A$1:B$20,2,FALSE)</f>
        <v>0</v>
      </c>
      <c r="AT18">
        <f>AR18-VLOOKUP(AS18,'Bag weights'!A$1:B$20,2,FALSE)</f>
        <v>0</v>
      </c>
      <c r="AW18">
        <f>AU18-VLOOKUP(AV18,'Bag weights'!A$1:B$20,2,FALSE)</f>
        <v>0</v>
      </c>
      <c r="AX18">
        <f t="shared" si="0"/>
        <v>0</v>
      </c>
    </row>
    <row r="19" spans="1:50">
      <c r="A19" s="87"/>
      <c r="B19" s="87"/>
      <c r="C19" s="87">
        <v>4</v>
      </c>
      <c r="D19" s="87" t="s">
        <v>85</v>
      </c>
      <c r="E19" s="2"/>
      <c r="F19" s="2"/>
      <c r="G19" s="2"/>
      <c r="J19">
        <f>H19-VLOOKUP(I19,'Bag weights'!A:B,2,FALSE)</f>
        <v>0</v>
      </c>
      <c r="M19">
        <f>K19-VLOOKUP(L19,'Bag weights'!A$1:B$20,2,FALSE)</f>
        <v>0</v>
      </c>
      <c r="O19" s="122"/>
      <c r="P19">
        <f>N19-VLOOKUP(O19,'Bag weights'!A$1:B$20,2,FALSE)</f>
        <v>0</v>
      </c>
      <c r="S19">
        <f>Q19-VLOOKUP(R19,'Bag weights'!A$1:B$20,2,FALSE)</f>
        <v>0</v>
      </c>
      <c r="T19" s="16">
        <v>32.299999999999997</v>
      </c>
      <c r="U19" s="16" t="s">
        <v>276</v>
      </c>
      <c r="V19">
        <f>T19-VLOOKUP(U19,'Bag weights'!A$1:B$20,2,FALSE)</f>
        <v>11.349999999999998</v>
      </c>
      <c r="W19" s="16">
        <v>2.96</v>
      </c>
      <c r="X19" s="16" t="s">
        <v>296</v>
      </c>
      <c r="Y19">
        <f>W19-VLOOKUP(X19,'Bag weights'!A$1:B$20,2,FALSE)</f>
        <v>0.46999999999999975</v>
      </c>
      <c r="Z19" s="16">
        <v>39.26</v>
      </c>
      <c r="AA19" s="16" t="s">
        <v>276</v>
      </c>
      <c r="AB19">
        <f>Z19-VLOOKUP(AA19,'Bag weights'!A$1:B$20,2,FALSE)</f>
        <v>18.309999999999999</v>
      </c>
      <c r="AC19" s="16">
        <v>9.61</v>
      </c>
      <c r="AD19" s="16" t="s">
        <v>295</v>
      </c>
      <c r="AE19">
        <f>AC19-VLOOKUP(AD19,'Bag weights'!A$1:B$20,2,FALSE)</f>
        <v>1.7799999999999994</v>
      </c>
      <c r="AF19" s="16">
        <v>3.03</v>
      </c>
      <c r="AG19" s="16" t="s">
        <v>296</v>
      </c>
      <c r="AH19">
        <f>AF19-VLOOKUP(AG19,'Bag weights'!A$1:B$20,2,FALSE)</f>
        <v>0.53999999999999959</v>
      </c>
      <c r="AI19" s="16">
        <v>36.5</v>
      </c>
      <c r="AJ19" s="16" t="s">
        <v>276</v>
      </c>
      <c r="AK19">
        <f>AI19-VLOOKUP(AJ19,'Bag weights'!A$1:B$20,2,FALSE)</f>
        <v>15.55</v>
      </c>
      <c r="AL19" s="16">
        <v>41</v>
      </c>
      <c r="AM19" s="16" t="s">
        <v>276</v>
      </c>
      <c r="AN19">
        <f>AL19-VLOOKUP(AM19,'Bag weights'!A$1:B$20,2,FALSE)</f>
        <v>20.05</v>
      </c>
      <c r="AO19" s="16">
        <v>14.6</v>
      </c>
      <c r="AP19" s="16" t="s">
        <v>295</v>
      </c>
      <c r="AQ19">
        <f>AO19-VLOOKUP(AP19,'Bag weights'!A$1:B$20,2,FALSE)</f>
        <v>6.77</v>
      </c>
      <c r="AT19">
        <f>AR19-VLOOKUP(AS19,'Bag weights'!A$1:B$20,2,FALSE)</f>
        <v>0</v>
      </c>
      <c r="AU19" s="16">
        <v>2.8</v>
      </c>
      <c r="AV19" s="16" t="s">
        <v>296</v>
      </c>
      <c r="AW19">
        <f>AU19-VLOOKUP(AV19,'Bag weights'!A$1:B$20,2,FALSE)</f>
        <v>0.30999999999999961</v>
      </c>
      <c r="AX19">
        <f t="shared" si="0"/>
        <v>74.819999999999993</v>
      </c>
    </row>
    <row r="20" spans="1:50">
      <c r="A20" s="87"/>
      <c r="B20" s="87"/>
      <c r="C20" s="87">
        <v>4</v>
      </c>
      <c r="D20" s="87" t="s">
        <v>87</v>
      </c>
      <c r="E20" s="21" t="s">
        <v>300</v>
      </c>
      <c r="F20" s="2"/>
      <c r="G20" s="2"/>
      <c r="H20" s="16">
        <v>1.5</v>
      </c>
      <c r="I20" s="16" t="s">
        <v>298</v>
      </c>
      <c r="J20">
        <f>H20-VLOOKUP(I20,'Bag weights'!A:B,2,FALSE)</f>
        <v>0.10000000000000009</v>
      </c>
      <c r="M20">
        <f>K20-VLOOKUP(L20,'Bag weights'!A$1:B$20,2,FALSE)</f>
        <v>0</v>
      </c>
      <c r="N20" s="16">
        <v>1.64</v>
      </c>
      <c r="O20" s="119" t="s">
        <v>298</v>
      </c>
      <c r="P20">
        <f>N20-VLOOKUP(O20,'Bag weights'!A$1:B$20,2,FALSE)</f>
        <v>0.24</v>
      </c>
      <c r="S20">
        <f>Q20-VLOOKUP(R20,'Bag weights'!A$1:B$20,2,FALSE)</f>
        <v>0</v>
      </c>
      <c r="T20" s="16">
        <v>36.700000000000003</v>
      </c>
      <c r="U20" s="16" t="s">
        <v>276</v>
      </c>
      <c r="V20">
        <f>T20-VLOOKUP(U20,'Bag weights'!A$1:B$20,2,FALSE)</f>
        <v>15.750000000000004</v>
      </c>
      <c r="W20" s="16">
        <v>1.76</v>
      </c>
      <c r="X20" s="16" t="s">
        <v>298</v>
      </c>
      <c r="Y20">
        <f>W20-VLOOKUP(X20,'Bag weights'!A$1:B$20,2,FALSE)</f>
        <v>0.3600000000000001</v>
      </c>
      <c r="Z20" s="16">
        <v>35.57</v>
      </c>
      <c r="AA20" s="16" t="s">
        <v>276</v>
      </c>
      <c r="AB20">
        <f>Z20-VLOOKUP(AA20,'Bag weights'!A$1:B$20,2,FALSE)</f>
        <v>14.620000000000001</v>
      </c>
      <c r="AC20" s="16">
        <v>6.03</v>
      </c>
      <c r="AD20" s="16" t="s">
        <v>295</v>
      </c>
      <c r="AE20">
        <f>AC20-VLOOKUP(AD20,'Bag weights'!A$1:B$20,2,FALSE)</f>
        <v>-1.7999999999999998</v>
      </c>
      <c r="AF20" s="16">
        <v>13.7</v>
      </c>
      <c r="AG20" s="16" t="s">
        <v>295</v>
      </c>
      <c r="AH20">
        <f>AF20-VLOOKUP(AG20,'Bag weights'!A$1:B$20,2,FALSE)</f>
        <v>5.8699999999999992</v>
      </c>
      <c r="AI20" s="16">
        <v>15.28</v>
      </c>
      <c r="AJ20" s="16" t="s">
        <v>295</v>
      </c>
      <c r="AK20">
        <f>AI20-VLOOKUP(AJ20,'Bag weights'!A$1:B$20,2,FALSE)</f>
        <v>7.4499999999999993</v>
      </c>
      <c r="AL20" s="16">
        <v>36.96</v>
      </c>
      <c r="AM20" s="16" t="s">
        <v>276</v>
      </c>
      <c r="AN20">
        <f>AL20-VLOOKUP(AM20,'Bag weights'!A$1:B$20,2,FALSE)</f>
        <v>16.010000000000002</v>
      </c>
      <c r="AO20" s="16">
        <v>8.1300000000000008</v>
      </c>
      <c r="AP20" s="16" t="s">
        <v>296</v>
      </c>
      <c r="AQ20">
        <f>AO20-VLOOKUP(AP20,'Bag weights'!A$1:B$20,2,FALSE)</f>
        <v>5.6400000000000006</v>
      </c>
      <c r="AT20">
        <f>AR20-VLOOKUP(AS20,'Bag weights'!A$1:B$20,2,FALSE)</f>
        <v>0</v>
      </c>
      <c r="AU20" s="16">
        <v>2.09</v>
      </c>
      <c r="AV20" s="16" t="s">
        <v>298</v>
      </c>
      <c r="AW20">
        <f>AU20-VLOOKUP(AV20,'Bag weights'!A$1:B$20,2,FALSE)</f>
        <v>0.69</v>
      </c>
      <c r="AX20">
        <f t="shared" si="0"/>
        <v>64.239999999999995</v>
      </c>
    </row>
    <row r="21" spans="1:50">
      <c r="A21" s="87"/>
      <c r="B21" s="87"/>
      <c r="C21" s="87">
        <v>4</v>
      </c>
      <c r="D21" s="87" t="s">
        <v>79</v>
      </c>
      <c r="E21" s="2"/>
      <c r="F21" s="2"/>
      <c r="G21" s="2"/>
      <c r="J21">
        <f>H21-VLOOKUP(I21,'Bag weights'!A:B,2,FALSE)</f>
        <v>0</v>
      </c>
      <c r="M21">
        <f>K21-VLOOKUP(L21,'Bag weights'!A$1:B$20,2,FALSE)</f>
        <v>0</v>
      </c>
      <c r="O21" s="122"/>
      <c r="P21">
        <f>N21-VLOOKUP(O21,'Bag weights'!A$1:B$20,2,FALSE)</f>
        <v>0</v>
      </c>
      <c r="S21">
        <f>Q21-VLOOKUP(R21,'Bag weights'!A$1:B$20,2,FALSE)</f>
        <v>0</v>
      </c>
      <c r="V21">
        <f>T21-VLOOKUP(U21,'Bag weights'!A$1:B$20,2,FALSE)</f>
        <v>0</v>
      </c>
      <c r="Y21">
        <f>W21-VLOOKUP(X21,'Bag weights'!A$1:B$20,2,FALSE)</f>
        <v>0</v>
      </c>
      <c r="AB21">
        <f>Z21-VLOOKUP(AA21,'Bag weights'!A$1:B$20,2,FALSE)</f>
        <v>0</v>
      </c>
      <c r="AE21">
        <f>AC21-VLOOKUP(AD21,'Bag weights'!A$1:B$20,2,FALSE)</f>
        <v>0</v>
      </c>
      <c r="AH21">
        <f>AF21-VLOOKUP(AG21,'Bag weights'!A$1:B$20,2,FALSE)</f>
        <v>0</v>
      </c>
      <c r="AK21">
        <f>AI21-VLOOKUP(AJ21,'Bag weights'!A$1:B$20,2,FALSE)</f>
        <v>0</v>
      </c>
      <c r="AN21">
        <f>AL21-VLOOKUP(AM21,'Bag weights'!A$1:B$20,2,FALSE)</f>
        <v>0</v>
      </c>
      <c r="AQ21">
        <f>AO21-VLOOKUP(AP21,'Bag weights'!A$1:B$20,2,FALSE)</f>
        <v>0</v>
      </c>
      <c r="AT21">
        <f>AR21-VLOOKUP(AS21,'Bag weights'!A$1:B$20,2,FALSE)</f>
        <v>0</v>
      </c>
      <c r="AW21">
        <f>AU21-VLOOKUP(AV21,'Bag weights'!A$1:B$20,2,FALSE)</f>
        <v>0</v>
      </c>
      <c r="AX21">
        <f t="shared" si="0"/>
        <v>0</v>
      </c>
    </row>
    <row r="22" spans="1:50">
      <c r="A22" s="87"/>
      <c r="B22" s="87"/>
      <c r="C22" s="87">
        <v>4</v>
      </c>
      <c r="D22" s="87" t="s">
        <v>88</v>
      </c>
      <c r="E22" s="2"/>
      <c r="F22" s="2"/>
      <c r="G22" s="2"/>
      <c r="J22">
        <f>H22-VLOOKUP(I22,'Bag weights'!A:B,2,FALSE)</f>
        <v>0</v>
      </c>
      <c r="M22">
        <f>K22-VLOOKUP(L22,'Bag weights'!A$1:B$20,2,FALSE)</f>
        <v>0</v>
      </c>
      <c r="O22" s="122"/>
      <c r="P22">
        <f>N22-VLOOKUP(O22,'Bag weights'!A$1:B$20,2,FALSE)</f>
        <v>0</v>
      </c>
      <c r="S22">
        <f>Q22-VLOOKUP(R22,'Bag weights'!A$1:B$20,2,FALSE)</f>
        <v>0</v>
      </c>
      <c r="V22">
        <f>T22-VLOOKUP(U22,'Bag weights'!A$1:B$20,2,FALSE)</f>
        <v>0</v>
      </c>
      <c r="Y22">
        <f>W22-VLOOKUP(X22,'Bag weights'!A$1:B$20,2,FALSE)</f>
        <v>0</v>
      </c>
      <c r="AB22">
        <f>Z22-VLOOKUP(AA22,'Bag weights'!A$1:B$20,2,FALSE)</f>
        <v>0</v>
      </c>
      <c r="AE22">
        <f>AC22-VLOOKUP(AD22,'Bag weights'!A$1:B$20,2,FALSE)</f>
        <v>0</v>
      </c>
      <c r="AH22">
        <f>AF22-VLOOKUP(AG22,'Bag weights'!A$1:B$20,2,FALSE)</f>
        <v>0</v>
      </c>
      <c r="AK22">
        <f>AI22-VLOOKUP(AJ22,'Bag weights'!A$1:B$20,2,FALSE)</f>
        <v>0</v>
      </c>
      <c r="AN22">
        <f>AL22-VLOOKUP(AM22,'Bag weights'!A$1:B$20,2,FALSE)</f>
        <v>0</v>
      </c>
      <c r="AQ22">
        <f>AO22-VLOOKUP(AP22,'Bag weights'!A$1:B$20,2,FALSE)</f>
        <v>0</v>
      </c>
      <c r="AT22">
        <f>AR22-VLOOKUP(AS22,'Bag weights'!A$1:B$20,2,FALSE)</f>
        <v>0</v>
      </c>
      <c r="AW22">
        <f>AU22-VLOOKUP(AV22,'Bag weights'!A$1:B$20,2,FALSE)</f>
        <v>0</v>
      </c>
      <c r="AX22">
        <f t="shared" si="0"/>
        <v>0</v>
      </c>
    </row>
    <row r="23" spans="1:50">
      <c r="A23" s="87"/>
      <c r="B23" s="87"/>
      <c r="C23" s="86">
        <v>5</v>
      </c>
      <c r="D23" s="86" t="s">
        <v>85</v>
      </c>
      <c r="E23" s="21" t="s">
        <v>300</v>
      </c>
      <c r="F23" s="2"/>
      <c r="G23" s="2"/>
      <c r="H23" s="16">
        <v>24.85</v>
      </c>
      <c r="I23" s="16" t="s">
        <v>295</v>
      </c>
      <c r="J23">
        <f>H23-VLOOKUP(I23,'Bag weights'!A:B,2,FALSE)</f>
        <v>17.020000000000003</v>
      </c>
      <c r="M23">
        <f>K23-VLOOKUP(L23,'Bag weights'!A$1:B$20,2,FALSE)</f>
        <v>0</v>
      </c>
      <c r="O23" s="122"/>
      <c r="P23">
        <f>N23-VLOOKUP(O23,'Bag weights'!A$1:B$20,2,FALSE)</f>
        <v>0</v>
      </c>
      <c r="S23">
        <f>Q23-VLOOKUP(R23,'Bag weights'!A$1:B$20,2,FALSE)</f>
        <v>0</v>
      </c>
      <c r="T23" s="16">
        <v>21.77</v>
      </c>
      <c r="U23" s="16" t="s">
        <v>295</v>
      </c>
      <c r="V23">
        <f>T23-VLOOKUP(U23,'Bag weights'!A$1:B$20,2,FALSE)</f>
        <v>13.94</v>
      </c>
      <c r="Y23">
        <f>W23-VLOOKUP(X23,'Bag weights'!A$1:B$20,2,FALSE)</f>
        <v>0</v>
      </c>
      <c r="Z23" s="16">
        <v>15.13</v>
      </c>
      <c r="AA23" s="16" t="s">
        <v>295</v>
      </c>
      <c r="AB23">
        <f>Z23-VLOOKUP(AA23,'Bag weights'!A$1:B$20,2,FALSE)</f>
        <v>7.3000000000000007</v>
      </c>
      <c r="AC23" s="16">
        <v>45.61</v>
      </c>
      <c r="AD23" s="16" t="s">
        <v>276</v>
      </c>
      <c r="AE23">
        <f>AC23-VLOOKUP(AD23,'Bag weights'!A$1:B$20,2,FALSE)</f>
        <v>24.66</v>
      </c>
      <c r="AF23" s="16">
        <v>9.1199999999999992</v>
      </c>
      <c r="AG23" s="16" t="s">
        <v>295</v>
      </c>
      <c r="AH23">
        <f>AF23-VLOOKUP(AG23,'Bag weights'!A$1:B$20,2,FALSE)</f>
        <v>1.2899999999999991</v>
      </c>
      <c r="AI23" s="16">
        <v>12.29</v>
      </c>
      <c r="AJ23" s="16" t="s">
        <v>295</v>
      </c>
      <c r="AK23">
        <f>AI23-VLOOKUP(AJ23,'Bag weights'!A$1:B$20,2,FALSE)</f>
        <v>4.4599999999999991</v>
      </c>
      <c r="AL23" s="16">
        <v>20.67</v>
      </c>
      <c r="AM23" s="16" t="s">
        <v>295</v>
      </c>
      <c r="AN23">
        <f>AL23-VLOOKUP(AM23,'Bag weights'!A$1:B$20,2,FALSE)</f>
        <v>12.840000000000002</v>
      </c>
      <c r="AO23" s="16">
        <v>15.79</v>
      </c>
      <c r="AP23" s="16" t="s">
        <v>295</v>
      </c>
      <c r="AQ23">
        <f>AO23-VLOOKUP(AP23,'Bag weights'!A$1:B$20,2,FALSE)</f>
        <v>7.9599999999999991</v>
      </c>
      <c r="AT23">
        <f>AR23-VLOOKUP(AS23,'Bag weights'!A$1:B$20,2,FALSE)</f>
        <v>0</v>
      </c>
      <c r="AW23">
        <f>AU23-VLOOKUP(AV23,'Bag weights'!A$1:B$20,2,FALSE)</f>
        <v>0</v>
      </c>
      <c r="AX23">
        <f t="shared" si="0"/>
        <v>89.47</v>
      </c>
    </row>
    <row r="24" spans="1:50">
      <c r="A24" s="87"/>
      <c r="B24" s="87"/>
      <c r="C24" s="86">
        <v>5</v>
      </c>
      <c r="D24" s="86" t="s">
        <v>79</v>
      </c>
      <c r="E24" s="21" t="s">
        <v>300</v>
      </c>
      <c r="F24" s="2"/>
      <c r="G24" s="2"/>
      <c r="J24">
        <f>H24-VLOOKUP(I24,'Bag weights'!A:B,2,FALSE)</f>
        <v>0</v>
      </c>
      <c r="M24">
        <f>K24-VLOOKUP(L24,'Bag weights'!A$1:B$20,2,FALSE)</f>
        <v>0</v>
      </c>
      <c r="O24" s="122"/>
      <c r="P24">
        <f>N24-VLOOKUP(O24,'Bag weights'!A$1:B$20,2,FALSE)</f>
        <v>0</v>
      </c>
      <c r="S24">
        <f>Q24-VLOOKUP(R24,'Bag weights'!A$1:B$20,2,FALSE)</f>
        <v>0</v>
      </c>
      <c r="T24" s="16">
        <v>52.54</v>
      </c>
      <c r="U24" s="16" t="s">
        <v>276</v>
      </c>
      <c r="V24">
        <f>T24-VLOOKUP(U24,'Bag weights'!A$1:B$20,2,FALSE)</f>
        <v>31.59</v>
      </c>
      <c r="Y24">
        <f>W24-VLOOKUP(X24,'Bag weights'!A$1:B$20,2,FALSE)</f>
        <v>0</v>
      </c>
      <c r="Z24" s="16">
        <v>9.02</v>
      </c>
      <c r="AA24" s="16" t="s">
        <v>295</v>
      </c>
      <c r="AB24">
        <f>Z24-VLOOKUP(AA24,'Bag weights'!A$1:B$20,2,FALSE)</f>
        <v>1.1899999999999995</v>
      </c>
      <c r="AC24" s="16">
        <v>12.97</v>
      </c>
      <c r="AD24" s="16" t="s">
        <v>295</v>
      </c>
      <c r="AE24">
        <f>AC24-VLOOKUP(AD24,'Bag weights'!A$1:B$20,2,FALSE)</f>
        <v>5.1400000000000006</v>
      </c>
      <c r="AF24" s="16">
        <v>8.6999999999999993</v>
      </c>
      <c r="AG24" s="16" t="s">
        <v>295</v>
      </c>
      <c r="AH24">
        <f>AF24-VLOOKUP(AG24,'Bag weights'!A$1:B$20,2,FALSE)</f>
        <v>0.86999999999999922</v>
      </c>
      <c r="AI24" s="16">
        <v>13.73</v>
      </c>
      <c r="AJ24" s="16" t="s">
        <v>295</v>
      </c>
      <c r="AK24">
        <f>AI24-VLOOKUP(AJ24,'Bag weights'!A$1:B$20,2,FALSE)</f>
        <v>5.9</v>
      </c>
      <c r="AL24" s="16">
        <v>26.08</v>
      </c>
      <c r="AM24" s="16" t="s">
        <v>295</v>
      </c>
      <c r="AN24">
        <f>AL24-VLOOKUP(AM24,'Bag weights'!A$1:B$20,2,FALSE)</f>
        <v>18.25</v>
      </c>
      <c r="AO24" s="16">
        <v>6.62</v>
      </c>
      <c r="AP24" s="16" t="s">
        <v>296</v>
      </c>
      <c r="AQ24">
        <f>AO24-VLOOKUP(AP24,'Bag weights'!A$1:B$20,2,FALSE)</f>
        <v>4.13</v>
      </c>
      <c r="AT24">
        <f>AR24-VLOOKUP(AS24,'Bag weights'!A$1:B$20,2,FALSE)</f>
        <v>0</v>
      </c>
      <c r="AU24" s="16">
        <v>3.28</v>
      </c>
      <c r="AV24" s="16" t="s">
        <v>298</v>
      </c>
      <c r="AW24">
        <f>AU24-VLOOKUP(AV24,'Bag weights'!A$1:B$20,2,FALSE)</f>
        <v>1.88</v>
      </c>
      <c r="AX24">
        <f t="shared" si="0"/>
        <v>67.069999999999993</v>
      </c>
    </row>
    <row r="25" spans="1:50">
      <c r="A25" s="87" t="s">
        <v>78</v>
      </c>
      <c r="B25" s="87" t="s">
        <v>104</v>
      </c>
      <c r="C25" s="87">
        <v>1</v>
      </c>
      <c r="D25" s="87" t="s">
        <v>83</v>
      </c>
      <c r="E25" s="2"/>
      <c r="F25" s="2"/>
      <c r="G25" s="2"/>
      <c r="H25" s="16">
        <v>23.61</v>
      </c>
      <c r="I25" s="16" t="s">
        <v>295</v>
      </c>
      <c r="J25">
        <f>H25-VLOOKUP(I25,'Bag weights'!A:B,2,FALSE)</f>
        <v>15.78</v>
      </c>
      <c r="M25">
        <f>K25-VLOOKUP(L25,'Bag weights'!A$1:B$20,2,FALSE)</f>
        <v>0</v>
      </c>
      <c r="N25" s="16">
        <v>11.51</v>
      </c>
      <c r="O25" s="119" t="s">
        <v>295</v>
      </c>
      <c r="P25">
        <f>N25-VLOOKUP(O25,'Bag weights'!A$1:B$20,2,FALSE)</f>
        <v>3.6799999999999997</v>
      </c>
      <c r="S25">
        <f>Q25-VLOOKUP(R25,'Bag weights'!A$1:B$20,2,FALSE)</f>
        <v>0</v>
      </c>
      <c r="T25" s="16">
        <v>42.36</v>
      </c>
      <c r="U25" s="16" t="s">
        <v>294</v>
      </c>
      <c r="V25">
        <f>T25-VLOOKUP(U25,'Bag weights'!A$1:B$20,2,FALSE)</f>
        <v>27.979999999999997</v>
      </c>
      <c r="Y25">
        <f>W25-VLOOKUP(X25,'Bag weights'!A$1:B$20,2,FALSE)</f>
        <v>0</v>
      </c>
      <c r="AB25">
        <f>Z25-VLOOKUP(AA25,'Bag weights'!A$1:B$20,2,FALSE)</f>
        <v>0</v>
      </c>
      <c r="AC25" s="16">
        <v>42.78</v>
      </c>
      <c r="AD25" s="16" t="s">
        <v>294</v>
      </c>
      <c r="AE25">
        <f>AC25-VLOOKUP(AD25,'Bag weights'!A$1:B$20,2,FALSE)</f>
        <v>28.4</v>
      </c>
      <c r="AH25">
        <f>AF25-VLOOKUP(AG25,'Bag weights'!A$1:B$20,2,FALSE)</f>
        <v>0</v>
      </c>
      <c r="AK25">
        <f>AI25-VLOOKUP(AJ25,'Bag weights'!A$1:B$20,2,FALSE)</f>
        <v>0</v>
      </c>
      <c r="AL25" s="16">
        <v>0.59</v>
      </c>
      <c r="AM25" s="16" t="s">
        <v>318</v>
      </c>
      <c r="AN25">
        <f>AL25-VLOOKUP(AM25,'Bag weights'!A$1:B$20,2,FALSE)</f>
        <v>0.59</v>
      </c>
      <c r="AO25" s="16">
        <v>0.77</v>
      </c>
      <c r="AP25" s="16" t="s">
        <v>318</v>
      </c>
      <c r="AQ25">
        <f>AO25-VLOOKUP(AP25,'Bag weights'!A$1:B$20,2,FALSE)</f>
        <v>0.77</v>
      </c>
      <c r="AT25">
        <f>AR25-VLOOKUP(AS25,'Bag weights'!A$1:B$20,2,FALSE)</f>
        <v>0</v>
      </c>
      <c r="AU25" s="16">
        <v>4.3600000000000003</v>
      </c>
      <c r="AV25" s="16" t="s">
        <v>320</v>
      </c>
      <c r="AW25">
        <f>AU25-VLOOKUP(AV25,'Bag weights'!A$1:B$20,2,FALSE)</f>
        <v>4.3600000000000003</v>
      </c>
      <c r="AX25">
        <f t="shared" si="0"/>
        <v>77.199999999999989</v>
      </c>
    </row>
    <row r="26" spans="1:50">
      <c r="A26" s="86" t="s">
        <v>321</v>
      </c>
      <c r="B26" s="87"/>
      <c r="C26" s="87">
        <v>1</v>
      </c>
      <c r="D26" s="87" t="s">
        <v>85</v>
      </c>
      <c r="E26" s="2"/>
      <c r="F26" s="2"/>
      <c r="G26" s="2"/>
      <c r="H26" s="16">
        <v>14.17</v>
      </c>
      <c r="I26" s="16" t="s">
        <v>295</v>
      </c>
      <c r="J26">
        <f>H26-VLOOKUP(I26,'Bag weights'!A:B,2,FALSE)</f>
        <v>6.34</v>
      </c>
      <c r="M26">
        <f>K26-VLOOKUP(L26,'Bag weights'!A$1:B$20,2,FALSE)</f>
        <v>0</v>
      </c>
      <c r="N26" s="16">
        <v>3.49</v>
      </c>
      <c r="O26" s="119" t="s">
        <v>320</v>
      </c>
      <c r="P26">
        <f>N26-VLOOKUP(O26,'Bag weights'!A$1:B$20,2,FALSE)</f>
        <v>3.49</v>
      </c>
      <c r="S26">
        <f>Q26-VLOOKUP(R26,'Bag weights'!A$1:B$20,2,FALSE)</f>
        <v>0</v>
      </c>
      <c r="T26" s="16">
        <v>34.15</v>
      </c>
      <c r="U26" s="16" t="s">
        <v>295</v>
      </c>
      <c r="V26">
        <f>T26-VLOOKUP(U26,'Bag weights'!A$1:B$20,2,FALSE)</f>
        <v>26.32</v>
      </c>
      <c r="Y26">
        <f>W26-VLOOKUP(X26,'Bag weights'!A$1:B$20,2,FALSE)</f>
        <v>0</v>
      </c>
      <c r="Z26" s="16">
        <v>0.06</v>
      </c>
      <c r="AA26" s="16" t="s">
        <v>318</v>
      </c>
      <c r="AB26">
        <f>Z26-VLOOKUP(AA26,'Bag weights'!A$1:B$20,2,FALSE)</f>
        <v>0.06</v>
      </c>
      <c r="AC26" s="16">
        <v>74.099999999999994</v>
      </c>
      <c r="AD26" s="16" t="s">
        <v>276</v>
      </c>
      <c r="AE26">
        <f>AC26-VLOOKUP(AD26,'Bag weights'!A$1:B$20,2,FALSE)</f>
        <v>53.149999999999991</v>
      </c>
      <c r="AH26">
        <f>AF26-VLOOKUP(AG26,'Bag weights'!A$1:B$20,2,FALSE)</f>
        <v>0</v>
      </c>
      <c r="AK26">
        <f>AI26-VLOOKUP(AJ26,'Bag weights'!A$1:B$20,2,FALSE)</f>
        <v>0</v>
      </c>
      <c r="AL26" s="16">
        <v>3.27</v>
      </c>
      <c r="AM26" s="16" t="s">
        <v>320</v>
      </c>
      <c r="AN26">
        <f>AL26-VLOOKUP(AM26,'Bag weights'!A$1:B$20,2,FALSE)</f>
        <v>3.27</v>
      </c>
      <c r="AO26" s="16">
        <v>2.16</v>
      </c>
      <c r="AP26" s="16" t="s">
        <v>329</v>
      </c>
      <c r="AQ26">
        <f>AO26-VLOOKUP(AP26,'Bag weights'!A$1:B$20,2,FALSE)</f>
        <v>2.16</v>
      </c>
      <c r="AT26">
        <f>AR26-VLOOKUP(AS26,'Bag weights'!A$1:B$20,2,FALSE)</f>
        <v>0</v>
      </c>
      <c r="AU26" s="16">
        <v>10.5</v>
      </c>
      <c r="AV26" s="16" t="s">
        <v>320</v>
      </c>
      <c r="AW26">
        <f>AU26-VLOOKUP(AV26,'Bag weights'!A$1:B$20,2,FALSE)</f>
        <v>10.5</v>
      </c>
      <c r="AX26">
        <f t="shared" si="0"/>
        <v>94.789999999999992</v>
      </c>
    </row>
    <row r="27" spans="1:50">
      <c r="A27" s="87"/>
      <c r="B27" s="87"/>
      <c r="C27" s="87">
        <v>1</v>
      </c>
      <c r="D27" s="87" t="s">
        <v>87</v>
      </c>
      <c r="E27" s="2"/>
      <c r="F27" s="2"/>
      <c r="G27" s="2"/>
      <c r="H27" s="16">
        <v>16.27</v>
      </c>
      <c r="I27" s="16" t="s">
        <v>295</v>
      </c>
      <c r="J27">
        <f>H27-VLOOKUP(I27,'Bag weights'!A:B,2,FALSE)</f>
        <v>8.44</v>
      </c>
      <c r="M27">
        <f>K27-VLOOKUP(L27,'Bag weights'!A$1:B$20,2,FALSE)</f>
        <v>0</v>
      </c>
      <c r="N27" s="16">
        <v>0.85</v>
      </c>
      <c r="O27" s="119" t="s">
        <v>330</v>
      </c>
      <c r="P27">
        <f>N27-VLOOKUP(O27,'Bag weights'!A$1:B$20,2,FALSE)</f>
        <v>0.85</v>
      </c>
      <c r="S27">
        <f>Q27-VLOOKUP(R27,'Bag weights'!A$1:B$20,2,FALSE)</f>
        <v>0</v>
      </c>
      <c r="T27" s="16">
        <v>57.8</v>
      </c>
      <c r="U27" s="16" t="s">
        <v>276</v>
      </c>
      <c r="V27">
        <f>T27-VLOOKUP(U27,'Bag weights'!A$1:B$20,2,FALSE)</f>
        <v>36.849999999999994</v>
      </c>
      <c r="Y27">
        <f>W27-VLOOKUP(X27,'Bag weights'!A$1:B$20,2,FALSE)</f>
        <v>0</v>
      </c>
      <c r="AB27">
        <f>Z27-VLOOKUP(AA27,'Bag weights'!A$1:B$20,2,FALSE)</f>
        <v>0</v>
      </c>
      <c r="AC27" s="16">
        <v>56.99</v>
      </c>
      <c r="AD27" s="16" t="s">
        <v>276</v>
      </c>
      <c r="AE27">
        <f>AC27-VLOOKUP(AD27,'Bag weights'!A$1:B$20,2,FALSE)</f>
        <v>36.040000000000006</v>
      </c>
      <c r="AH27">
        <f>AF27-VLOOKUP(AG27,'Bag weights'!A$1:B$20,2,FALSE)</f>
        <v>0</v>
      </c>
      <c r="AK27">
        <f>AI27-VLOOKUP(AJ27,'Bag weights'!A$1:B$20,2,FALSE)</f>
        <v>0</v>
      </c>
      <c r="AN27">
        <f>AL27-VLOOKUP(AM27,'Bag weights'!A$1:B$20,2,FALSE)</f>
        <v>0</v>
      </c>
      <c r="AO27" s="16">
        <v>0.72</v>
      </c>
      <c r="AP27" s="16" t="s">
        <v>318</v>
      </c>
      <c r="AQ27">
        <f>AO27-VLOOKUP(AP27,'Bag weights'!A$1:B$20,2,FALSE)</f>
        <v>0.72</v>
      </c>
      <c r="AT27">
        <f>AR27-VLOOKUP(AS27,'Bag weights'!A$1:B$20,2,FALSE)</f>
        <v>0</v>
      </c>
      <c r="AU27" s="16">
        <v>0.68</v>
      </c>
      <c r="AV27" s="16" t="s">
        <v>318</v>
      </c>
      <c r="AW27">
        <f>AU27-VLOOKUP(AV27,'Bag weights'!A$1:B$20,2,FALSE)</f>
        <v>0.68</v>
      </c>
      <c r="AX27">
        <f t="shared" si="0"/>
        <v>82.899999999999991</v>
      </c>
    </row>
    <row r="28" spans="1:50">
      <c r="A28" s="87"/>
      <c r="B28" s="87"/>
      <c r="C28" s="87">
        <v>1</v>
      </c>
      <c r="D28" s="87" t="s">
        <v>79</v>
      </c>
      <c r="E28" s="2"/>
      <c r="F28" s="2"/>
      <c r="G28" s="2"/>
      <c r="H28" s="16">
        <v>11.99</v>
      </c>
      <c r="I28" s="16" t="s">
        <v>295</v>
      </c>
      <c r="J28">
        <f>H28-VLOOKUP(I28,'Bag weights'!A:B,2,FALSE)</f>
        <v>4.16</v>
      </c>
      <c r="M28">
        <f>K28-VLOOKUP(L28,'Bag weights'!A$1:B$20,2,FALSE)</f>
        <v>0</v>
      </c>
      <c r="O28" s="122"/>
      <c r="P28">
        <f>N28-VLOOKUP(O28,'Bag weights'!A$1:B$20,2,FALSE)</f>
        <v>0</v>
      </c>
      <c r="S28">
        <f>Q28-VLOOKUP(R28,'Bag weights'!A$1:B$20,2,FALSE)</f>
        <v>0</v>
      </c>
      <c r="V28">
        <f>T28-VLOOKUP(U28,'Bag weights'!A$1:B$20,2,FALSE)</f>
        <v>0</v>
      </c>
      <c r="Y28">
        <f>W28-VLOOKUP(X28,'Bag weights'!A$1:B$20,2,FALSE)</f>
        <v>0</v>
      </c>
      <c r="AB28">
        <f>Z28-VLOOKUP(AA28,'Bag weights'!A$1:B$20,2,FALSE)</f>
        <v>0</v>
      </c>
      <c r="AC28" s="16">
        <v>47.39</v>
      </c>
      <c r="AD28" s="16" t="s">
        <v>276</v>
      </c>
      <c r="AE28">
        <f>AC28-VLOOKUP(AD28,'Bag weights'!A$1:B$20,2,FALSE)</f>
        <v>26.44</v>
      </c>
      <c r="AH28">
        <f>AF28-VLOOKUP(AG28,'Bag weights'!A$1:B$20,2,FALSE)</f>
        <v>0</v>
      </c>
      <c r="AI28" s="16">
        <v>1.24</v>
      </c>
      <c r="AJ28" s="16" t="s">
        <v>318</v>
      </c>
      <c r="AK28">
        <f>AI28-VLOOKUP(AJ28,'Bag weights'!A$1:B$20,2,FALSE)</f>
        <v>1.24</v>
      </c>
      <c r="AL28" s="16">
        <v>20.58</v>
      </c>
      <c r="AM28" s="16" t="s">
        <v>295</v>
      </c>
      <c r="AN28">
        <f>AL28-VLOOKUP(AM28,'Bag weights'!A$1:B$20,2,FALSE)</f>
        <v>12.749999999999998</v>
      </c>
      <c r="AO28" s="16">
        <v>0.48</v>
      </c>
      <c r="AP28" s="16" t="s">
        <v>318</v>
      </c>
      <c r="AQ28">
        <f>AO28-VLOOKUP(AP28,'Bag weights'!A$1:B$20,2,FALSE)</f>
        <v>0.48</v>
      </c>
      <c r="AT28">
        <f>AR28-VLOOKUP(AS28,'Bag weights'!A$1:B$20,2,FALSE)</f>
        <v>0</v>
      </c>
      <c r="AU28" s="16">
        <v>1.07</v>
      </c>
      <c r="AV28" s="16" t="s">
        <v>318</v>
      </c>
      <c r="AW28">
        <f>AU28-VLOOKUP(AV28,'Bag weights'!A$1:B$20,2,FALSE)</f>
        <v>1.07</v>
      </c>
      <c r="AX28">
        <f t="shared" si="0"/>
        <v>45.069999999999993</v>
      </c>
    </row>
    <row r="29" spans="1:50">
      <c r="A29" s="87"/>
      <c r="B29" s="87"/>
      <c r="C29" s="87">
        <v>1</v>
      </c>
      <c r="D29" s="87" t="s">
        <v>88</v>
      </c>
      <c r="E29" s="2"/>
      <c r="F29" s="2"/>
      <c r="G29" s="2"/>
      <c r="H29" s="16">
        <v>10.27</v>
      </c>
      <c r="I29" s="16" t="s">
        <v>295</v>
      </c>
      <c r="J29">
        <f>H29-VLOOKUP(I29,'Bag weights'!A:B,2,FALSE)</f>
        <v>2.4399999999999995</v>
      </c>
      <c r="M29">
        <f>K29-VLOOKUP(L29,'Bag weights'!A$1:B$20,2,FALSE)</f>
        <v>0</v>
      </c>
      <c r="O29" s="122"/>
      <c r="P29">
        <f>N29-VLOOKUP(O29,'Bag weights'!A$1:B$20,2,FALSE)</f>
        <v>0</v>
      </c>
      <c r="S29">
        <f>Q29-VLOOKUP(R29,'Bag weights'!A$1:B$20,2,FALSE)</f>
        <v>0</v>
      </c>
      <c r="T29" s="16">
        <v>56.63</v>
      </c>
      <c r="U29" s="16" t="s">
        <v>276</v>
      </c>
      <c r="V29">
        <f>T29-VLOOKUP(U29,'Bag weights'!A$1:B$20,2,FALSE)</f>
        <v>35.680000000000007</v>
      </c>
      <c r="Y29">
        <f>W29-VLOOKUP(X29,'Bag weights'!A$1:B$20,2,FALSE)</f>
        <v>0</v>
      </c>
      <c r="AB29">
        <f>Z29-VLOOKUP(AA29,'Bag weights'!A$1:B$20,2,FALSE)</f>
        <v>0</v>
      </c>
      <c r="AC29" s="16">
        <v>56.73</v>
      </c>
      <c r="AD29" s="16" t="s">
        <v>276</v>
      </c>
      <c r="AE29">
        <f>AC29-VLOOKUP(AD29,'Bag weights'!A$1:B$20,2,FALSE)</f>
        <v>35.78</v>
      </c>
      <c r="AH29">
        <f>AF29-VLOOKUP(AG29,'Bag weights'!A$1:B$20,2,FALSE)</f>
        <v>0</v>
      </c>
      <c r="AI29" s="16">
        <v>0.23</v>
      </c>
      <c r="AJ29" s="16" t="s">
        <v>318</v>
      </c>
      <c r="AK29">
        <f>AI29-VLOOKUP(AJ29,'Bag weights'!A$1:B$20,2,FALSE)</f>
        <v>0.23</v>
      </c>
      <c r="AL29" s="16">
        <v>10.029999999999999</v>
      </c>
      <c r="AM29" s="16" t="s">
        <v>295</v>
      </c>
      <c r="AN29">
        <f>AL29-VLOOKUP(AM29,'Bag weights'!A$1:B$20,2,FALSE)</f>
        <v>2.1999999999999993</v>
      </c>
      <c r="AO29" s="16">
        <v>1.07</v>
      </c>
      <c r="AP29" s="16" t="s">
        <v>318</v>
      </c>
      <c r="AQ29">
        <f>AO29-VLOOKUP(AP29,'Bag weights'!A$1:B$20,2,FALSE)</f>
        <v>1.07</v>
      </c>
      <c r="AT29">
        <f>AR29-VLOOKUP(AS29,'Bag weights'!A$1:B$20,2,FALSE)</f>
        <v>0</v>
      </c>
      <c r="AU29" s="16">
        <v>1.85</v>
      </c>
      <c r="AV29" s="16" t="s">
        <v>320</v>
      </c>
      <c r="AW29">
        <f>AU29-VLOOKUP(AV29,'Bag weights'!A$1:B$20,2,FALSE)</f>
        <v>1.85</v>
      </c>
      <c r="AX29">
        <f t="shared" si="0"/>
        <v>77.400000000000006</v>
      </c>
    </row>
    <row r="30" spans="1:50">
      <c r="A30" s="87"/>
      <c r="B30" s="87"/>
      <c r="C30" s="87">
        <v>2</v>
      </c>
      <c r="D30" s="87" t="s">
        <v>83</v>
      </c>
      <c r="E30" s="2"/>
      <c r="F30" s="2"/>
      <c r="G30" s="2"/>
      <c r="H30" s="16">
        <v>18.23</v>
      </c>
      <c r="I30" s="16" t="s">
        <v>295</v>
      </c>
      <c r="J30">
        <f>H30-VLOOKUP(I30,'Bag weights'!A:B,2,FALSE)</f>
        <v>10.4</v>
      </c>
      <c r="M30">
        <f>K30-VLOOKUP(L30,'Bag weights'!A$1:B$20,2,FALSE)</f>
        <v>0</v>
      </c>
      <c r="N30" s="16">
        <v>16.37</v>
      </c>
      <c r="O30" s="119" t="s">
        <v>295</v>
      </c>
      <c r="P30">
        <f>N30-VLOOKUP(O30,'Bag weights'!A$1:B$20,2,FALSE)</f>
        <v>8.5400000000000009</v>
      </c>
      <c r="S30">
        <f>Q30-VLOOKUP(R30,'Bag weights'!A$1:B$20,2,FALSE)</f>
        <v>0</v>
      </c>
      <c r="T30" s="16">
        <v>38.14</v>
      </c>
      <c r="U30" s="16" t="s">
        <v>276</v>
      </c>
      <c r="V30">
        <f>T30-VLOOKUP(U30,'Bag weights'!A$1:B$20,2,FALSE)</f>
        <v>17.190000000000001</v>
      </c>
      <c r="Y30">
        <f>W30-VLOOKUP(X30,'Bag weights'!A$1:B$20,2,FALSE)</f>
        <v>0</v>
      </c>
      <c r="Z30" s="16">
        <v>0.16</v>
      </c>
      <c r="AA30" s="16" t="s">
        <v>330</v>
      </c>
      <c r="AB30">
        <f>Z30-VLOOKUP(AA30,'Bag weights'!A$1:B$20,2,FALSE)</f>
        <v>0.16</v>
      </c>
      <c r="AC30" s="16">
        <v>61.28</v>
      </c>
      <c r="AD30" s="16" t="s">
        <v>276</v>
      </c>
      <c r="AE30">
        <f>AC30-VLOOKUP(AD30,'Bag weights'!A$1:B$20,2,FALSE)</f>
        <v>40.33</v>
      </c>
      <c r="AH30">
        <f>AF30-VLOOKUP(AG30,'Bag weights'!A$1:B$20,2,FALSE)</f>
        <v>0</v>
      </c>
      <c r="AI30" s="16">
        <v>1.05</v>
      </c>
      <c r="AJ30" s="16" t="s">
        <v>318</v>
      </c>
      <c r="AK30">
        <f>AI30-VLOOKUP(AJ30,'Bag weights'!A$1:B$20,2,FALSE)</f>
        <v>1.05</v>
      </c>
      <c r="AN30">
        <f>AL30-VLOOKUP(AM30,'Bag weights'!A$1:B$20,2,FALSE)</f>
        <v>0</v>
      </c>
      <c r="AO30" s="16">
        <v>1.82</v>
      </c>
      <c r="AP30" s="16" t="s">
        <v>329</v>
      </c>
      <c r="AQ30">
        <f>AO30-VLOOKUP(AP30,'Bag weights'!A$1:B$20,2,FALSE)</f>
        <v>1.82</v>
      </c>
      <c r="AT30">
        <f>AR30-VLOOKUP(AS30,'Bag weights'!A$1:B$20,2,FALSE)</f>
        <v>0</v>
      </c>
      <c r="AU30" s="16">
        <v>5.42</v>
      </c>
      <c r="AV30" s="16" t="s">
        <v>320</v>
      </c>
      <c r="AW30">
        <f>AU30-VLOOKUP(AV30,'Bag weights'!A$1:B$20,2,FALSE)</f>
        <v>5.42</v>
      </c>
      <c r="AX30">
        <f t="shared" si="0"/>
        <v>79.490000000000009</v>
      </c>
    </row>
    <row r="31" spans="1:50">
      <c r="A31" s="87"/>
      <c r="B31" s="87"/>
      <c r="C31" s="87">
        <v>2</v>
      </c>
      <c r="D31" s="87" t="s">
        <v>85</v>
      </c>
      <c r="E31" s="2"/>
      <c r="F31" s="2"/>
      <c r="G31" s="2"/>
      <c r="H31" s="16">
        <v>26.43</v>
      </c>
      <c r="I31" s="16" t="s">
        <v>295</v>
      </c>
      <c r="J31">
        <f>H31-VLOOKUP(I31,'Bag weights'!A:B,2,FALSE)</f>
        <v>18.600000000000001</v>
      </c>
      <c r="K31" s="16">
        <v>14.83</v>
      </c>
      <c r="L31" s="16" t="s">
        <v>295</v>
      </c>
      <c r="M31">
        <f>K31-VLOOKUP(L31,'Bag weights'!A$1:B$20,2,FALSE)</f>
        <v>7</v>
      </c>
      <c r="O31" s="122"/>
      <c r="P31">
        <f>N31-VLOOKUP(O31,'Bag weights'!A$1:B$20,2,FALSE)</f>
        <v>0</v>
      </c>
      <c r="S31">
        <f>Q31-VLOOKUP(R31,'Bag weights'!A$1:B$20,2,FALSE)</f>
        <v>0</v>
      </c>
      <c r="T31" s="16">
        <v>39.630000000000003</v>
      </c>
      <c r="U31" s="16" t="s">
        <v>276</v>
      </c>
      <c r="V31">
        <f>T31-VLOOKUP(U31,'Bag weights'!A$1:B$20,2,FALSE)</f>
        <v>18.680000000000003</v>
      </c>
      <c r="Y31">
        <f>W31-VLOOKUP(X31,'Bag weights'!A$1:B$20,2,FALSE)</f>
        <v>0</v>
      </c>
      <c r="AB31">
        <f>Z31-VLOOKUP(AA31,'Bag weights'!A$1:B$20,2,FALSE)</f>
        <v>0</v>
      </c>
      <c r="AC31" s="16">
        <v>65.7</v>
      </c>
      <c r="AD31" s="16" t="s">
        <v>276</v>
      </c>
      <c r="AE31">
        <f>AC31-VLOOKUP(AD31,'Bag weights'!A$1:B$20,2,FALSE)</f>
        <v>44.75</v>
      </c>
      <c r="AH31">
        <f>AF31-VLOOKUP(AG31,'Bag weights'!A$1:B$20,2,FALSE)</f>
        <v>0</v>
      </c>
      <c r="AK31">
        <f>AI31-VLOOKUP(AJ31,'Bag weights'!A$1:B$20,2,FALSE)</f>
        <v>0</v>
      </c>
      <c r="AL31" s="16">
        <v>1.38</v>
      </c>
      <c r="AM31" s="16" t="s">
        <v>320</v>
      </c>
      <c r="AN31">
        <f>AL31-VLOOKUP(AM31,'Bag weights'!A$1:B$20,2,FALSE)</f>
        <v>1.38</v>
      </c>
      <c r="AO31" s="16">
        <v>0.98</v>
      </c>
      <c r="AP31" s="16" t="s">
        <v>318</v>
      </c>
      <c r="AQ31">
        <f>AO31-VLOOKUP(AP31,'Bag weights'!A$1:B$20,2,FALSE)</f>
        <v>0.98</v>
      </c>
      <c r="AT31">
        <f>AR31-VLOOKUP(AS31,'Bag weights'!A$1:B$20,2,FALSE)</f>
        <v>0</v>
      </c>
      <c r="AU31" s="16">
        <v>3.65</v>
      </c>
      <c r="AV31" s="16" t="s">
        <v>320</v>
      </c>
      <c r="AW31">
        <f>AU31-VLOOKUP(AV31,'Bag weights'!A$1:B$20,2,FALSE)</f>
        <v>3.65</v>
      </c>
      <c r="AX31">
        <f t="shared" si="0"/>
        <v>91.390000000000015</v>
      </c>
    </row>
    <row r="32" spans="1:50">
      <c r="A32" s="87"/>
      <c r="B32" s="87"/>
      <c r="C32" s="87">
        <v>2</v>
      </c>
      <c r="D32" s="87" t="s">
        <v>87</v>
      </c>
      <c r="E32" s="2"/>
      <c r="F32" s="2"/>
      <c r="G32" s="2"/>
      <c r="H32" s="16">
        <v>14.33</v>
      </c>
      <c r="I32" s="16" t="s">
        <v>295</v>
      </c>
      <c r="J32">
        <f>H32-VLOOKUP(I32,'Bag weights'!A:B,2,FALSE)</f>
        <v>6.5</v>
      </c>
      <c r="K32" s="16"/>
      <c r="L32" s="16"/>
      <c r="M32">
        <f>K32-VLOOKUP(L32,'Bag weights'!A$1:B$20,2,FALSE)</f>
        <v>0</v>
      </c>
      <c r="N32" s="16">
        <v>12.12</v>
      </c>
      <c r="O32" s="119" t="s">
        <v>295</v>
      </c>
      <c r="P32">
        <f>N32-VLOOKUP(O32,'Bag weights'!A$1:B$20,2,FALSE)</f>
        <v>4.2899999999999991</v>
      </c>
      <c r="S32">
        <f>Q32-VLOOKUP(R32,'Bag weights'!A$1:B$20,2,FALSE)</f>
        <v>0</v>
      </c>
      <c r="T32" s="16">
        <v>46.1</v>
      </c>
      <c r="U32" s="16" t="s">
        <v>276</v>
      </c>
      <c r="V32">
        <f>T32-VLOOKUP(U32,'Bag weights'!A$1:B$20,2,FALSE)</f>
        <v>25.150000000000002</v>
      </c>
      <c r="Y32">
        <f>W32-VLOOKUP(X32,'Bag weights'!A$1:B$20,2,FALSE)</f>
        <v>0</v>
      </c>
      <c r="Z32" s="16">
        <v>0.03</v>
      </c>
      <c r="AA32" s="16" t="s">
        <v>318</v>
      </c>
      <c r="AB32">
        <f>Z32-VLOOKUP(AA32,'Bag weights'!A$1:B$20,2,FALSE)</f>
        <v>0.03</v>
      </c>
      <c r="AC32" s="16">
        <v>65.540000000000006</v>
      </c>
      <c r="AD32" s="16" t="s">
        <v>276</v>
      </c>
      <c r="AE32">
        <f>AC32-VLOOKUP(AD32,'Bag weights'!A$1:B$20,2,FALSE)</f>
        <v>44.59</v>
      </c>
      <c r="AF32" s="16">
        <v>0.39</v>
      </c>
      <c r="AG32" s="16" t="s">
        <v>318</v>
      </c>
      <c r="AH32">
        <f>AF32-VLOOKUP(AG32,'Bag weights'!A$1:B$20,2,FALSE)</f>
        <v>0.39</v>
      </c>
      <c r="AK32">
        <f>AI32-VLOOKUP(AJ32,'Bag weights'!A$1:B$20,2,FALSE)</f>
        <v>0</v>
      </c>
      <c r="AL32" s="16">
        <v>1.1599999999999999</v>
      </c>
      <c r="AM32" s="16" t="s">
        <v>318</v>
      </c>
      <c r="AN32">
        <f>AL32-VLOOKUP(AM32,'Bag weights'!A$1:B$20,2,FALSE)</f>
        <v>1.1599999999999999</v>
      </c>
      <c r="AO32" s="16">
        <v>1.54</v>
      </c>
      <c r="AP32" s="16" t="s">
        <v>329</v>
      </c>
      <c r="AQ32">
        <f>AO32-VLOOKUP(AP32,'Bag weights'!A$1:B$20,2,FALSE)</f>
        <v>1.54</v>
      </c>
      <c r="AT32">
        <f>AR32-VLOOKUP(AS32,'Bag weights'!A$1:B$20,2,FALSE)</f>
        <v>0</v>
      </c>
      <c r="AU32" s="16">
        <v>3.34</v>
      </c>
      <c r="AW32">
        <f>AU32-VLOOKUP(AV32,'Bag weights'!A$1:B$20,2,FALSE)</f>
        <v>3.34</v>
      </c>
      <c r="AX32">
        <f t="shared" si="0"/>
        <v>83.65</v>
      </c>
    </row>
    <row r="33" spans="1:50">
      <c r="A33" s="87"/>
      <c r="B33" s="87"/>
      <c r="C33" s="87">
        <v>2</v>
      </c>
      <c r="D33" s="87" t="s">
        <v>79</v>
      </c>
      <c r="E33" s="2"/>
      <c r="F33" s="2"/>
      <c r="G33" s="2"/>
      <c r="H33" s="16">
        <v>11.79</v>
      </c>
      <c r="I33" s="16" t="s">
        <v>295</v>
      </c>
      <c r="J33">
        <f>H33-VLOOKUP(I33,'Bag weights'!A:B,2,FALSE)</f>
        <v>3.9599999999999991</v>
      </c>
      <c r="M33">
        <f>K33-VLOOKUP(L33,'Bag weights'!A$1:B$20,2,FALSE)</f>
        <v>0</v>
      </c>
      <c r="O33" s="122"/>
      <c r="P33">
        <f>N33-VLOOKUP(O33,'Bag weights'!A$1:B$20,2,FALSE)</f>
        <v>0</v>
      </c>
      <c r="S33">
        <f>Q33-VLOOKUP(R33,'Bag weights'!A$1:B$20,2,FALSE)</f>
        <v>0</v>
      </c>
      <c r="T33" s="16">
        <v>43.96</v>
      </c>
      <c r="U33" s="16" t="s">
        <v>294</v>
      </c>
      <c r="V33">
        <f>T33-VLOOKUP(U33,'Bag weights'!A$1:B$20,2,FALSE)</f>
        <v>29.58</v>
      </c>
      <c r="Y33">
        <f>W33-VLOOKUP(X33,'Bag weights'!A$1:B$20,2,FALSE)</f>
        <v>0</v>
      </c>
      <c r="AB33">
        <f>Z33-VLOOKUP(AA33,'Bag weights'!A$1:B$20,2,FALSE)</f>
        <v>0</v>
      </c>
      <c r="AC33" s="16">
        <v>34.659999999999997</v>
      </c>
      <c r="AD33" s="16" t="s">
        <v>294</v>
      </c>
      <c r="AE33">
        <f>AC33-VLOOKUP(AD33,'Bag weights'!A$1:B$20,2,FALSE)</f>
        <v>20.279999999999994</v>
      </c>
      <c r="AH33">
        <f>AF33-VLOOKUP(AG33,'Bag weights'!A$1:B$20,2,FALSE)</f>
        <v>0</v>
      </c>
      <c r="AI33" s="16">
        <v>0.35</v>
      </c>
      <c r="AJ33" s="16" t="s">
        <v>318</v>
      </c>
      <c r="AK33">
        <f>AI33-VLOOKUP(AJ33,'Bag weights'!A$1:B$20,2,FALSE)</f>
        <v>0.35</v>
      </c>
      <c r="AN33">
        <f>AL33-VLOOKUP(AM33,'Bag weights'!A$1:B$20,2,FALSE)</f>
        <v>0</v>
      </c>
      <c r="AO33" s="16">
        <v>1.38</v>
      </c>
      <c r="AP33" s="16" t="s">
        <v>329</v>
      </c>
      <c r="AQ33">
        <f>AO33-VLOOKUP(AP33,'Bag weights'!A$1:B$20,2,FALSE)</f>
        <v>1.38</v>
      </c>
      <c r="AT33">
        <f>AR33-VLOOKUP(AS33,'Bag weights'!A$1:B$20,2,FALSE)</f>
        <v>0</v>
      </c>
      <c r="AU33" s="16">
        <v>2.98</v>
      </c>
      <c r="AW33">
        <f>AU33-VLOOKUP(AV33,'Bag weights'!A$1:B$20,2,FALSE)</f>
        <v>2.98</v>
      </c>
      <c r="AX33">
        <f t="shared" si="0"/>
        <v>55.54999999999999</v>
      </c>
    </row>
    <row r="34" spans="1:50">
      <c r="A34" s="87"/>
      <c r="B34" s="87"/>
      <c r="C34" s="87">
        <v>2</v>
      </c>
      <c r="D34" s="87" t="s">
        <v>88</v>
      </c>
      <c r="E34" s="2"/>
      <c r="F34" s="2"/>
      <c r="G34" s="2"/>
      <c r="H34" s="16">
        <v>3.16</v>
      </c>
      <c r="I34" s="16" t="s">
        <v>329</v>
      </c>
      <c r="J34">
        <f>H34-VLOOKUP(I34,'Bag weights'!A:B,2,FALSE)</f>
        <v>3.16</v>
      </c>
      <c r="M34">
        <f>K34-VLOOKUP(L34,'Bag weights'!A$1:B$20,2,FALSE)</f>
        <v>0</v>
      </c>
      <c r="N34" s="16">
        <v>0.77</v>
      </c>
      <c r="O34" s="119" t="s">
        <v>318</v>
      </c>
      <c r="P34">
        <f>N34-VLOOKUP(O34,'Bag weights'!A$1:B$20,2,FALSE)</f>
        <v>0.77</v>
      </c>
      <c r="S34">
        <f>Q34-VLOOKUP(R34,'Bag weights'!A$1:B$20,2,FALSE)</f>
        <v>0</v>
      </c>
      <c r="T34" s="16">
        <v>53.61</v>
      </c>
      <c r="U34" s="16" t="s">
        <v>276</v>
      </c>
      <c r="V34">
        <f>T34-VLOOKUP(U34,'Bag weights'!A$1:B$20,2,FALSE)</f>
        <v>32.659999999999997</v>
      </c>
      <c r="Y34">
        <f>W34-VLOOKUP(X34,'Bag weights'!A$1:B$20,2,FALSE)</f>
        <v>0</v>
      </c>
      <c r="AB34">
        <f>Z34-VLOOKUP(AA34,'Bag weights'!A$1:B$20,2,FALSE)</f>
        <v>0</v>
      </c>
      <c r="AC34" s="16">
        <v>49.02</v>
      </c>
      <c r="AD34" s="16" t="s">
        <v>276</v>
      </c>
      <c r="AE34">
        <f>AC34-VLOOKUP(AD34,'Bag weights'!A$1:B$20,2,FALSE)</f>
        <v>28.070000000000004</v>
      </c>
      <c r="AF34" s="16"/>
      <c r="AH34">
        <f>AF34-VLOOKUP(AG34,'Bag weights'!A$1:B$20,2,FALSE)</f>
        <v>0</v>
      </c>
      <c r="AI34" s="16">
        <v>0.68</v>
      </c>
      <c r="AJ34" s="16" t="s">
        <v>318</v>
      </c>
      <c r="AK34">
        <f>AI34-VLOOKUP(AJ34,'Bag weights'!A$1:B$20,2,FALSE)</f>
        <v>0.68</v>
      </c>
      <c r="AL34" s="16">
        <v>24.57</v>
      </c>
      <c r="AM34" s="16" t="s">
        <v>295</v>
      </c>
      <c r="AN34">
        <f>AL34-VLOOKUP(AM34,'Bag weights'!A$1:B$20,2,FALSE)</f>
        <v>16.740000000000002</v>
      </c>
      <c r="AO34" s="16">
        <v>2.97</v>
      </c>
      <c r="AP34" s="16" t="s">
        <v>329</v>
      </c>
      <c r="AQ34">
        <f>AO34-VLOOKUP(AP34,'Bag weights'!A$1:B$20,2,FALSE)</f>
        <v>2.97</v>
      </c>
      <c r="AT34">
        <f>AR34-VLOOKUP(AS34,'Bag weights'!A$1:B$20,2,FALSE)</f>
        <v>0</v>
      </c>
      <c r="AU34" s="16">
        <v>3.07</v>
      </c>
      <c r="AV34" s="16" t="s">
        <v>329</v>
      </c>
      <c r="AW34">
        <f>AU34-VLOOKUP(AV34,'Bag weights'!A$1:B$20,2,FALSE)</f>
        <v>3.07</v>
      </c>
      <c r="AX34">
        <f t="shared" si="0"/>
        <v>85.05</v>
      </c>
    </row>
    <row r="35" spans="1:50">
      <c r="A35" s="87"/>
      <c r="B35" s="87"/>
      <c r="C35" s="87">
        <v>3</v>
      </c>
      <c r="D35" s="87" t="s">
        <v>83</v>
      </c>
      <c r="E35" s="2"/>
      <c r="F35" s="2"/>
      <c r="G35" s="2"/>
      <c r="J35">
        <f>H35-VLOOKUP(I35,'Bag weights'!A:B,2,FALSE)</f>
        <v>0</v>
      </c>
      <c r="M35">
        <f>K35-VLOOKUP(L35,'Bag weights'!A$1:B$20,2,FALSE)</f>
        <v>0</v>
      </c>
      <c r="O35" s="122"/>
      <c r="P35">
        <f>N35-VLOOKUP(O35,'Bag weights'!A$1:B$20,2,FALSE)</f>
        <v>0</v>
      </c>
      <c r="S35">
        <f>Q35-VLOOKUP(R35,'Bag weights'!A$1:B$20,2,FALSE)</f>
        <v>0</v>
      </c>
      <c r="T35" s="16">
        <v>57.3</v>
      </c>
      <c r="U35" s="16" t="s">
        <v>276</v>
      </c>
      <c r="V35">
        <f>T35-VLOOKUP(U35,'Bag weights'!A$1:B$20,2,FALSE)</f>
        <v>36.349999999999994</v>
      </c>
      <c r="W35" s="16">
        <v>3.32</v>
      </c>
      <c r="X35" s="16" t="s">
        <v>296</v>
      </c>
      <c r="Y35">
        <f>W35-VLOOKUP(X35,'Bag weights'!A$1:B$20,2,FALSE)</f>
        <v>0.82999999999999963</v>
      </c>
      <c r="Z35" s="16">
        <v>15.03</v>
      </c>
      <c r="AA35" s="16" t="s">
        <v>295</v>
      </c>
      <c r="AB35">
        <f>Z35-VLOOKUP(AA35,'Bag weights'!A$1:B$20,2,FALSE)</f>
        <v>7.1999999999999993</v>
      </c>
      <c r="AC35" s="16">
        <v>16.14</v>
      </c>
      <c r="AD35" s="16" t="s">
        <v>295</v>
      </c>
      <c r="AE35">
        <f>AC35-VLOOKUP(AD35,'Bag weights'!A$1:B$20,2,FALSE)</f>
        <v>8.31</v>
      </c>
      <c r="AH35">
        <f>AF35-VLOOKUP(AG35,'Bag weights'!A$1:B$20,2,FALSE)</f>
        <v>0</v>
      </c>
      <c r="AI35" s="16">
        <v>1.83</v>
      </c>
      <c r="AJ35" s="16" t="s">
        <v>298</v>
      </c>
      <c r="AK35">
        <f>AI35-VLOOKUP(AJ35,'Bag weights'!A$1:B$20,2,FALSE)</f>
        <v>0.43000000000000016</v>
      </c>
      <c r="AL35" s="16">
        <v>1.52</v>
      </c>
      <c r="AM35" s="16" t="s">
        <v>298</v>
      </c>
      <c r="AN35">
        <f>AL35-VLOOKUP(AM35,'Bag weights'!A$1:B$20,2,FALSE)</f>
        <v>0.12000000000000011</v>
      </c>
      <c r="AO35" s="16">
        <v>4.95</v>
      </c>
      <c r="AP35" s="16" t="s">
        <v>296</v>
      </c>
      <c r="AQ35">
        <f>AO35-VLOOKUP(AP35,'Bag weights'!A$1:B$20,2,FALSE)</f>
        <v>2.46</v>
      </c>
      <c r="AR35" s="16"/>
      <c r="AS35" s="16"/>
      <c r="AT35">
        <f>AR35-VLOOKUP(AS35,'Bag weights'!A$1:B$20,2,FALSE)</f>
        <v>0</v>
      </c>
      <c r="AU35" s="16">
        <v>4.62</v>
      </c>
      <c r="AV35" s="16" t="s">
        <v>296</v>
      </c>
      <c r="AW35">
        <f>AU35-VLOOKUP(AV35,'Bag weights'!A$1:B$20,2,FALSE)</f>
        <v>2.13</v>
      </c>
      <c r="AX35">
        <f t="shared" si="0"/>
        <v>55.699999999999989</v>
      </c>
    </row>
    <row r="36" spans="1:50">
      <c r="A36" s="87"/>
      <c r="B36" s="87"/>
      <c r="C36" s="87">
        <v>3</v>
      </c>
      <c r="D36" s="87" t="s">
        <v>85</v>
      </c>
      <c r="E36" s="2"/>
      <c r="F36" s="2"/>
      <c r="G36" s="2"/>
      <c r="H36" s="16">
        <v>12.82</v>
      </c>
      <c r="I36" s="16" t="s">
        <v>295</v>
      </c>
      <c r="J36">
        <f>H36-VLOOKUP(I36,'Bag weights'!A:B,2,FALSE)</f>
        <v>4.99</v>
      </c>
      <c r="M36">
        <f>K36-VLOOKUP(L36,'Bag weights'!A$1:B$20,2,FALSE)</f>
        <v>0</v>
      </c>
      <c r="O36" s="122"/>
      <c r="P36">
        <f>N36-VLOOKUP(O36,'Bag weights'!A$1:B$20,2,FALSE)</f>
        <v>0</v>
      </c>
      <c r="S36">
        <f>Q36-VLOOKUP(R36,'Bag weights'!A$1:B$20,2,FALSE)</f>
        <v>0</v>
      </c>
      <c r="T36" s="16">
        <v>49.9</v>
      </c>
      <c r="U36" s="16" t="s">
        <v>276</v>
      </c>
      <c r="V36">
        <f>T36-VLOOKUP(U36,'Bag weights'!A$1:B$20,2,FALSE)</f>
        <v>28.95</v>
      </c>
      <c r="Y36">
        <f>W36-VLOOKUP(X36,'Bag weights'!A$1:B$20,2,FALSE)</f>
        <v>0</v>
      </c>
      <c r="Z36" s="16">
        <v>0.91</v>
      </c>
      <c r="AA36" s="16" t="s">
        <v>318</v>
      </c>
      <c r="AB36">
        <f>Z36-VLOOKUP(AA36,'Bag weights'!A$1:B$20,2,FALSE)</f>
        <v>0.91</v>
      </c>
      <c r="AC36" s="16">
        <v>58.21</v>
      </c>
      <c r="AD36" s="16" t="s">
        <v>276</v>
      </c>
      <c r="AE36">
        <f>AC36-VLOOKUP(AD36,'Bag weights'!A$1:B$20,2,FALSE)</f>
        <v>37.260000000000005</v>
      </c>
      <c r="AH36">
        <f>AF36-VLOOKUP(AG36,'Bag weights'!A$1:B$20,2,FALSE)</f>
        <v>0</v>
      </c>
      <c r="AI36" s="16">
        <v>3.95</v>
      </c>
      <c r="AJ36" s="16" t="s">
        <v>296</v>
      </c>
      <c r="AK36">
        <f>AI36-VLOOKUP(AJ36,'Bag weights'!A$1:B$20,2,FALSE)</f>
        <v>1.46</v>
      </c>
      <c r="AN36">
        <f>AL36-VLOOKUP(AM36,'Bag weights'!A$1:B$20,2,FALSE)</f>
        <v>0</v>
      </c>
      <c r="AO36" s="16">
        <v>1.43</v>
      </c>
      <c r="AP36" s="16" t="s">
        <v>329</v>
      </c>
      <c r="AQ36">
        <f>AO36-VLOOKUP(AP36,'Bag weights'!A$1:B$20,2,FALSE)</f>
        <v>1.43</v>
      </c>
      <c r="AT36">
        <f>AR36-VLOOKUP(AS36,'Bag weights'!A$1:B$20,2,FALSE)</f>
        <v>0</v>
      </c>
      <c r="AU36" s="16">
        <v>4.55</v>
      </c>
      <c r="AV36" s="16" t="s">
        <v>329</v>
      </c>
      <c r="AW36">
        <f>AU36-VLOOKUP(AV36,'Bag weights'!A$1:B$20,2,FALSE)</f>
        <v>4.55</v>
      </c>
      <c r="AX36">
        <f t="shared" si="0"/>
        <v>75</v>
      </c>
    </row>
    <row r="37" spans="1:50">
      <c r="A37" s="87"/>
      <c r="B37" s="87"/>
      <c r="C37" s="87">
        <v>3</v>
      </c>
      <c r="D37" s="87" t="s">
        <v>87</v>
      </c>
      <c r="E37" s="2"/>
      <c r="F37" s="2"/>
      <c r="G37" s="2"/>
      <c r="H37" s="16">
        <v>0.22</v>
      </c>
      <c r="I37" s="16" t="s">
        <v>318</v>
      </c>
      <c r="J37">
        <f>H37-VLOOKUP(I37,'Bag weights'!A:B,2,FALSE)</f>
        <v>0.22</v>
      </c>
      <c r="M37">
        <f>K37-VLOOKUP(L37,'Bag weights'!A$1:B$20,2,FALSE)</f>
        <v>0</v>
      </c>
      <c r="O37" s="122"/>
      <c r="P37">
        <f>N37-VLOOKUP(O37,'Bag weights'!A$1:B$20,2,FALSE)</f>
        <v>0</v>
      </c>
      <c r="S37">
        <f>Q37-VLOOKUP(R37,'Bag weights'!A$1:B$20,2,FALSE)</f>
        <v>0</v>
      </c>
      <c r="T37" s="16">
        <v>37.020000000000003</v>
      </c>
      <c r="U37" s="16" t="s">
        <v>276</v>
      </c>
      <c r="V37">
        <f>T37-VLOOKUP(U37,'Bag weights'!A$1:B$20,2,FALSE)</f>
        <v>16.070000000000004</v>
      </c>
      <c r="Y37">
        <f>W37-VLOOKUP(X37,'Bag weights'!A$1:B$20,2,FALSE)</f>
        <v>0</v>
      </c>
      <c r="Z37" s="16">
        <v>14.45</v>
      </c>
      <c r="AA37" s="16" t="s">
        <v>295</v>
      </c>
      <c r="AB37">
        <f>Z37-VLOOKUP(AA37,'Bag weights'!A$1:B$20,2,FALSE)</f>
        <v>6.6199999999999992</v>
      </c>
      <c r="AC37" s="16">
        <v>61.88</v>
      </c>
      <c r="AD37" s="16" t="s">
        <v>276</v>
      </c>
      <c r="AE37">
        <f>AC37-VLOOKUP(AD37,'Bag weights'!A$1:B$20,2,FALSE)</f>
        <v>40.930000000000007</v>
      </c>
      <c r="AH37">
        <f>AF37-VLOOKUP(AG37,'Bag weights'!A$1:B$20,2,FALSE)</f>
        <v>0</v>
      </c>
      <c r="AI37" s="16">
        <v>0.56000000000000005</v>
      </c>
      <c r="AJ37" s="16" t="s">
        <v>318</v>
      </c>
      <c r="AK37">
        <f>AI37-VLOOKUP(AJ37,'Bag weights'!A$1:B$20,2,FALSE)</f>
        <v>0.56000000000000005</v>
      </c>
      <c r="AL37" s="16">
        <v>15.17</v>
      </c>
      <c r="AM37" s="16" t="s">
        <v>295</v>
      </c>
      <c r="AN37">
        <f>AL37-VLOOKUP(AM37,'Bag weights'!A$1:B$20,2,FALSE)</f>
        <v>7.34</v>
      </c>
      <c r="AO37" s="16">
        <v>2.59</v>
      </c>
      <c r="AP37" s="16" t="s">
        <v>329</v>
      </c>
      <c r="AQ37">
        <f>AO37-VLOOKUP(AP37,'Bag weights'!A$1:B$20,2,FALSE)</f>
        <v>2.59</v>
      </c>
      <c r="AT37">
        <f>AR37-VLOOKUP(AS37,'Bag weights'!A$1:B$20,2,FALSE)</f>
        <v>0</v>
      </c>
      <c r="AU37" s="16">
        <v>3.97</v>
      </c>
      <c r="AV37" s="16" t="s">
        <v>296</v>
      </c>
      <c r="AW37">
        <f>AU37-VLOOKUP(AV37,'Bag weights'!A$1:B$20,2,FALSE)</f>
        <v>1.48</v>
      </c>
      <c r="AX37">
        <f t="shared" si="0"/>
        <v>74.330000000000013</v>
      </c>
    </row>
    <row r="38" spans="1:50">
      <c r="A38" s="87"/>
      <c r="B38" s="87"/>
      <c r="C38" s="87">
        <v>3</v>
      </c>
      <c r="D38" s="87" t="s">
        <v>79</v>
      </c>
      <c r="E38" s="2"/>
      <c r="F38" s="2"/>
      <c r="G38" s="2"/>
      <c r="H38" s="16">
        <v>0.89</v>
      </c>
      <c r="I38" s="16" t="s">
        <v>318</v>
      </c>
      <c r="J38">
        <f>H38-VLOOKUP(I38,'Bag weights'!A:B,2,FALSE)</f>
        <v>0.89</v>
      </c>
      <c r="M38">
        <f>K38-VLOOKUP(L38,'Bag weights'!A$1:B$20,2,FALSE)</f>
        <v>0</v>
      </c>
      <c r="O38" s="122"/>
      <c r="P38">
        <f>N38-VLOOKUP(O38,'Bag weights'!A$1:B$20,2,FALSE)</f>
        <v>0</v>
      </c>
      <c r="S38">
        <f>Q38-VLOOKUP(R38,'Bag weights'!A$1:B$20,2,FALSE)</f>
        <v>0</v>
      </c>
      <c r="T38" s="16">
        <v>49.45</v>
      </c>
      <c r="U38" s="16" t="s">
        <v>276</v>
      </c>
      <c r="V38">
        <f>T38-VLOOKUP(U38,'Bag weights'!A$1:B$20,2,FALSE)</f>
        <v>28.500000000000004</v>
      </c>
      <c r="Y38">
        <f>W38-VLOOKUP(X38,'Bag weights'!A$1:B$20,2,FALSE)</f>
        <v>0</v>
      </c>
      <c r="Z38" s="16">
        <v>13.75</v>
      </c>
      <c r="AA38" s="16" t="s">
        <v>295</v>
      </c>
      <c r="AB38">
        <f>Z38-VLOOKUP(AA38,'Bag weights'!A$1:B$20,2,FALSE)</f>
        <v>5.92</v>
      </c>
      <c r="AC38" s="16">
        <v>34.29</v>
      </c>
      <c r="AD38" s="16" t="s">
        <v>294</v>
      </c>
      <c r="AE38">
        <f>AC38-VLOOKUP(AD38,'Bag weights'!A$1:B$20,2,FALSE)</f>
        <v>19.909999999999997</v>
      </c>
      <c r="AH38">
        <f>AF38-VLOOKUP(AG38,'Bag weights'!A$1:B$20,2,FALSE)</f>
        <v>0</v>
      </c>
      <c r="AI38" s="16">
        <v>0.14000000000000001</v>
      </c>
      <c r="AJ38" s="16" t="s">
        <v>318</v>
      </c>
      <c r="AK38">
        <f>AI38-VLOOKUP(AJ38,'Bag weights'!A$1:B$20,2,FALSE)</f>
        <v>0.14000000000000001</v>
      </c>
      <c r="AL38" s="16">
        <v>50.92</v>
      </c>
      <c r="AM38" s="16" t="s">
        <v>276</v>
      </c>
      <c r="AN38">
        <f>AL38-VLOOKUP(AM38,'Bag weights'!A$1:B$20,2,FALSE)</f>
        <v>29.970000000000002</v>
      </c>
      <c r="AO38" s="16">
        <v>0.24</v>
      </c>
      <c r="AP38" s="16" t="s">
        <v>318</v>
      </c>
      <c r="AQ38">
        <f>AO38-VLOOKUP(AP38,'Bag weights'!A$1:B$20,2,FALSE)</f>
        <v>0.24</v>
      </c>
      <c r="AT38">
        <f>AR38-VLOOKUP(AS38,'Bag weights'!A$1:B$20,2,FALSE)</f>
        <v>0</v>
      </c>
      <c r="AU38" s="16">
        <v>1.29</v>
      </c>
      <c r="AV38" s="16" t="s">
        <v>318</v>
      </c>
      <c r="AW38">
        <f>AU38-VLOOKUP(AV38,'Bag weights'!A$1:B$20,2,FALSE)</f>
        <v>1.29</v>
      </c>
      <c r="AX38">
        <f t="shared" si="0"/>
        <v>85.570000000000007</v>
      </c>
    </row>
    <row r="39" spans="1:50">
      <c r="A39" s="87"/>
      <c r="B39" s="87"/>
      <c r="C39" s="87">
        <v>3</v>
      </c>
      <c r="D39" s="87" t="s">
        <v>88</v>
      </c>
      <c r="E39" s="2"/>
      <c r="F39" s="2"/>
      <c r="G39" s="2"/>
      <c r="H39" s="16">
        <v>8.82</v>
      </c>
      <c r="I39" s="16" t="s">
        <v>329</v>
      </c>
      <c r="J39">
        <f>H39-VLOOKUP(I39,'Bag weights'!A:B,2,FALSE)</f>
        <v>8.82</v>
      </c>
      <c r="M39">
        <f>K39-VLOOKUP(L39,'Bag weights'!A$1:B$20,2,FALSE)</f>
        <v>0</v>
      </c>
      <c r="O39" s="122"/>
      <c r="P39">
        <f>N39-VLOOKUP(O39,'Bag weights'!A$1:B$20,2,FALSE)</f>
        <v>0</v>
      </c>
      <c r="S39">
        <f>Q39-VLOOKUP(R39,'Bag weights'!A$1:B$20,2,FALSE)</f>
        <v>0</v>
      </c>
      <c r="T39" s="16">
        <v>41.13</v>
      </c>
      <c r="U39" s="16" t="s">
        <v>276</v>
      </c>
      <c r="V39">
        <f>T39-VLOOKUP(U39,'Bag weights'!A$1:B$20,2,FALSE)</f>
        <v>20.180000000000003</v>
      </c>
      <c r="Y39">
        <f>W39-VLOOKUP(X39,'Bag weights'!A$1:B$20,2,FALSE)</f>
        <v>0</v>
      </c>
      <c r="Z39" s="16">
        <v>0.86</v>
      </c>
      <c r="AA39" s="16" t="s">
        <v>318</v>
      </c>
      <c r="AB39">
        <f>Z39-VLOOKUP(AA39,'Bag weights'!A$1:B$20,2,FALSE)</f>
        <v>0.86</v>
      </c>
      <c r="AC39" s="16">
        <v>73.22</v>
      </c>
      <c r="AD39" s="16" t="s">
        <v>276</v>
      </c>
      <c r="AE39">
        <f>AC39-VLOOKUP(AD39,'Bag weights'!A$1:B$20,2,FALSE)</f>
        <v>52.269999999999996</v>
      </c>
      <c r="AH39">
        <f>AF39-VLOOKUP(AG39,'Bag weights'!A$1:B$20,2,FALSE)</f>
        <v>0</v>
      </c>
      <c r="AK39">
        <f>AI39-VLOOKUP(AJ39,'Bag weights'!A$1:B$20,2,FALSE)</f>
        <v>0</v>
      </c>
      <c r="AL39" s="16">
        <v>11.03</v>
      </c>
      <c r="AM39" s="16" t="s">
        <v>295</v>
      </c>
      <c r="AN39">
        <f>AL39-VLOOKUP(AM39,'Bag weights'!A$1:B$20,2,FALSE)</f>
        <v>3.1999999999999993</v>
      </c>
      <c r="AO39" s="16">
        <v>1.98</v>
      </c>
      <c r="AP39" s="16" t="s">
        <v>329</v>
      </c>
      <c r="AQ39">
        <f>AO39-VLOOKUP(AP39,'Bag weights'!A$1:B$20,2,FALSE)</f>
        <v>1.98</v>
      </c>
      <c r="AT39">
        <f>AR39-VLOOKUP(AS39,'Bag weights'!A$1:B$20,2,FALSE)</f>
        <v>0</v>
      </c>
      <c r="AU39" s="16">
        <v>1.66</v>
      </c>
      <c r="AV39" s="16" t="s">
        <v>296</v>
      </c>
      <c r="AW39">
        <f>AU39-VLOOKUP(AV39,'Bag weights'!A$1:B$20,2,FALSE)</f>
        <v>-0.83000000000000029</v>
      </c>
      <c r="AX39">
        <f t="shared" si="0"/>
        <v>87.31</v>
      </c>
    </row>
    <row r="40" spans="1:50">
      <c r="A40" s="87"/>
      <c r="B40" s="87"/>
      <c r="C40" s="87">
        <v>4</v>
      </c>
      <c r="D40" s="87" t="s">
        <v>83</v>
      </c>
      <c r="E40" s="2"/>
      <c r="F40" s="2"/>
      <c r="G40" s="2"/>
      <c r="H40" s="16">
        <v>10.07</v>
      </c>
      <c r="I40" s="16" t="s">
        <v>295</v>
      </c>
      <c r="J40">
        <f>H40-VLOOKUP(I40,'Bag weights'!A:B,2,FALSE)</f>
        <v>2.2400000000000002</v>
      </c>
      <c r="M40">
        <f>K40-VLOOKUP(L40,'Bag weights'!A$1:B$20,2,FALSE)</f>
        <v>0</v>
      </c>
      <c r="O40" s="122"/>
      <c r="P40">
        <f>N40-VLOOKUP(O40,'Bag weights'!A$1:B$20,2,FALSE)</f>
        <v>0</v>
      </c>
      <c r="S40">
        <f>Q40-VLOOKUP(R40,'Bag weights'!A$1:B$20,2,FALSE)</f>
        <v>0</v>
      </c>
      <c r="T40" s="16">
        <v>92.2</v>
      </c>
      <c r="U40" s="16" t="s">
        <v>332</v>
      </c>
      <c r="V40">
        <f>T40-VLOOKUP(U40,'Bag weights'!A$1:B$20,2,FALSE)</f>
        <v>50.300000000000004</v>
      </c>
      <c r="Y40">
        <f>W40-VLOOKUP(X40,'Bag weights'!A$1:B$20,2,FALSE)</f>
        <v>0</v>
      </c>
      <c r="Z40" s="16">
        <v>8.6</v>
      </c>
      <c r="AA40" s="16" t="s">
        <v>295</v>
      </c>
      <c r="AB40">
        <f>Z40-VLOOKUP(AA40,'Bag weights'!A$1:B$20,2,FALSE)</f>
        <v>0.76999999999999957</v>
      </c>
      <c r="AC40" s="16">
        <v>29.54</v>
      </c>
      <c r="AD40" s="16" t="s">
        <v>276</v>
      </c>
      <c r="AE40">
        <f>AC40-VLOOKUP(AD40,'Bag weights'!A$1:B$20,2,FALSE)</f>
        <v>8.59</v>
      </c>
      <c r="AH40">
        <f>AF40-VLOOKUP(AG40,'Bag weights'!A$1:B$20,2,FALSE)</f>
        <v>0</v>
      </c>
      <c r="AK40">
        <f>AI40-VLOOKUP(AJ40,'Bag weights'!A$1:B$20,2,FALSE)</f>
        <v>0</v>
      </c>
      <c r="AL40" s="16">
        <v>0.5</v>
      </c>
      <c r="AM40" s="16" t="s">
        <v>318</v>
      </c>
      <c r="AN40">
        <f>AL40-VLOOKUP(AM40,'Bag weights'!A$1:B$20,2,FALSE)</f>
        <v>0.5</v>
      </c>
      <c r="AO40" s="16">
        <v>0.78</v>
      </c>
      <c r="AP40" s="16" t="s">
        <v>318</v>
      </c>
      <c r="AQ40">
        <f>AO40-VLOOKUP(AP40,'Bag weights'!A$1:B$20,2,FALSE)</f>
        <v>0.78</v>
      </c>
      <c r="AT40">
        <f>AR40-VLOOKUP(AS40,'Bag weights'!A$1:B$20,2,FALSE)</f>
        <v>0</v>
      </c>
      <c r="AU40" s="16">
        <v>29.74</v>
      </c>
      <c r="AV40" s="16" t="s">
        <v>295</v>
      </c>
      <c r="AW40">
        <f>AU40-VLOOKUP(AV40,'Bag weights'!A$1:B$20,2,FALSE)</f>
        <v>21.909999999999997</v>
      </c>
      <c r="AX40">
        <f t="shared" si="0"/>
        <v>63.180000000000007</v>
      </c>
    </row>
    <row r="41" spans="1:50">
      <c r="A41" s="87"/>
      <c r="B41" s="87"/>
      <c r="C41" s="87">
        <v>4</v>
      </c>
      <c r="D41" s="87" t="s">
        <v>85</v>
      </c>
      <c r="E41" s="2"/>
      <c r="F41" s="2"/>
      <c r="G41" s="2"/>
      <c r="H41" s="16">
        <v>0.21</v>
      </c>
      <c r="I41" s="16" t="s">
        <v>318</v>
      </c>
      <c r="J41">
        <f>H41-VLOOKUP(I41,'Bag weights'!A:B,2,FALSE)</f>
        <v>0.21</v>
      </c>
      <c r="M41">
        <f>K41-VLOOKUP(L41,'Bag weights'!A$1:B$20,2,FALSE)</f>
        <v>0</v>
      </c>
      <c r="O41" s="122"/>
      <c r="P41">
        <f>N41-VLOOKUP(O41,'Bag weights'!A$1:B$20,2,FALSE)</f>
        <v>0</v>
      </c>
      <c r="S41">
        <f>Q41-VLOOKUP(R41,'Bag weights'!A$1:B$20,2,FALSE)</f>
        <v>0</v>
      </c>
      <c r="T41" s="16">
        <v>73.650000000000006</v>
      </c>
      <c r="U41" s="16" t="s">
        <v>276</v>
      </c>
      <c r="V41">
        <f>T41-VLOOKUP(U41,'Bag weights'!A$1:B$20,2,FALSE)</f>
        <v>52.7</v>
      </c>
      <c r="Y41">
        <f>W41-VLOOKUP(X41,'Bag weights'!A$1:B$20,2,FALSE)</f>
        <v>0</v>
      </c>
      <c r="AB41">
        <f>Z41-VLOOKUP(AA41,'Bag weights'!A$1:B$20,2,FALSE)</f>
        <v>0</v>
      </c>
      <c r="AC41" s="16">
        <v>14.18</v>
      </c>
      <c r="AD41" s="16" t="s">
        <v>295</v>
      </c>
      <c r="AE41">
        <f>AC41-VLOOKUP(AD41,'Bag weights'!A$1:B$20,2,FALSE)</f>
        <v>6.35</v>
      </c>
      <c r="AH41">
        <f>AF41-VLOOKUP(AG41,'Bag weights'!A$1:B$20,2,FALSE)</f>
        <v>0</v>
      </c>
      <c r="AK41">
        <f>AI41-VLOOKUP(AJ41,'Bag weights'!A$1:B$20,2,FALSE)</f>
        <v>0</v>
      </c>
      <c r="AL41" s="16">
        <v>0.24</v>
      </c>
      <c r="AM41" s="16" t="s">
        <v>318</v>
      </c>
      <c r="AN41">
        <f>AL41-VLOOKUP(AM41,'Bag weights'!A$1:B$20,2,FALSE)</f>
        <v>0.24</v>
      </c>
      <c r="AO41" s="16">
        <v>0.6</v>
      </c>
      <c r="AP41" s="16" t="s">
        <v>318</v>
      </c>
      <c r="AQ41">
        <f>AO41-VLOOKUP(AP41,'Bag weights'!A$1:B$20,2,FALSE)</f>
        <v>0.6</v>
      </c>
      <c r="AT41">
        <f>AR41-VLOOKUP(AS41,'Bag weights'!A$1:B$20,2,FALSE)</f>
        <v>0</v>
      </c>
      <c r="AU41" s="16">
        <v>2.79</v>
      </c>
      <c r="AV41" s="16" t="s">
        <v>298</v>
      </c>
      <c r="AW41">
        <f>AU41-VLOOKUP(AV41,'Bag weights'!A$1:B$20,2,FALSE)</f>
        <v>1.3900000000000001</v>
      </c>
      <c r="AX41">
        <f t="shared" si="0"/>
        <v>60.1</v>
      </c>
    </row>
    <row r="42" spans="1:50">
      <c r="A42" s="87"/>
      <c r="B42" s="87"/>
      <c r="C42" s="87">
        <v>4</v>
      </c>
      <c r="D42" s="87" t="s">
        <v>87</v>
      </c>
      <c r="E42" s="2"/>
      <c r="F42" s="2"/>
      <c r="G42" s="2"/>
      <c r="J42">
        <f>H42-VLOOKUP(I42,'Bag weights'!A:B,2,FALSE)</f>
        <v>0</v>
      </c>
      <c r="M42">
        <f>K42-VLOOKUP(L42,'Bag weights'!A$1:B$20,2,FALSE)</f>
        <v>0</v>
      </c>
      <c r="O42" s="122"/>
      <c r="P42">
        <f>N42-VLOOKUP(O42,'Bag weights'!A$1:B$20,2,FALSE)</f>
        <v>0</v>
      </c>
      <c r="S42">
        <f>Q42-VLOOKUP(R42,'Bag weights'!A$1:B$20,2,FALSE)</f>
        <v>0</v>
      </c>
      <c r="V42">
        <f>T42-VLOOKUP(U42,'Bag weights'!A$1:B$20,2,FALSE)</f>
        <v>0</v>
      </c>
      <c r="Y42">
        <f>W42-VLOOKUP(X42,'Bag weights'!A$1:B$20,2,FALSE)</f>
        <v>0</v>
      </c>
      <c r="Z42" s="16">
        <v>0.21</v>
      </c>
      <c r="AA42" s="16" t="s">
        <v>298</v>
      </c>
      <c r="AB42">
        <f>Z42-VLOOKUP(AA42,'Bag weights'!A$1:B$20,2,FALSE)</f>
        <v>-1.19</v>
      </c>
      <c r="AC42" s="16"/>
      <c r="AD42" s="16"/>
      <c r="AE42">
        <f>AC42-VLOOKUP(AD42,'Bag weights'!A$1:B$20,2,FALSE)</f>
        <v>0</v>
      </c>
      <c r="AH42">
        <f>AF42-VLOOKUP(AG42,'Bag weights'!A$1:B$20,2,FALSE)</f>
        <v>0</v>
      </c>
      <c r="AK42">
        <f>AI42-VLOOKUP(AJ42,'Bag weights'!A$1:B$20,2,FALSE)</f>
        <v>0</v>
      </c>
      <c r="AL42" s="16">
        <v>1.35</v>
      </c>
      <c r="AN42">
        <f>AL42-VLOOKUP(AM42,'Bag weights'!A$1:B$20,2,FALSE)</f>
        <v>1.35</v>
      </c>
      <c r="AQ42">
        <f>AO42-VLOOKUP(AP42,'Bag weights'!A$1:B$20,2,FALSE)</f>
        <v>0</v>
      </c>
      <c r="AT42">
        <f>AR42-VLOOKUP(AS42,'Bag weights'!A$1:B$20,2,FALSE)</f>
        <v>0</v>
      </c>
      <c r="AW42">
        <f>AU42-VLOOKUP(AV42,'Bag weights'!A$1:B$20,2,FALSE)</f>
        <v>0</v>
      </c>
      <c r="AX42">
        <f t="shared" si="0"/>
        <v>0.16000000000000014</v>
      </c>
    </row>
    <row r="43" spans="1:50">
      <c r="A43" s="87"/>
      <c r="B43" s="87"/>
      <c r="C43" s="87">
        <v>4</v>
      </c>
      <c r="D43" s="87" t="s">
        <v>79</v>
      </c>
      <c r="E43" s="2"/>
      <c r="F43" s="2"/>
      <c r="G43" s="2"/>
      <c r="J43">
        <f>H43-VLOOKUP(I43,'Bag weights'!A:B,2,FALSE)</f>
        <v>0</v>
      </c>
      <c r="M43">
        <f>K43-VLOOKUP(L43,'Bag weights'!A$1:B$20,2,FALSE)</f>
        <v>0</v>
      </c>
      <c r="O43" s="122"/>
      <c r="P43">
        <f>N43-VLOOKUP(O43,'Bag weights'!A$1:B$20,2,FALSE)</f>
        <v>0</v>
      </c>
      <c r="S43">
        <f>Q43-VLOOKUP(R43,'Bag weights'!A$1:B$20,2,FALSE)</f>
        <v>0</v>
      </c>
      <c r="V43">
        <f>T43-VLOOKUP(U43,'Bag weights'!A$1:B$20,2,FALSE)</f>
        <v>0</v>
      </c>
      <c r="Y43">
        <f>W43-VLOOKUP(X43,'Bag weights'!A$1:B$20,2,FALSE)</f>
        <v>0</v>
      </c>
      <c r="Z43" s="16">
        <v>0.1</v>
      </c>
      <c r="AB43">
        <f>Z43-VLOOKUP(AA43,'Bag weights'!A$1:B$20,2,FALSE)</f>
        <v>0.1</v>
      </c>
      <c r="AE43">
        <f>AC43-VLOOKUP(AD43,'Bag weights'!A$1:B$20,2,FALSE)</f>
        <v>0</v>
      </c>
      <c r="AH43">
        <f>AF43-VLOOKUP(AG43,'Bag weights'!A$1:B$20,2,FALSE)</f>
        <v>0</v>
      </c>
      <c r="AK43">
        <f>AI43-VLOOKUP(AJ43,'Bag weights'!A$1:B$20,2,FALSE)</f>
        <v>0</v>
      </c>
      <c r="AL43" s="16">
        <v>10.83</v>
      </c>
      <c r="AM43" s="16" t="s">
        <v>295</v>
      </c>
      <c r="AN43">
        <f>AL43-VLOOKUP(AM43,'Bag weights'!A$1:B$20,2,FALSE)</f>
        <v>3</v>
      </c>
      <c r="AQ43">
        <f>AO43-VLOOKUP(AP43,'Bag weights'!A$1:B$20,2,FALSE)</f>
        <v>0</v>
      </c>
      <c r="AT43">
        <f>AR43-VLOOKUP(AS43,'Bag weights'!A$1:B$20,2,FALSE)</f>
        <v>0</v>
      </c>
      <c r="AW43">
        <f>AU43-VLOOKUP(AV43,'Bag weights'!A$1:B$20,2,FALSE)</f>
        <v>0</v>
      </c>
      <c r="AX43">
        <f t="shared" si="0"/>
        <v>3.1</v>
      </c>
    </row>
    <row r="44" spans="1:50">
      <c r="A44" s="87"/>
      <c r="B44" s="87"/>
      <c r="C44" s="87">
        <v>4</v>
      </c>
      <c r="D44" s="87" t="s">
        <v>88</v>
      </c>
      <c r="E44" s="2"/>
      <c r="F44" s="2"/>
      <c r="G44" s="2"/>
      <c r="H44" s="16">
        <v>0.21</v>
      </c>
      <c r="I44" s="16" t="s">
        <v>298</v>
      </c>
      <c r="J44">
        <f>H44-VLOOKUP(I44,'Bag weights'!A:B,2,FALSE)</f>
        <v>-1.19</v>
      </c>
      <c r="M44">
        <f>K44-VLOOKUP(L44,'Bag weights'!A$1:B$20,2,FALSE)</f>
        <v>0</v>
      </c>
      <c r="N44" s="16">
        <v>0.1</v>
      </c>
      <c r="O44" s="119" t="s">
        <v>298</v>
      </c>
      <c r="P44">
        <f>N44-VLOOKUP(O44,'Bag weights'!A$1:B$20,2,FALSE)</f>
        <v>-1.2999999999999998</v>
      </c>
      <c r="S44">
        <f>Q44-VLOOKUP(R44,'Bag weights'!A$1:B$20,2,FALSE)</f>
        <v>0</v>
      </c>
      <c r="V44">
        <f>T44-VLOOKUP(U44,'Bag weights'!A$1:B$20,2,FALSE)</f>
        <v>0</v>
      </c>
      <c r="Y44">
        <f>W44-VLOOKUP(X44,'Bag weights'!A$1:B$20,2,FALSE)</f>
        <v>0</v>
      </c>
      <c r="Z44" s="16">
        <v>0.26</v>
      </c>
      <c r="AA44" s="16" t="s">
        <v>298</v>
      </c>
      <c r="AB44">
        <f>Z44-VLOOKUP(AA44,'Bag weights'!A$1:B$20,2,FALSE)</f>
        <v>-1.1399999999999999</v>
      </c>
      <c r="AE44">
        <f>AC44-VLOOKUP(AD44,'Bag weights'!A$1:B$20,2,FALSE)</f>
        <v>0</v>
      </c>
      <c r="AH44">
        <f>AF44-VLOOKUP(AG44,'Bag weights'!A$1:B$20,2,FALSE)</f>
        <v>0</v>
      </c>
      <c r="AK44">
        <f>AI44-VLOOKUP(AJ44,'Bag weights'!A$1:B$20,2,FALSE)</f>
        <v>0</v>
      </c>
      <c r="AL44" s="16">
        <v>29.58</v>
      </c>
      <c r="AM44" s="16" t="s">
        <v>296</v>
      </c>
      <c r="AN44">
        <f>AL44-VLOOKUP(AM44,'Bag weights'!A$1:B$20,2,FALSE)</f>
        <v>27.089999999999996</v>
      </c>
      <c r="AQ44">
        <f>AO44-VLOOKUP(AP44,'Bag weights'!A$1:B$20,2,FALSE)</f>
        <v>0</v>
      </c>
      <c r="AT44">
        <f>AR44-VLOOKUP(AS44,'Bag weights'!A$1:B$20,2,FALSE)</f>
        <v>0</v>
      </c>
      <c r="AW44">
        <f>AU44-VLOOKUP(AV44,'Bag weights'!A$1:B$20,2,FALSE)</f>
        <v>0</v>
      </c>
      <c r="AX44">
        <f t="shared" si="0"/>
        <v>23.459999999999994</v>
      </c>
    </row>
    <row r="45" spans="1:50">
      <c r="A45" s="87"/>
      <c r="B45" s="87"/>
      <c r="C45" s="86">
        <v>5</v>
      </c>
      <c r="D45" s="86" t="s">
        <v>83</v>
      </c>
      <c r="E45" s="21"/>
      <c r="F45" s="21"/>
      <c r="G45" s="21"/>
      <c r="J45">
        <f>H45-VLOOKUP(I45,'Bag weights'!A:B,2,FALSE)</f>
        <v>0</v>
      </c>
      <c r="M45">
        <f>K45-VLOOKUP(L45,'Bag weights'!A$1:B$20,2,FALSE)</f>
        <v>0</v>
      </c>
      <c r="O45" s="122"/>
      <c r="P45">
        <f>N45-VLOOKUP(O45,'Bag weights'!A$1:B$20,2,FALSE)</f>
        <v>0</v>
      </c>
      <c r="S45">
        <f>Q45-VLOOKUP(R45,'Bag weights'!A$1:B$20,2,FALSE)</f>
        <v>0</v>
      </c>
      <c r="T45" s="16">
        <v>33.07</v>
      </c>
      <c r="U45" s="16" t="s">
        <v>276</v>
      </c>
      <c r="V45">
        <f>T45-VLOOKUP(U45,'Bag weights'!A$1:B$20,2,FALSE)</f>
        <v>12.120000000000001</v>
      </c>
      <c r="Y45">
        <f>W45-VLOOKUP(X45,'Bag weights'!A$1:B$20,2,FALSE)</f>
        <v>0</v>
      </c>
      <c r="Z45" s="16">
        <v>0.51</v>
      </c>
      <c r="AA45" s="16" t="s">
        <v>298</v>
      </c>
      <c r="AB45">
        <f>Z45-VLOOKUP(AA45,'Bag weights'!A$1:B$20,2,FALSE)</f>
        <v>-0.8899999999999999</v>
      </c>
      <c r="AC45" s="16">
        <v>59.3</v>
      </c>
      <c r="AD45" s="16" t="s">
        <v>276</v>
      </c>
      <c r="AE45">
        <f>AC45-VLOOKUP(AD45,'Bag weights'!A$1:B$20,2,FALSE)</f>
        <v>38.349999999999994</v>
      </c>
      <c r="AF45" s="16"/>
      <c r="AG45" s="16"/>
      <c r="AH45">
        <f>AF45-VLOOKUP(AG45,'Bag weights'!A$1:B$20,2,FALSE)</f>
        <v>0</v>
      </c>
      <c r="AI45" s="16">
        <v>0.61</v>
      </c>
      <c r="AJ45" s="16" t="s">
        <v>296</v>
      </c>
      <c r="AK45">
        <f>AI45-VLOOKUP(AJ45,'Bag weights'!A$1:B$20,2,FALSE)</f>
        <v>-1.8800000000000003</v>
      </c>
      <c r="AL45" s="16">
        <v>37.049999999999997</v>
      </c>
      <c r="AM45" s="16" t="s">
        <v>276</v>
      </c>
      <c r="AN45">
        <f>AL45-VLOOKUP(AM45,'Bag weights'!A$1:B$20,2,FALSE)</f>
        <v>16.099999999999998</v>
      </c>
      <c r="AO45" s="16">
        <v>2</v>
      </c>
      <c r="AP45" s="16" t="s">
        <v>296</v>
      </c>
      <c r="AQ45">
        <f>AO45-VLOOKUP(AP45,'Bag weights'!A$1:B$20,2,FALSE)</f>
        <v>-0.49000000000000021</v>
      </c>
      <c r="AT45">
        <f>AR45-VLOOKUP(AS45,'Bag weights'!A$1:B$20,2,FALSE)</f>
        <v>0</v>
      </c>
      <c r="AU45" s="16">
        <v>0.8</v>
      </c>
      <c r="AV45" s="16" t="s">
        <v>296</v>
      </c>
      <c r="AW45">
        <f>AU45-VLOOKUP(AV45,'Bag weights'!A$1:B$20,2,FALSE)</f>
        <v>-1.6900000000000002</v>
      </c>
      <c r="AX45">
        <f t="shared" si="0"/>
        <v>63.309999999999988</v>
      </c>
    </row>
    <row r="46" spans="1:50">
      <c r="A46" s="87"/>
      <c r="B46" s="87"/>
      <c r="C46" s="86">
        <v>5</v>
      </c>
      <c r="D46" s="86" t="s">
        <v>85</v>
      </c>
      <c r="E46" s="21"/>
      <c r="F46" s="21"/>
      <c r="G46" s="21"/>
      <c r="J46">
        <f>H46-VLOOKUP(I46,'Bag weights'!A:B,2,FALSE)</f>
        <v>0</v>
      </c>
      <c r="M46">
        <f>K46-VLOOKUP(L46,'Bag weights'!A$1:B$20,2,FALSE)</f>
        <v>0</v>
      </c>
      <c r="O46" s="122"/>
      <c r="P46">
        <f>N46-VLOOKUP(O46,'Bag weights'!A$1:B$20,2,FALSE)</f>
        <v>0</v>
      </c>
      <c r="S46">
        <f>Q46-VLOOKUP(R46,'Bag weights'!A$1:B$20,2,FALSE)</f>
        <v>0</v>
      </c>
      <c r="T46" s="16">
        <v>44.75</v>
      </c>
      <c r="U46" s="16" t="s">
        <v>276</v>
      </c>
      <c r="V46">
        <f>T46-VLOOKUP(U46,'Bag weights'!A$1:B$20,2,FALSE)</f>
        <v>23.8</v>
      </c>
      <c r="Y46">
        <f>W46-VLOOKUP(X46,'Bag weights'!A$1:B$20,2,FALSE)</f>
        <v>0</v>
      </c>
      <c r="Z46" s="16">
        <v>79.83</v>
      </c>
      <c r="AA46" s="16" t="s">
        <v>276</v>
      </c>
      <c r="AB46">
        <f>Z46-VLOOKUP(AA46,'Bag weights'!A$1:B$20,2,FALSE)</f>
        <v>58.879999999999995</v>
      </c>
      <c r="AC46" s="16">
        <v>79.150000000000006</v>
      </c>
      <c r="AD46" s="16" t="s">
        <v>276</v>
      </c>
      <c r="AE46">
        <f>AC46-VLOOKUP(AD46,'Bag weights'!A$1:B$20,2,FALSE)</f>
        <v>58.2</v>
      </c>
      <c r="AF46" s="16"/>
      <c r="AG46" s="16"/>
      <c r="AH46">
        <f>AF46-VLOOKUP(AG46,'Bag weights'!A$1:B$20,2,FALSE)</f>
        <v>0</v>
      </c>
      <c r="AK46">
        <f>AI46-VLOOKUP(AJ46,'Bag weights'!A$1:B$20,2,FALSE)</f>
        <v>0</v>
      </c>
      <c r="AL46" s="16">
        <v>2.35</v>
      </c>
      <c r="AM46" s="16" t="s">
        <v>296</v>
      </c>
      <c r="AN46">
        <f>AL46-VLOOKUP(AM46,'Bag weights'!A$1:B$20,2,FALSE)</f>
        <v>-0.14000000000000012</v>
      </c>
      <c r="AO46" s="16">
        <v>2.88</v>
      </c>
      <c r="AP46" s="16" t="s">
        <v>296</v>
      </c>
      <c r="AQ46">
        <f>AO46-VLOOKUP(AP46,'Bag weights'!A$1:B$20,2,FALSE)</f>
        <v>0.38999999999999968</v>
      </c>
      <c r="AT46">
        <f>AR46-VLOOKUP(AS46,'Bag weights'!A$1:B$20,2,FALSE)</f>
        <v>0</v>
      </c>
      <c r="AU46" s="16">
        <v>0.28000000000000003</v>
      </c>
      <c r="AV46" s="16" t="s">
        <v>298</v>
      </c>
      <c r="AW46">
        <f>AU46-VLOOKUP(AV46,'Bag weights'!A$1:B$20,2,FALSE)</f>
        <v>-1.1199999999999999</v>
      </c>
      <c r="AX46">
        <f t="shared" si="0"/>
        <v>141.13</v>
      </c>
    </row>
    <row r="47" spans="1:50">
      <c r="A47" s="87"/>
      <c r="B47" s="87"/>
      <c r="C47" s="86">
        <v>5</v>
      </c>
      <c r="D47" s="86" t="s">
        <v>87</v>
      </c>
      <c r="E47" s="21"/>
      <c r="F47" s="21"/>
      <c r="G47" s="21"/>
      <c r="J47">
        <f>H47-VLOOKUP(I47,'Bag weights'!A:B,2,FALSE)</f>
        <v>0</v>
      </c>
      <c r="M47">
        <f>K47-VLOOKUP(L47,'Bag weights'!A$1:B$20,2,FALSE)</f>
        <v>0</v>
      </c>
      <c r="O47" s="122"/>
      <c r="P47">
        <f>N47-VLOOKUP(O47,'Bag weights'!A$1:B$20,2,FALSE)</f>
        <v>0</v>
      </c>
      <c r="S47">
        <f>Q47-VLOOKUP(R47,'Bag weights'!A$1:B$20,2,FALSE)</f>
        <v>0</v>
      </c>
      <c r="T47" s="16"/>
      <c r="U47" s="16"/>
      <c r="V47">
        <f>T47-VLOOKUP(U47,'Bag weights'!A$1:B$20,2,FALSE)</f>
        <v>0</v>
      </c>
      <c r="Y47">
        <f>W47-VLOOKUP(X47,'Bag weights'!A$1:B$20,2,FALSE)</f>
        <v>0</v>
      </c>
      <c r="Z47" s="16"/>
      <c r="AA47" s="16"/>
      <c r="AB47">
        <f>Z47-VLOOKUP(AA47,'Bag weights'!A$1:B$20,2,FALSE)</f>
        <v>0</v>
      </c>
      <c r="AC47" s="16">
        <v>37.1</v>
      </c>
      <c r="AD47" s="16" t="s">
        <v>276</v>
      </c>
      <c r="AE47">
        <f>AC47-VLOOKUP(AD47,'Bag weights'!A$1:B$20,2,FALSE)</f>
        <v>16.150000000000002</v>
      </c>
      <c r="AF47" s="16"/>
      <c r="AG47" s="16"/>
      <c r="AH47">
        <f>AF47-VLOOKUP(AG47,'Bag weights'!A$1:B$20,2,FALSE)</f>
        <v>0</v>
      </c>
      <c r="AI47" s="16">
        <v>0.08</v>
      </c>
      <c r="AJ47" s="16" t="s">
        <v>298</v>
      </c>
      <c r="AK47">
        <f>AI47-VLOOKUP(AJ47,'Bag weights'!A$1:B$20,2,FALSE)</f>
        <v>-1.3199999999999998</v>
      </c>
      <c r="AL47" s="16">
        <v>12.06</v>
      </c>
      <c r="AM47" s="16" t="s">
        <v>295</v>
      </c>
      <c r="AN47">
        <f>AL47-VLOOKUP(AM47,'Bag weights'!A$1:B$20,2,FALSE)</f>
        <v>4.2300000000000004</v>
      </c>
      <c r="AO47" s="16">
        <v>0.75</v>
      </c>
      <c r="AP47" s="16" t="s">
        <v>296</v>
      </c>
      <c r="AQ47">
        <f>AO47-VLOOKUP(AP47,'Bag weights'!A$1:B$20,2,FALSE)</f>
        <v>-1.7400000000000002</v>
      </c>
      <c r="AT47">
        <f>AR47-VLOOKUP(AS47,'Bag weights'!A$1:B$20,2,FALSE)</f>
        <v>0</v>
      </c>
      <c r="AU47" s="16">
        <v>1.89</v>
      </c>
      <c r="AV47" s="16" t="s">
        <v>298</v>
      </c>
      <c r="AW47">
        <f>AU47-VLOOKUP(AV47,'Bag weights'!A$1:B$20,2,FALSE)</f>
        <v>0.49</v>
      </c>
      <c r="AX47">
        <f t="shared" si="0"/>
        <v>17.320000000000004</v>
      </c>
    </row>
    <row r="48" spans="1:50">
      <c r="A48" s="87"/>
      <c r="B48" s="87"/>
      <c r="C48" s="86">
        <v>5</v>
      </c>
      <c r="D48" s="86" t="s">
        <v>79</v>
      </c>
      <c r="E48" s="21"/>
      <c r="F48" s="21"/>
      <c r="G48" s="21"/>
      <c r="J48">
        <f>H48-VLOOKUP(I48,'Bag weights'!A:B,2,FALSE)</f>
        <v>0</v>
      </c>
      <c r="M48">
        <f>K48-VLOOKUP(L48,'Bag weights'!A$1:B$20,2,FALSE)</f>
        <v>0</v>
      </c>
      <c r="O48" s="122"/>
      <c r="P48">
        <f>N48-VLOOKUP(O48,'Bag weights'!A$1:B$20,2,FALSE)</f>
        <v>0</v>
      </c>
      <c r="S48">
        <f>Q48-VLOOKUP(R48,'Bag weights'!A$1:B$20,2,FALSE)</f>
        <v>0</v>
      </c>
      <c r="T48" s="16">
        <v>48.51</v>
      </c>
      <c r="U48" s="16" t="s">
        <v>276</v>
      </c>
      <c r="V48">
        <f>T48-VLOOKUP(U48,'Bag weights'!A$1:B$20,2,FALSE)</f>
        <v>27.56</v>
      </c>
      <c r="Y48">
        <f>W48-VLOOKUP(X48,'Bag weights'!A$1:B$20,2,FALSE)</f>
        <v>0</v>
      </c>
      <c r="AB48">
        <f>Z48-VLOOKUP(AA48,'Bag weights'!A$1:B$20,2,FALSE)</f>
        <v>0</v>
      </c>
      <c r="AC48" s="16">
        <v>45.2</v>
      </c>
      <c r="AD48" s="16" t="s">
        <v>276</v>
      </c>
      <c r="AE48">
        <f>AC48-VLOOKUP(AD48,'Bag weights'!A$1:B$20,2,FALSE)</f>
        <v>24.250000000000004</v>
      </c>
      <c r="AF48" s="16">
        <v>1.01</v>
      </c>
      <c r="AG48" s="16" t="s">
        <v>296</v>
      </c>
      <c r="AH48">
        <f>AF48-VLOOKUP(AG48,'Bag weights'!A$1:B$20,2,FALSE)</f>
        <v>-1.4800000000000002</v>
      </c>
      <c r="AK48">
        <f>AI48-VLOOKUP(AJ48,'Bag weights'!A$1:B$20,2,FALSE)</f>
        <v>0</v>
      </c>
      <c r="AL48" s="16">
        <v>12.82</v>
      </c>
      <c r="AM48" s="16" t="s">
        <v>295</v>
      </c>
      <c r="AN48">
        <f>AL48-VLOOKUP(AM48,'Bag weights'!A$1:B$20,2,FALSE)</f>
        <v>4.99</v>
      </c>
      <c r="AO48" s="16">
        <v>0.94</v>
      </c>
      <c r="AP48" s="16" t="s">
        <v>296</v>
      </c>
      <c r="AQ48">
        <f>AO48-VLOOKUP(AP48,'Bag weights'!A$1:B$20,2,FALSE)</f>
        <v>-1.5500000000000003</v>
      </c>
      <c r="AT48">
        <f>AR48-VLOOKUP(AS48,'Bag weights'!A$1:B$20,2,FALSE)</f>
        <v>0</v>
      </c>
      <c r="AU48" s="16">
        <v>0.68</v>
      </c>
      <c r="AV48" s="16" t="s">
        <v>296</v>
      </c>
      <c r="AW48">
        <f>AU48-VLOOKUP(AV48,'Bag weights'!A$1:B$20,2,FALSE)</f>
        <v>-1.81</v>
      </c>
      <c r="AX48">
        <f t="shared" si="0"/>
        <v>53.77</v>
      </c>
    </row>
    <row r="49" spans="1:50">
      <c r="A49" s="87"/>
      <c r="B49" s="87"/>
      <c r="C49" s="86">
        <v>5</v>
      </c>
      <c r="D49" s="86" t="s">
        <v>88</v>
      </c>
      <c r="E49" s="21"/>
      <c r="F49" s="21"/>
      <c r="G49" s="21"/>
      <c r="J49">
        <f>H49-VLOOKUP(I49,'Bag weights'!A:B,2,FALSE)</f>
        <v>0</v>
      </c>
      <c r="M49">
        <f>K49-VLOOKUP(L49,'Bag weights'!A$1:B$20,2,FALSE)</f>
        <v>0</v>
      </c>
      <c r="O49" s="122"/>
      <c r="P49">
        <f>N49-VLOOKUP(O49,'Bag weights'!A$1:B$20,2,FALSE)</f>
        <v>0</v>
      </c>
      <c r="S49">
        <f>Q49-VLOOKUP(R49,'Bag weights'!A$1:B$20,2,FALSE)</f>
        <v>0</v>
      </c>
      <c r="T49" s="16">
        <v>43.46</v>
      </c>
      <c r="U49" s="16" t="s">
        <v>276</v>
      </c>
      <c r="V49">
        <f>T49-VLOOKUP(U49,'Bag weights'!A$1:B$20,2,FALSE)</f>
        <v>22.51</v>
      </c>
      <c r="Y49">
        <f>W49-VLOOKUP(X49,'Bag weights'!A$1:B$20,2,FALSE)</f>
        <v>0</v>
      </c>
      <c r="Z49" s="16">
        <v>11.07</v>
      </c>
      <c r="AA49" s="16" t="s">
        <v>295</v>
      </c>
      <c r="AB49">
        <f>Z49-VLOOKUP(AA49,'Bag weights'!A$1:B$20,2,FALSE)</f>
        <v>3.24</v>
      </c>
      <c r="AC49" s="16">
        <v>41.8</v>
      </c>
      <c r="AD49" s="16" t="s">
        <v>276</v>
      </c>
      <c r="AE49">
        <f>AC49-VLOOKUP(AD49,'Bag weights'!A$1:B$20,2,FALSE)</f>
        <v>20.849999999999998</v>
      </c>
      <c r="AF49" s="16"/>
      <c r="AG49" s="16"/>
      <c r="AH49">
        <f>AF49-VLOOKUP(AG49,'Bag weights'!A$1:B$20,2,FALSE)</f>
        <v>0</v>
      </c>
      <c r="AK49">
        <f>AI49-VLOOKUP(AJ49,'Bag weights'!A$1:B$20,2,FALSE)</f>
        <v>0</v>
      </c>
      <c r="AL49" s="16">
        <v>34.96</v>
      </c>
      <c r="AM49" s="16" t="s">
        <v>276</v>
      </c>
      <c r="AN49">
        <f>AL49-VLOOKUP(AM49,'Bag weights'!A$1:B$20,2,FALSE)</f>
        <v>14.010000000000002</v>
      </c>
      <c r="AO49" s="16">
        <v>1.24</v>
      </c>
      <c r="AP49" s="16" t="s">
        <v>296</v>
      </c>
      <c r="AQ49">
        <f>AO49-VLOOKUP(AP49,'Bag weights'!A$1:B$20,2,FALSE)</f>
        <v>-1.2500000000000002</v>
      </c>
      <c r="AT49">
        <f>AR49-VLOOKUP(AS49,'Bag weights'!A$1:B$20,2,FALSE)</f>
        <v>0</v>
      </c>
      <c r="AU49" s="16">
        <v>1.69</v>
      </c>
      <c r="AV49" s="16" t="s">
        <v>296</v>
      </c>
      <c r="AW49">
        <f>AU49-VLOOKUP(AV49,'Bag weights'!A$1:B$20,2,FALSE)</f>
        <v>-0.80000000000000027</v>
      </c>
      <c r="AX49">
        <f t="shared" si="0"/>
        <v>59.36</v>
      </c>
    </row>
    <row r="50" spans="1:50">
      <c r="A50" s="87"/>
      <c r="B50" s="87"/>
      <c r="C50" s="86">
        <v>5</v>
      </c>
      <c r="D50" s="87"/>
      <c r="E50" s="2"/>
      <c r="F50" s="2"/>
      <c r="G50" s="2"/>
      <c r="J50">
        <f>H50-VLOOKUP(I50,'Bag weights'!A:B,2,FALSE)</f>
        <v>0</v>
      </c>
      <c r="M50">
        <f>K50-VLOOKUP(L50,'Bag weights'!A$1:B$20,2,FALSE)</f>
        <v>0</v>
      </c>
      <c r="O50" s="122"/>
      <c r="P50">
        <f>N50-VLOOKUP(O50,'Bag weights'!A$1:B$20,2,FALSE)</f>
        <v>0</v>
      </c>
      <c r="S50">
        <f>Q50-VLOOKUP(R50,'Bag weights'!A$1:B$20,2,FALSE)</f>
        <v>0</v>
      </c>
      <c r="T50" s="16"/>
      <c r="U50" s="16"/>
      <c r="V50">
        <f>T50-VLOOKUP(U50,'Bag weights'!A$1:B$20,2,FALSE)</f>
        <v>0</v>
      </c>
      <c r="Y50">
        <f>W50-VLOOKUP(X50,'Bag weights'!A$1:B$20,2,FALSE)</f>
        <v>0</v>
      </c>
      <c r="AB50">
        <f>Z50-VLOOKUP(AA50,'Bag weights'!A$1:B$20,2,FALSE)</f>
        <v>0</v>
      </c>
      <c r="AC50" s="16"/>
      <c r="AD50" s="16"/>
      <c r="AE50">
        <f>AC50-VLOOKUP(AD50,'Bag weights'!A$1:B$20,2,FALSE)</f>
        <v>0</v>
      </c>
      <c r="AF50" s="16"/>
      <c r="AG50" s="16"/>
      <c r="AH50">
        <f>AF50-VLOOKUP(AG50,'Bag weights'!A$1:B$20,2,FALSE)</f>
        <v>0</v>
      </c>
      <c r="AK50">
        <f>AI50-VLOOKUP(AJ50,'Bag weights'!A$1:B$20,2,FALSE)</f>
        <v>0</v>
      </c>
      <c r="AL50" s="16"/>
      <c r="AM50" s="16"/>
      <c r="AN50">
        <f>AL50-VLOOKUP(AM50,'Bag weights'!A$1:B$20,2,FALSE)</f>
        <v>0</v>
      </c>
      <c r="AO50" s="16"/>
      <c r="AP50" s="16"/>
      <c r="AQ50">
        <f>AO50-VLOOKUP(AP50,'Bag weights'!A$1:B$20,2,FALSE)</f>
        <v>0</v>
      </c>
      <c r="AT50">
        <f>AR50-VLOOKUP(AS50,'Bag weights'!A$1:B$20,2,FALSE)</f>
        <v>0</v>
      </c>
      <c r="AU50" s="16"/>
      <c r="AV50" s="16"/>
      <c r="AW50">
        <f>AU50-VLOOKUP(AV50,'Bag weights'!A$1:B$20,2,FALSE)</f>
        <v>0</v>
      </c>
      <c r="AX50">
        <f t="shared" si="0"/>
        <v>0</v>
      </c>
    </row>
    <row r="51" spans="1:50">
      <c r="A51" s="87" t="s">
        <v>78</v>
      </c>
      <c r="B51" s="87" t="s">
        <v>105</v>
      </c>
      <c r="C51" s="87">
        <v>1</v>
      </c>
      <c r="D51" s="87" t="s">
        <v>83</v>
      </c>
      <c r="E51" s="2"/>
      <c r="F51" s="2"/>
      <c r="G51" s="2"/>
      <c r="J51">
        <f>H51-VLOOKUP(I51,'Bag weights'!A:B,2,FALSE)</f>
        <v>0</v>
      </c>
      <c r="M51">
        <f>K51-VLOOKUP(L51,'Bag weights'!A$1:B$20,2,FALSE)</f>
        <v>0</v>
      </c>
      <c r="O51" s="122"/>
      <c r="P51">
        <f>N51-VLOOKUP(O51,'Bag weights'!A$1:B$20,2,FALSE)</f>
        <v>0</v>
      </c>
      <c r="S51">
        <f>Q51-VLOOKUP(R51,'Bag weights'!A$1:B$20,2,FALSE)</f>
        <v>0</v>
      </c>
      <c r="T51" s="16">
        <v>20.51</v>
      </c>
      <c r="U51" s="16" t="s">
        <v>302</v>
      </c>
      <c r="V51">
        <f>T51-VLOOKUP(U51,'Bag weights'!A$1:B$20,2,FALSE)</f>
        <v>20.51</v>
      </c>
      <c r="Y51">
        <f>W51-VLOOKUP(X51,'Bag weights'!A$1:B$20,2,FALSE)</f>
        <v>0</v>
      </c>
      <c r="AB51">
        <f>Z51-VLOOKUP(AA51,'Bag weights'!A$1:B$20,2,FALSE)</f>
        <v>0</v>
      </c>
      <c r="AC51" s="16">
        <v>37.26</v>
      </c>
      <c r="AD51" s="16" t="s">
        <v>302</v>
      </c>
      <c r="AE51">
        <f>AC51-VLOOKUP(AD51,'Bag weights'!A$1:B$20,2,FALSE)</f>
        <v>37.26</v>
      </c>
      <c r="AF51" s="16">
        <v>0.18</v>
      </c>
      <c r="AG51" s="16" t="s">
        <v>302</v>
      </c>
      <c r="AH51">
        <f>AF51-VLOOKUP(AG51,'Bag weights'!A$1:B$20,2,FALSE)</f>
        <v>0.18</v>
      </c>
      <c r="AK51">
        <f>AI51-VLOOKUP(AJ51,'Bag weights'!A$1:B$20,2,FALSE)</f>
        <v>0</v>
      </c>
      <c r="AL51" s="140">
        <v>29.71</v>
      </c>
      <c r="AM51" s="140" t="s">
        <v>302</v>
      </c>
      <c r="AN51">
        <f>AL51-VLOOKUP(AM51,'Bag weights'!A$1:B$20,2,FALSE)</f>
        <v>29.71</v>
      </c>
      <c r="AO51" s="16">
        <v>1.58</v>
      </c>
      <c r="AP51" s="16" t="s">
        <v>302</v>
      </c>
      <c r="AQ51">
        <f>AO51-VLOOKUP(AP51,'Bag weights'!A$1:B$20,2,FALSE)</f>
        <v>1.58</v>
      </c>
      <c r="AT51">
        <f>AR51-VLOOKUP(AS51,'Bag weights'!A$1:B$20,2,FALSE)</f>
        <v>0</v>
      </c>
      <c r="AU51" s="16">
        <v>0.81</v>
      </c>
      <c r="AV51" s="16" t="s">
        <v>302</v>
      </c>
      <c r="AW51">
        <f>AU51-VLOOKUP(AV51,'Bag weights'!A$1:B$20,2,FALSE)</f>
        <v>0.81</v>
      </c>
      <c r="AX51">
        <f t="shared" si="0"/>
        <v>89.24</v>
      </c>
    </row>
    <row r="52" spans="1:50">
      <c r="A52" s="86" t="s">
        <v>333</v>
      </c>
      <c r="B52" s="87"/>
      <c r="C52" s="87">
        <v>1</v>
      </c>
      <c r="D52" s="87" t="s">
        <v>85</v>
      </c>
      <c r="E52" s="2"/>
      <c r="F52" s="2"/>
      <c r="G52" s="2"/>
      <c r="J52">
        <f>H52-VLOOKUP(I52,'Bag weights'!A:B,2,FALSE)</f>
        <v>0</v>
      </c>
      <c r="M52">
        <f>K52-VLOOKUP(L52,'Bag weights'!A$1:B$20,2,FALSE)</f>
        <v>0</v>
      </c>
      <c r="O52" s="122"/>
      <c r="P52">
        <f>N52-VLOOKUP(O52,'Bag weights'!A$1:B$20,2,FALSE)</f>
        <v>0</v>
      </c>
      <c r="S52">
        <f>Q52-VLOOKUP(R52,'Bag weights'!A$1:B$20,2,FALSE)</f>
        <v>0</v>
      </c>
      <c r="T52" s="16">
        <v>29.03</v>
      </c>
      <c r="U52" s="16" t="s">
        <v>302</v>
      </c>
      <c r="V52">
        <f>T52-VLOOKUP(U52,'Bag weights'!A$1:B$20,2,FALSE)</f>
        <v>29.03</v>
      </c>
      <c r="Y52">
        <f>W52-VLOOKUP(X52,'Bag weights'!A$1:B$20,2,FALSE)</f>
        <v>0</v>
      </c>
      <c r="AB52">
        <f>Z52-VLOOKUP(AA52,'Bag weights'!A$1:B$20,2,FALSE)</f>
        <v>0</v>
      </c>
      <c r="AC52" s="16">
        <v>24.63</v>
      </c>
      <c r="AD52" s="16" t="s">
        <v>302</v>
      </c>
      <c r="AE52">
        <f>AC52-VLOOKUP(AD52,'Bag weights'!A$1:B$20,2,FALSE)</f>
        <v>24.63</v>
      </c>
      <c r="AH52">
        <f>AF52-VLOOKUP(AG52,'Bag weights'!A$1:B$20,2,FALSE)</f>
        <v>0</v>
      </c>
      <c r="AI52" s="16">
        <v>0.34</v>
      </c>
      <c r="AJ52" s="16" t="s">
        <v>302</v>
      </c>
      <c r="AK52">
        <f>AI52-VLOOKUP(AJ52,'Bag weights'!A$1:B$20,2,FALSE)</f>
        <v>0.34</v>
      </c>
      <c r="AL52" s="16">
        <v>26.04</v>
      </c>
      <c r="AM52" s="16" t="s">
        <v>302</v>
      </c>
      <c r="AN52">
        <f>AL52-VLOOKUP(AM52,'Bag weights'!A$1:B$20,2,FALSE)</f>
        <v>26.04</v>
      </c>
      <c r="AO52" s="16">
        <v>1.78</v>
      </c>
      <c r="AP52" s="16" t="s">
        <v>302</v>
      </c>
      <c r="AQ52">
        <f>AO52-VLOOKUP(AP52,'Bag weights'!A$1:B$20,2,FALSE)</f>
        <v>1.78</v>
      </c>
      <c r="AT52">
        <f>AR52-VLOOKUP(AS52,'Bag weights'!A$1:B$20,2,FALSE)</f>
        <v>0</v>
      </c>
      <c r="AU52" s="16">
        <v>0.82</v>
      </c>
      <c r="AV52" s="16" t="s">
        <v>302</v>
      </c>
      <c r="AW52">
        <f>AU52-VLOOKUP(AV52,'Bag weights'!A$1:B$20,2,FALSE)</f>
        <v>0.82</v>
      </c>
      <c r="AX52">
        <f t="shared" si="0"/>
        <v>81.819999999999993</v>
      </c>
    </row>
    <row r="53" spans="1:50">
      <c r="A53" s="87"/>
      <c r="B53" s="87"/>
      <c r="C53" s="87">
        <v>1</v>
      </c>
      <c r="D53" s="87" t="s">
        <v>87</v>
      </c>
      <c r="E53" s="2"/>
      <c r="F53" s="2"/>
      <c r="G53" s="2"/>
      <c r="J53">
        <f>H53-VLOOKUP(I53,'Bag weights'!A:B,2,FALSE)</f>
        <v>0</v>
      </c>
      <c r="M53">
        <f>K53-VLOOKUP(L53,'Bag weights'!A$1:B$20,2,FALSE)</f>
        <v>0</v>
      </c>
      <c r="O53" s="122"/>
      <c r="P53">
        <f>N53-VLOOKUP(O53,'Bag weights'!A$1:B$20,2,FALSE)</f>
        <v>0</v>
      </c>
      <c r="S53">
        <f>Q53-VLOOKUP(R53,'Bag weights'!A$1:B$20,2,FALSE)</f>
        <v>0</v>
      </c>
      <c r="T53" s="16">
        <v>41.17</v>
      </c>
      <c r="U53" s="16" t="s">
        <v>276</v>
      </c>
      <c r="V53">
        <f>T53-VLOOKUP(U53,'Bag weights'!A$1:B$20,2,FALSE)</f>
        <v>20.220000000000002</v>
      </c>
      <c r="Y53">
        <f>W53-VLOOKUP(X53,'Bag weights'!A$1:B$20,2,FALSE)</f>
        <v>0</v>
      </c>
      <c r="AB53">
        <f>Z53-VLOOKUP(AA53,'Bag weights'!A$1:B$20,2,FALSE)</f>
        <v>0</v>
      </c>
      <c r="AC53" s="16">
        <v>71.989999999999995</v>
      </c>
      <c r="AD53" s="16" t="s">
        <v>276</v>
      </c>
      <c r="AE53">
        <f>AC53-VLOOKUP(AD53,'Bag weights'!A$1:B$20,2,FALSE)</f>
        <v>51.039999999999992</v>
      </c>
      <c r="AH53">
        <f>AF53-VLOOKUP(AG53,'Bag weights'!A$1:B$20,2,FALSE)</f>
        <v>0</v>
      </c>
      <c r="AI53" s="16"/>
      <c r="AJ53" s="16"/>
      <c r="AK53">
        <f>AI53-VLOOKUP(AJ53,'Bag weights'!A$1:B$20,2,FALSE)</f>
        <v>0</v>
      </c>
      <c r="AL53" s="16">
        <v>38.270000000000003</v>
      </c>
      <c r="AM53" s="16" t="s">
        <v>294</v>
      </c>
      <c r="AN53">
        <f>AL53-VLOOKUP(AM53,'Bag weights'!A$1:B$20,2,FALSE)</f>
        <v>23.89</v>
      </c>
      <c r="AO53" s="16">
        <v>1.33</v>
      </c>
      <c r="AP53" s="16" t="s">
        <v>302</v>
      </c>
      <c r="AQ53">
        <f>AO53-VLOOKUP(AP53,'Bag weights'!A$1:B$20,2,FALSE)</f>
        <v>1.33</v>
      </c>
      <c r="AT53">
        <f>AR53-VLOOKUP(AS53,'Bag weights'!A$1:B$20,2,FALSE)</f>
        <v>0</v>
      </c>
      <c r="AU53" s="16">
        <v>0.54</v>
      </c>
      <c r="AV53" s="16" t="s">
        <v>302</v>
      </c>
      <c r="AW53">
        <f>AU53-VLOOKUP(AV53,'Bag weights'!A$1:B$20,2,FALSE)</f>
        <v>0.54</v>
      </c>
      <c r="AX53">
        <f t="shared" si="0"/>
        <v>96.47999999999999</v>
      </c>
    </row>
    <row r="54" spans="1:50">
      <c r="A54" s="87"/>
      <c r="B54" s="87"/>
      <c r="C54" s="87">
        <v>1</v>
      </c>
      <c r="D54" s="87" t="s">
        <v>79</v>
      </c>
      <c r="E54" s="2"/>
      <c r="F54" s="2"/>
      <c r="G54" s="2"/>
      <c r="H54" s="16">
        <v>0.89</v>
      </c>
      <c r="I54" s="16" t="s">
        <v>302</v>
      </c>
      <c r="J54">
        <f>H54-VLOOKUP(I54,'Bag weights'!A:B,2,FALSE)</f>
        <v>0.89</v>
      </c>
      <c r="M54">
        <f>K54-VLOOKUP(L54,'Bag weights'!A$1:B$20,2,FALSE)</f>
        <v>0</v>
      </c>
      <c r="O54" s="122"/>
      <c r="P54">
        <f>N54-VLOOKUP(O54,'Bag weights'!A$1:B$20,2,FALSE)</f>
        <v>0</v>
      </c>
      <c r="S54">
        <f>Q54-VLOOKUP(R54,'Bag weights'!A$1:B$20,2,FALSE)</f>
        <v>0</v>
      </c>
      <c r="T54" s="16">
        <v>42.69</v>
      </c>
      <c r="U54" s="16" t="s">
        <v>276</v>
      </c>
      <c r="V54">
        <f>T54-VLOOKUP(U54,'Bag weights'!A$1:B$20,2,FALSE)</f>
        <v>21.74</v>
      </c>
      <c r="Y54">
        <f>W54-VLOOKUP(X54,'Bag weights'!A$1:B$20,2,FALSE)</f>
        <v>0</v>
      </c>
      <c r="AB54">
        <f>Z54-VLOOKUP(AA54,'Bag weights'!A$1:B$20,2,FALSE)</f>
        <v>0</v>
      </c>
      <c r="AC54" s="16">
        <v>63.91</v>
      </c>
      <c r="AD54" s="16" t="s">
        <v>276</v>
      </c>
      <c r="AE54">
        <f>AC54-VLOOKUP(AD54,'Bag weights'!A$1:B$20,2,FALSE)</f>
        <v>42.959999999999994</v>
      </c>
      <c r="AH54">
        <f>AF54-VLOOKUP(AG54,'Bag weights'!A$1:B$20,2,FALSE)</f>
        <v>0</v>
      </c>
      <c r="AI54" s="16">
        <v>1.06</v>
      </c>
      <c r="AJ54" s="16" t="s">
        <v>302</v>
      </c>
      <c r="AK54">
        <f>AI54-VLOOKUP(AJ54,'Bag weights'!A$1:B$20,2,FALSE)</f>
        <v>1.06</v>
      </c>
      <c r="AN54">
        <f>AL54-VLOOKUP(AM54,'Bag weights'!A$1:B$20,2,FALSE)</f>
        <v>0</v>
      </c>
      <c r="AO54" s="16">
        <v>3.18</v>
      </c>
      <c r="AP54" s="16" t="s">
        <v>302</v>
      </c>
      <c r="AQ54">
        <f>AO54-VLOOKUP(AP54,'Bag weights'!A$1:B$20,2,FALSE)</f>
        <v>3.18</v>
      </c>
      <c r="AT54">
        <f>AR54-VLOOKUP(AS54,'Bag weights'!A$1:B$20,2,FALSE)</f>
        <v>0</v>
      </c>
      <c r="AU54" s="16">
        <v>0.59</v>
      </c>
      <c r="AW54">
        <f>AU54-VLOOKUP(AV54,'Bag weights'!A$1:B$20,2,FALSE)</f>
        <v>0.59</v>
      </c>
      <c r="AX54">
        <f t="shared" si="0"/>
        <v>69.83</v>
      </c>
    </row>
    <row r="55" spans="1:50">
      <c r="A55" s="87"/>
      <c r="B55" s="87"/>
      <c r="C55" s="87">
        <v>1</v>
      </c>
      <c r="D55" s="87" t="s">
        <v>88</v>
      </c>
      <c r="E55" s="2"/>
      <c r="F55" s="2"/>
      <c r="G55" s="2"/>
      <c r="J55">
        <f>H55-VLOOKUP(I55,'Bag weights'!A:B,2,FALSE)</f>
        <v>0</v>
      </c>
      <c r="M55">
        <f>K55-VLOOKUP(L55,'Bag weights'!A$1:B$20,2,FALSE)</f>
        <v>0</v>
      </c>
      <c r="O55" s="122"/>
      <c r="P55">
        <f>N55-VLOOKUP(O55,'Bag weights'!A$1:B$20,2,FALSE)</f>
        <v>0</v>
      </c>
      <c r="S55">
        <f>Q55-VLOOKUP(R55,'Bag weights'!A$1:B$20,2,FALSE)</f>
        <v>0</v>
      </c>
      <c r="T55" s="16">
        <v>33.14</v>
      </c>
      <c r="U55" s="16" t="s">
        <v>302</v>
      </c>
      <c r="V55">
        <f>T55-VLOOKUP(U55,'Bag weights'!A$1:B$20,2,FALSE)</f>
        <v>33.14</v>
      </c>
      <c r="Y55">
        <f>W55-VLOOKUP(X55,'Bag weights'!A$1:B$20,2,FALSE)</f>
        <v>0</v>
      </c>
      <c r="AB55">
        <f>Z55-VLOOKUP(AA55,'Bag weights'!A$1:B$20,2,FALSE)</f>
        <v>0</v>
      </c>
      <c r="AC55" s="16">
        <v>24.38</v>
      </c>
      <c r="AD55" s="16" t="s">
        <v>302</v>
      </c>
      <c r="AE55">
        <f>AC55-VLOOKUP(AD55,'Bag weights'!A$1:B$20,2,FALSE)</f>
        <v>24.38</v>
      </c>
      <c r="AF55" s="16">
        <v>0.66</v>
      </c>
      <c r="AG55" s="16" t="s">
        <v>302</v>
      </c>
      <c r="AH55">
        <f>AF55-VLOOKUP(AG55,'Bag weights'!A$1:B$20,2,FALSE)</f>
        <v>0.66</v>
      </c>
      <c r="AI55" s="16">
        <v>0.09</v>
      </c>
      <c r="AJ55" s="16" t="s">
        <v>302</v>
      </c>
      <c r="AK55">
        <f>AI55-VLOOKUP(AJ55,'Bag weights'!A$1:B$20,2,FALSE)</f>
        <v>0.09</v>
      </c>
      <c r="AL55" s="16">
        <v>5.79</v>
      </c>
      <c r="AM55" s="16" t="s">
        <v>302</v>
      </c>
      <c r="AN55">
        <f>AL55-VLOOKUP(AM55,'Bag weights'!A$1:B$20,2,FALSE)</f>
        <v>5.79</v>
      </c>
      <c r="AO55" s="16">
        <v>1.22</v>
      </c>
      <c r="AP55" s="16" t="s">
        <v>302</v>
      </c>
      <c r="AQ55">
        <f>AO55-VLOOKUP(AP55,'Bag weights'!A$1:B$20,2,FALSE)</f>
        <v>1.22</v>
      </c>
      <c r="AT55">
        <f>AR55-VLOOKUP(AS55,'Bag weights'!A$1:B$20,2,FALSE)</f>
        <v>0</v>
      </c>
      <c r="AU55" s="16">
        <v>1.1299999999999999</v>
      </c>
      <c r="AV55" s="16" t="s">
        <v>302</v>
      </c>
      <c r="AW55">
        <f>AU55-VLOOKUP(AV55,'Bag weights'!A$1:B$20,2,FALSE)</f>
        <v>1.1299999999999999</v>
      </c>
      <c r="AX55">
        <f t="shared" si="0"/>
        <v>65.28</v>
      </c>
    </row>
    <row r="56" spans="1:50">
      <c r="A56" s="87"/>
      <c r="B56" s="87"/>
      <c r="C56" s="87">
        <v>2</v>
      </c>
      <c r="D56" s="87" t="s">
        <v>83</v>
      </c>
      <c r="E56" s="2"/>
      <c r="F56" s="2"/>
      <c r="G56" s="2"/>
      <c r="H56" s="16">
        <v>0.17</v>
      </c>
      <c r="I56" s="16" t="s">
        <v>302</v>
      </c>
      <c r="J56">
        <f>H56-VLOOKUP(I56,'Bag weights'!A:B,2,FALSE)</f>
        <v>0.17</v>
      </c>
      <c r="M56">
        <f>K56-VLOOKUP(L56,'Bag weights'!A$1:B$20,2,FALSE)</f>
        <v>0</v>
      </c>
      <c r="O56" s="122"/>
      <c r="P56">
        <f>N56-VLOOKUP(O56,'Bag weights'!A$1:B$20,2,FALSE)</f>
        <v>0</v>
      </c>
      <c r="S56">
        <f>Q56-VLOOKUP(R56,'Bag weights'!A$1:B$20,2,FALSE)</f>
        <v>0</v>
      </c>
      <c r="T56" s="16">
        <v>30.98</v>
      </c>
      <c r="U56" s="16" t="s">
        <v>302</v>
      </c>
      <c r="V56">
        <f>T56-VLOOKUP(U56,'Bag weights'!A$1:B$20,2,FALSE)</f>
        <v>30.98</v>
      </c>
      <c r="Y56">
        <f>W56-VLOOKUP(X56,'Bag weights'!A$1:B$20,2,FALSE)</f>
        <v>0</v>
      </c>
      <c r="AB56">
        <f>Z56-VLOOKUP(AA56,'Bag weights'!A$1:B$20,2,FALSE)</f>
        <v>0</v>
      </c>
      <c r="AC56" s="16">
        <v>38.909999999999997</v>
      </c>
      <c r="AE56">
        <f>AC56-VLOOKUP(AD56,'Bag weights'!A$1:B$20,2,FALSE)</f>
        <v>38.909999999999997</v>
      </c>
      <c r="AH56">
        <f>AF56-VLOOKUP(AG56,'Bag weights'!A$1:B$20,2,FALSE)</f>
        <v>0</v>
      </c>
      <c r="AI56" s="16">
        <v>0.32</v>
      </c>
      <c r="AJ56" s="16" t="s">
        <v>302</v>
      </c>
      <c r="AK56">
        <f>AI56-VLOOKUP(AJ56,'Bag weights'!A$1:B$20,2,FALSE)</f>
        <v>0.32</v>
      </c>
      <c r="AL56" s="16">
        <v>20.58</v>
      </c>
      <c r="AM56" s="16" t="s">
        <v>302</v>
      </c>
      <c r="AN56">
        <f>AL56-VLOOKUP(AM56,'Bag weights'!A$1:B$20,2,FALSE)</f>
        <v>20.58</v>
      </c>
      <c r="AO56" s="16">
        <v>2.4</v>
      </c>
      <c r="AP56" s="16" t="s">
        <v>302</v>
      </c>
      <c r="AQ56">
        <f>AO56-VLOOKUP(AP56,'Bag weights'!A$1:B$20,2,FALSE)</f>
        <v>2.4</v>
      </c>
      <c r="AT56">
        <f>AR56-VLOOKUP(AS56,'Bag weights'!A$1:B$20,2,FALSE)</f>
        <v>0</v>
      </c>
      <c r="AU56" s="16">
        <v>1.28</v>
      </c>
      <c r="AV56" s="16" t="s">
        <v>302</v>
      </c>
      <c r="AW56">
        <f>AU56-VLOOKUP(AV56,'Bag weights'!A$1:B$20,2,FALSE)</f>
        <v>1.28</v>
      </c>
      <c r="AX56">
        <f t="shared" si="0"/>
        <v>93.36</v>
      </c>
    </row>
    <row r="57" spans="1:50">
      <c r="A57" s="87"/>
      <c r="B57" s="87"/>
      <c r="C57" s="87">
        <v>2</v>
      </c>
      <c r="D57" s="87" t="s">
        <v>85</v>
      </c>
      <c r="E57" s="2"/>
      <c r="F57" s="2"/>
      <c r="G57" s="2"/>
      <c r="J57">
        <f>H57-VLOOKUP(I57,'Bag weights'!A:B,2,FALSE)</f>
        <v>0</v>
      </c>
      <c r="M57">
        <f>K57-VLOOKUP(L57,'Bag weights'!A$1:B$20,2,FALSE)</f>
        <v>0</v>
      </c>
      <c r="O57" s="122"/>
      <c r="P57">
        <f>N57-VLOOKUP(O57,'Bag weights'!A$1:B$20,2,FALSE)</f>
        <v>0</v>
      </c>
      <c r="S57">
        <f>Q57-VLOOKUP(R57,'Bag weights'!A$1:B$20,2,FALSE)</f>
        <v>0</v>
      </c>
      <c r="T57" s="16">
        <v>26.05</v>
      </c>
      <c r="V57">
        <f>T57-VLOOKUP(U57,'Bag weights'!A$1:B$20,2,FALSE)</f>
        <v>26.05</v>
      </c>
      <c r="Y57">
        <f>W57-VLOOKUP(X57,'Bag weights'!A$1:B$20,2,FALSE)</f>
        <v>0</v>
      </c>
      <c r="AB57">
        <f>Z57-VLOOKUP(AA57,'Bag weights'!A$1:B$20,2,FALSE)</f>
        <v>0</v>
      </c>
      <c r="AE57">
        <f>AC57-VLOOKUP(AD57,'Bag weights'!A$1:B$20,2,FALSE)</f>
        <v>0</v>
      </c>
      <c r="AH57">
        <f>AF57-VLOOKUP(AG57,'Bag weights'!A$1:B$20,2,FALSE)</f>
        <v>0</v>
      </c>
      <c r="AK57">
        <f>AI57-VLOOKUP(AJ57,'Bag weights'!A$1:B$20,2,FALSE)</f>
        <v>0</v>
      </c>
      <c r="AN57">
        <f>AL57-VLOOKUP(AM57,'Bag weights'!A$1:B$20,2,FALSE)</f>
        <v>0</v>
      </c>
      <c r="AQ57">
        <f>AO57-VLOOKUP(AP57,'Bag weights'!A$1:B$20,2,FALSE)</f>
        <v>0</v>
      </c>
      <c r="AT57">
        <f>AR57-VLOOKUP(AS57,'Bag weights'!A$1:B$20,2,FALSE)</f>
        <v>0</v>
      </c>
      <c r="AW57">
        <f>AU57-VLOOKUP(AV57,'Bag weights'!A$1:B$20,2,FALSE)</f>
        <v>0</v>
      </c>
      <c r="AX57">
        <f t="shared" si="0"/>
        <v>26.05</v>
      </c>
    </row>
    <row r="58" spans="1:50">
      <c r="A58" s="87"/>
      <c r="B58" s="87"/>
      <c r="C58" s="87">
        <v>2</v>
      </c>
      <c r="D58" s="87" t="s">
        <v>87</v>
      </c>
      <c r="E58" s="2"/>
      <c r="F58" s="2"/>
      <c r="G58" s="2"/>
      <c r="J58">
        <f>H58-VLOOKUP(I58,'Bag weights'!A:B,2,FALSE)</f>
        <v>0</v>
      </c>
      <c r="M58">
        <f>K58-VLOOKUP(L58,'Bag weights'!A$1:B$20,2,FALSE)</f>
        <v>0</v>
      </c>
      <c r="O58" s="122"/>
      <c r="P58">
        <f>N58-VLOOKUP(O58,'Bag weights'!A$1:B$20,2,FALSE)</f>
        <v>0</v>
      </c>
      <c r="S58">
        <f>Q58-VLOOKUP(R58,'Bag weights'!A$1:B$20,2,FALSE)</f>
        <v>0</v>
      </c>
      <c r="T58" s="16">
        <v>41.29</v>
      </c>
      <c r="U58" s="16" t="s">
        <v>276</v>
      </c>
      <c r="V58">
        <f>T58-VLOOKUP(U58,'Bag weights'!A$1:B$20,2,FALSE)</f>
        <v>20.34</v>
      </c>
      <c r="W58" s="16">
        <v>0.04</v>
      </c>
      <c r="X58" s="16" t="s">
        <v>302</v>
      </c>
      <c r="Y58">
        <f>W58-VLOOKUP(X58,'Bag weights'!A$1:B$20,2,FALSE)</f>
        <v>0.04</v>
      </c>
      <c r="AB58">
        <f>Z58-VLOOKUP(AA58,'Bag weights'!A$1:B$20,2,FALSE)</f>
        <v>0</v>
      </c>
      <c r="AC58" s="16">
        <v>80.78</v>
      </c>
      <c r="AD58" s="16" t="s">
        <v>276</v>
      </c>
      <c r="AE58">
        <f>AC58-VLOOKUP(AD58,'Bag weights'!A$1:B$20,2,FALSE)</f>
        <v>59.83</v>
      </c>
      <c r="AH58">
        <f>AF58-VLOOKUP(AG58,'Bag weights'!A$1:B$20,2,FALSE)</f>
        <v>0</v>
      </c>
      <c r="AK58">
        <f>AI58-VLOOKUP(AJ58,'Bag weights'!A$1:B$20,2,FALSE)</f>
        <v>0</v>
      </c>
      <c r="AL58" s="16">
        <v>10.56</v>
      </c>
      <c r="AM58" s="16" t="s">
        <v>295</v>
      </c>
      <c r="AN58">
        <f>AL58-VLOOKUP(AM58,'Bag weights'!A$1:B$20,2,FALSE)</f>
        <v>2.7300000000000004</v>
      </c>
      <c r="AO58" s="16">
        <v>2.52</v>
      </c>
      <c r="AP58" s="16" t="s">
        <v>302</v>
      </c>
      <c r="AQ58">
        <f>AO58-VLOOKUP(AP58,'Bag weights'!A$1:B$20,2,FALSE)</f>
        <v>2.52</v>
      </c>
      <c r="AT58">
        <f>AR58-VLOOKUP(AS58,'Bag weights'!A$1:B$20,2,FALSE)</f>
        <v>0</v>
      </c>
      <c r="AU58" s="16">
        <v>0.35</v>
      </c>
      <c r="AV58" s="16" t="s">
        <v>302</v>
      </c>
      <c r="AW58">
        <f>AU58-VLOOKUP(AV58,'Bag weights'!A$1:B$20,2,FALSE)</f>
        <v>0.35</v>
      </c>
      <c r="AX58">
        <f t="shared" si="0"/>
        <v>85.460000000000008</v>
      </c>
    </row>
    <row r="59" spans="1:50">
      <c r="A59" s="87"/>
      <c r="B59" s="87"/>
      <c r="C59" s="87">
        <v>2</v>
      </c>
      <c r="D59" s="87" t="s">
        <v>79</v>
      </c>
      <c r="E59" s="2"/>
      <c r="F59" s="2"/>
      <c r="G59" s="2"/>
      <c r="H59" s="16">
        <v>0.6</v>
      </c>
      <c r="I59" s="16" t="s">
        <v>302</v>
      </c>
      <c r="J59">
        <f>H59-VLOOKUP(I59,'Bag weights'!A:B,2,FALSE)</f>
        <v>0.6</v>
      </c>
      <c r="M59">
        <f>K59-VLOOKUP(L59,'Bag weights'!A$1:B$20,2,FALSE)</f>
        <v>0</v>
      </c>
      <c r="O59" s="122"/>
      <c r="P59">
        <f>N59-VLOOKUP(O59,'Bag weights'!A$1:B$20,2,FALSE)</f>
        <v>0</v>
      </c>
      <c r="S59">
        <f>Q59-VLOOKUP(R59,'Bag weights'!A$1:B$20,2,FALSE)</f>
        <v>0</v>
      </c>
      <c r="T59" s="16">
        <v>24.15</v>
      </c>
      <c r="U59" s="16" t="s">
        <v>302</v>
      </c>
      <c r="V59">
        <f>T59-VLOOKUP(U59,'Bag weights'!A$1:B$20,2,FALSE)</f>
        <v>24.15</v>
      </c>
      <c r="Y59">
        <f>W59-VLOOKUP(X59,'Bag weights'!A$1:B$20,2,FALSE)</f>
        <v>0</v>
      </c>
      <c r="AB59">
        <f>Z59-VLOOKUP(AA59,'Bag weights'!A$1:B$20,2,FALSE)</f>
        <v>0</v>
      </c>
      <c r="AC59" s="16">
        <v>55.2</v>
      </c>
      <c r="AD59" s="16" t="s">
        <v>302</v>
      </c>
      <c r="AE59">
        <f>AC59-VLOOKUP(AD59,'Bag weights'!A$1:B$20,2,FALSE)</f>
        <v>55.2</v>
      </c>
      <c r="AH59">
        <f>AF59-VLOOKUP(AG59,'Bag weights'!A$1:B$20,2,FALSE)</f>
        <v>0</v>
      </c>
      <c r="AI59" s="16">
        <v>0.16</v>
      </c>
      <c r="AJ59" s="16" t="s">
        <v>302</v>
      </c>
      <c r="AK59">
        <f>AI59-VLOOKUP(AJ59,'Bag weights'!A$1:B$20,2,FALSE)</f>
        <v>0.16</v>
      </c>
      <c r="AL59" s="16">
        <v>3.21</v>
      </c>
      <c r="AM59" s="16" t="s">
        <v>302</v>
      </c>
      <c r="AN59">
        <f>AL59-VLOOKUP(AM59,'Bag weights'!A$1:B$20,2,FALSE)</f>
        <v>3.21</v>
      </c>
      <c r="AO59" s="16">
        <v>0.98</v>
      </c>
      <c r="AP59" s="16" t="s">
        <v>302</v>
      </c>
      <c r="AQ59">
        <f>AO59-VLOOKUP(AP59,'Bag weights'!A$1:B$20,2,FALSE)</f>
        <v>0.98</v>
      </c>
      <c r="AT59">
        <f>AR59-VLOOKUP(AS59,'Bag weights'!A$1:B$20,2,FALSE)</f>
        <v>0</v>
      </c>
      <c r="AU59" s="16">
        <v>0.22</v>
      </c>
      <c r="AV59" s="16" t="s">
        <v>296</v>
      </c>
      <c r="AW59">
        <f>AU59-VLOOKUP(AV59,'Bag weights'!A$1:B$20,2,FALSE)</f>
        <v>-2.27</v>
      </c>
      <c r="AX59">
        <f t="shared" si="0"/>
        <v>84.3</v>
      </c>
    </row>
    <row r="60" spans="1:50">
      <c r="A60" s="87"/>
      <c r="B60" s="87"/>
      <c r="C60" s="87">
        <v>2</v>
      </c>
      <c r="D60" s="87" t="s">
        <v>88</v>
      </c>
      <c r="E60" s="2"/>
      <c r="F60" s="2"/>
      <c r="G60" s="2"/>
      <c r="J60">
        <f>H60-VLOOKUP(I60,'Bag weights'!A:B,2,FALSE)</f>
        <v>0</v>
      </c>
      <c r="M60">
        <f>K60-VLOOKUP(L60,'Bag weights'!A$1:B$20,2,FALSE)</f>
        <v>0</v>
      </c>
      <c r="O60" s="122"/>
      <c r="P60">
        <f>N60-VLOOKUP(O60,'Bag weights'!A$1:B$20,2,FALSE)</f>
        <v>0</v>
      </c>
      <c r="S60">
        <f>Q60-VLOOKUP(R60,'Bag weights'!A$1:B$20,2,FALSE)</f>
        <v>0</v>
      </c>
      <c r="T60" s="16">
        <v>24.47</v>
      </c>
      <c r="U60" s="16" t="s">
        <v>302</v>
      </c>
      <c r="V60">
        <f>T60-VLOOKUP(U60,'Bag weights'!A$1:B$20,2,FALSE)</f>
        <v>24.47</v>
      </c>
      <c r="Y60">
        <f>W60-VLOOKUP(X60,'Bag weights'!A$1:B$20,2,FALSE)</f>
        <v>0</v>
      </c>
      <c r="AB60">
        <f>Z60-VLOOKUP(AA60,'Bag weights'!A$1:B$20,2,FALSE)</f>
        <v>0</v>
      </c>
      <c r="AC60" s="16">
        <v>45.74</v>
      </c>
      <c r="AD60" s="16" t="s">
        <v>302</v>
      </c>
      <c r="AE60">
        <f>AC60-VLOOKUP(AD60,'Bag weights'!A$1:B$20,2,FALSE)</f>
        <v>45.74</v>
      </c>
      <c r="AF60" s="16">
        <v>2</v>
      </c>
      <c r="AG60" s="16" t="s">
        <v>302</v>
      </c>
      <c r="AH60">
        <f>AF60-VLOOKUP(AG60,'Bag weights'!A$1:B$20,2,FALSE)</f>
        <v>2</v>
      </c>
      <c r="AK60">
        <f>AI60-VLOOKUP(AJ60,'Bag weights'!A$1:B$20,2,FALSE)</f>
        <v>0</v>
      </c>
      <c r="AL60" s="16">
        <v>2.11</v>
      </c>
      <c r="AM60" s="16" t="s">
        <v>302</v>
      </c>
      <c r="AN60">
        <f>AL60-VLOOKUP(AM60,'Bag weights'!A$1:B$20,2,FALSE)</f>
        <v>2.11</v>
      </c>
      <c r="AO60" s="16">
        <v>2.4900000000000002</v>
      </c>
      <c r="AP60" s="16" t="s">
        <v>302</v>
      </c>
      <c r="AQ60">
        <f>AO60-VLOOKUP(AP60,'Bag weights'!A$1:B$20,2,FALSE)</f>
        <v>2.4900000000000002</v>
      </c>
      <c r="AT60">
        <f>AR60-VLOOKUP(AS60,'Bag weights'!A$1:B$20,2,FALSE)</f>
        <v>0</v>
      </c>
      <c r="AU60" s="16">
        <v>3.09</v>
      </c>
      <c r="AV60" s="16" t="s">
        <v>296</v>
      </c>
      <c r="AW60">
        <f>AU60-VLOOKUP(AV60,'Bag weights'!A$1:B$20,2,FALSE)</f>
        <v>0.59999999999999964</v>
      </c>
      <c r="AX60">
        <f t="shared" si="0"/>
        <v>76.81</v>
      </c>
    </row>
    <row r="61" spans="1:50">
      <c r="A61" s="87"/>
      <c r="B61" s="87"/>
      <c r="C61" s="87">
        <v>3</v>
      </c>
      <c r="D61" s="87" t="s">
        <v>83</v>
      </c>
      <c r="E61" s="2"/>
      <c r="F61" s="2"/>
      <c r="G61" s="2"/>
      <c r="H61" s="16">
        <v>0.59</v>
      </c>
      <c r="I61" s="16" t="s">
        <v>302</v>
      </c>
      <c r="J61">
        <f>H61-VLOOKUP(I61,'Bag weights'!A:B,2,FALSE)</f>
        <v>0.59</v>
      </c>
      <c r="M61">
        <f>K61-VLOOKUP(L61,'Bag weights'!A$1:B$20,2,FALSE)</f>
        <v>0</v>
      </c>
      <c r="O61" s="122"/>
      <c r="P61">
        <f>N61-VLOOKUP(O61,'Bag weights'!A$1:B$20,2,FALSE)</f>
        <v>0</v>
      </c>
      <c r="S61">
        <f>Q61-VLOOKUP(R61,'Bag weights'!A$1:B$20,2,FALSE)</f>
        <v>0</v>
      </c>
      <c r="T61" s="16">
        <v>52.16</v>
      </c>
      <c r="U61" s="16" t="s">
        <v>276</v>
      </c>
      <c r="V61">
        <f>T61-VLOOKUP(U61,'Bag weights'!A$1:B$20,2,FALSE)</f>
        <v>31.209999999999997</v>
      </c>
      <c r="Y61">
        <f>W61-VLOOKUP(X61,'Bag weights'!A$1:B$20,2,FALSE)</f>
        <v>0</v>
      </c>
      <c r="AB61">
        <f>Z61-VLOOKUP(AA61,'Bag weights'!A$1:B$20,2,FALSE)</f>
        <v>0</v>
      </c>
      <c r="AC61" s="16">
        <v>69.8</v>
      </c>
      <c r="AD61" s="16" t="s">
        <v>276</v>
      </c>
      <c r="AE61">
        <f>AC61-VLOOKUP(AD61,'Bag weights'!A$1:B$20,2,FALSE)</f>
        <v>48.849999999999994</v>
      </c>
      <c r="AH61">
        <f>AF61-VLOOKUP(AG61,'Bag weights'!A$1:B$20,2,FALSE)</f>
        <v>0</v>
      </c>
      <c r="AK61">
        <f>AI61-VLOOKUP(AJ61,'Bag weights'!A$1:B$20,2,FALSE)</f>
        <v>0</v>
      </c>
      <c r="AL61" s="16">
        <v>11.92</v>
      </c>
      <c r="AM61" s="16" t="s">
        <v>302</v>
      </c>
      <c r="AN61">
        <f>AL61-VLOOKUP(AM61,'Bag weights'!A$1:B$20,2,FALSE)</f>
        <v>11.92</v>
      </c>
      <c r="AO61" s="16">
        <v>3.43</v>
      </c>
      <c r="AP61" s="16" t="s">
        <v>302</v>
      </c>
      <c r="AQ61">
        <f>AO61-VLOOKUP(AP61,'Bag weights'!A$1:B$20,2,FALSE)</f>
        <v>3.43</v>
      </c>
      <c r="AT61">
        <f>AR61-VLOOKUP(AS61,'Bag weights'!A$1:B$20,2,FALSE)</f>
        <v>0</v>
      </c>
      <c r="AU61" s="16">
        <v>5.73</v>
      </c>
      <c r="AV61" s="16" t="s">
        <v>302</v>
      </c>
      <c r="AW61">
        <f>AU61-VLOOKUP(AV61,'Bag weights'!A$1:B$20,2,FALSE)</f>
        <v>5.73</v>
      </c>
      <c r="AX61">
        <f t="shared" si="0"/>
        <v>95.999999999999986</v>
      </c>
    </row>
    <row r="62" spans="1:50">
      <c r="A62" s="87"/>
      <c r="B62" s="87"/>
      <c r="C62" s="87">
        <v>3</v>
      </c>
      <c r="D62" s="87" t="s">
        <v>85</v>
      </c>
      <c r="E62" s="2"/>
      <c r="F62" s="2"/>
      <c r="G62" s="2"/>
      <c r="J62">
        <f>H62-VLOOKUP(I62,'Bag weights'!A:B,2,FALSE)</f>
        <v>0</v>
      </c>
      <c r="M62">
        <f>K62-VLOOKUP(L62,'Bag weights'!A$1:B$20,2,FALSE)</f>
        <v>0</v>
      </c>
      <c r="O62" s="122"/>
      <c r="P62">
        <f>N62-VLOOKUP(O62,'Bag weights'!A$1:B$20,2,FALSE)</f>
        <v>0</v>
      </c>
      <c r="S62">
        <f>Q62-VLOOKUP(R62,'Bag weights'!A$1:B$20,2,FALSE)</f>
        <v>0</v>
      </c>
      <c r="T62" s="16">
        <v>42.37</v>
      </c>
      <c r="U62" s="16" t="s">
        <v>276</v>
      </c>
      <c r="V62">
        <f>T62-VLOOKUP(U62,'Bag weights'!A$1:B$20,2,FALSE)</f>
        <v>21.419999999999998</v>
      </c>
      <c r="Y62">
        <f>W62-VLOOKUP(X62,'Bag weights'!A$1:B$20,2,FALSE)</f>
        <v>0</v>
      </c>
      <c r="Z62" s="16">
        <v>0.08</v>
      </c>
      <c r="AB62">
        <f>Z62-VLOOKUP(AA62,'Bag weights'!A$1:B$20,2,FALSE)</f>
        <v>0.08</v>
      </c>
      <c r="AC62" s="16">
        <v>41.29</v>
      </c>
      <c r="AD62" s="16" t="s">
        <v>302</v>
      </c>
      <c r="AE62">
        <f>AC62-VLOOKUP(AD62,'Bag weights'!A$1:B$20,2,FALSE)</f>
        <v>41.29</v>
      </c>
      <c r="AH62">
        <f>AF62-VLOOKUP(AG62,'Bag weights'!A$1:B$20,2,FALSE)</f>
        <v>0</v>
      </c>
      <c r="AI62" s="16">
        <v>0.17</v>
      </c>
      <c r="AK62">
        <f>AI62-VLOOKUP(AJ62,'Bag weights'!A$1:B$20,2,FALSE)</f>
        <v>0.17</v>
      </c>
      <c r="AL62" s="16">
        <v>13.66</v>
      </c>
      <c r="AM62" s="16" t="s">
        <v>302</v>
      </c>
      <c r="AN62">
        <f>AL62-VLOOKUP(AM62,'Bag weights'!A$1:B$20,2,FALSE)</f>
        <v>13.66</v>
      </c>
      <c r="AO62" s="16">
        <v>1.56</v>
      </c>
      <c r="AQ62">
        <f>AO62-VLOOKUP(AP62,'Bag weights'!A$1:B$20,2,FALSE)</f>
        <v>1.56</v>
      </c>
      <c r="AT62">
        <f>AR62-VLOOKUP(AS62,'Bag weights'!A$1:B$20,2,FALSE)</f>
        <v>0</v>
      </c>
      <c r="AU62" s="16">
        <v>7.77</v>
      </c>
      <c r="AW62">
        <f>AU62-VLOOKUP(AV62,'Bag weights'!A$1:B$20,2,FALSE)</f>
        <v>7.77</v>
      </c>
      <c r="AX62">
        <f t="shared" si="0"/>
        <v>78.179999999999993</v>
      </c>
    </row>
    <row r="63" spans="1:50">
      <c r="A63" s="87"/>
      <c r="B63" s="87"/>
      <c r="C63" s="87">
        <v>3</v>
      </c>
      <c r="D63" s="87" t="s">
        <v>87</v>
      </c>
      <c r="E63" s="2"/>
      <c r="F63" s="2"/>
      <c r="G63" s="2"/>
      <c r="J63">
        <f>H63-VLOOKUP(I63,'Bag weights'!A:B,2,FALSE)</f>
        <v>0</v>
      </c>
      <c r="M63">
        <f>K63-VLOOKUP(L63,'Bag weights'!A$1:B$20,2,FALSE)</f>
        <v>0</v>
      </c>
      <c r="O63" s="122"/>
      <c r="P63">
        <f>N63-VLOOKUP(O63,'Bag weights'!A$1:B$20,2,FALSE)</f>
        <v>0</v>
      </c>
      <c r="S63">
        <f>Q63-VLOOKUP(R63,'Bag weights'!A$1:B$20,2,FALSE)</f>
        <v>0</v>
      </c>
      <c r="T63" s="16">
        <v>50.1</v>
      </c>
      <c r="U63" s="16" t="s">
        <v>276</v>
      </c>
      <c r="V63">
        <f>T63-VLOOKUP(U63,'Bag weights'!A$1:B$20,2,FALSE)</f>
        <v>29.150000000000002</v>
      </c>
      <c r="Y63">
        <f>W63-VLOOKUP(X63,'Bag weights'!A$1:B$20,2,FALSE)</f>
        <v>0</v>
      </c>
      <c r="AB63">
        <f>Z63-VLOOKUP(AA63,'Bag weights'!A$1:B$20,2,FALSE)</f>
        <v>0</v>
      </c>
      <c r="AC63" s="16">
        <v>78.55</v>
      </c>
      <c r="AD63" s="16" t="s">
        <v>276</v>
      </c>
      <c r="AE63">
        <f>AC63-VLOOKUP(AD63,'Bag weights'!A$1:B$20,2,FALSE)</f>
        <v>57.599999999999994</v>
      </c>
      <c r="AH63">
        <f>AF63-VLOOKUP(AG63,'Bag weights'!A$1:B$20,2,FALSE)</f>
        <v>0</v>
      </c>
      <c r="AI63" s="16">
        <v>0.11</v>
      </c>
      <c r="AJ63" s="16" t="s">
        <v>302</v>
      </c>
      <c r="AK63">
        <f>AI63-VLOOKUP(AJ63,'Bag weights'!A$1:B$20,2,FALSE)</f>
        <v>0.11</v>
      </c>
      <c r="AL63" s="16">
        <v>13.72</v>
      </c>
      <c r="AM63" s="16" t="s">
        <v>295</v>
      </c>
      <c r="AN63">
        <f>AL63-VLOOKUP(AM63,'Bag weights'!A$1:B$20,2,FALSE)</f>
        <v>5.8900000000000006</v>
      </c>
      <c r="AO63" s="16">
        <v>2.97</v>
      </c>
      <c r="AP63" s="16" t="s">
        <v>302</v>
      </c>
      <c r="AQ63">
        <f>AO63-VLOOKUP(AP63,'Bag weights'!A$1:B$20,2,FALSE)</f>
        <v>2.97</v>
      </c>
      <c r="AT63">
        <f>AR63-VLOOKUP(AS63,'Bag weights'!A$1:B$20,2,FALSE)</f>
        <v>0</v>
      </c>
      <c r="AU63" s="16">
        <v>1.48</v>
      </c>
      <c r="AV63" s="16" t="s">
        <v>302</v>
      </c>
      <c r="AW63">
        <f>AU63-VLOOKUP(AV63,'Bag weights'!A$1:B$20,2,FALSE)</f>
        <v>1.48</v>
      </c>
      <c r="AX63">
        <f t="shared" si="0"/>
        <v>95.72</v>
      </c>
    </row>
    <row r="64" spans="1:50">
      <c r="A64" s="87"/>
      <c r="B64" s="87"/>
      <c r="C64" s="87">
        <v>3</v>
      </c>
      <c r="D64" s="87" t="s">
        <v>79</v>
      </c>
      <c r="E64" s="2"/>
      <c r="F64" s="2"/>
      <c r="G64" s="2"/>
      <c r="J64">
        <f>H64-VLOOKUP(I64,'Bag weights'!A:B,2,FALSE)</f>
        <v>0</v>
      </c>
      <c r="M64">
        <f>K64-VLOOKUP(L64,'Bag weights'!A$1:B$20,2,FALSE)</f>
        <v>0</v>
      </c>
      <c r="O64" s="122"/>
      <c r="P64">
        <f>N64-VLOOKUP(O64,'Bag weights'!A$1:B$20,2,FALSE)</f>
        <v>0</v>
      </c>
      <c r="S64">
        <f>Q64-VLOOKUP(R64,'Bag weights'!A$1:B$20,2,FALSE)</f>
        <v>0</v>
      </c>
      <c r="T64" s="16">
        <v>49.75</v>
      </c>
      <c r="U64" s="16" t="s">
        <v>276</v>
      </c>
      <c r="V64">
        <f>T64-VLOOKUP(U64,'Bag weights'!A$1:B$20,2,FALSE)</f>
        <v>28.8</v>
      </c>
      <c r="Y64">
        <f>W64-VLOOKUP(X64,'Bag weights'!A$1:B$20,2,FALSE)</f>
        <v>0</v>
      </c>
      <c r="AB64">
        <f>Z64-VLOOKUP(AA64,'Bag weights'!A$1:B$20,2,FALSE)</f>
        <v>0</v>
      </c>
      <c r="AC64" s="16">
        <v>77.540000000000006</v>
      </c>
      <c r="AD64" s="16" t="s">
        <v>276</v>
      </c>
      <c r="AE64">
        <f>AC64-VLOOKUP(AD64,'Bag weights'!A$1:B$20,2,FALSE)</f>
        <v>56.59</v>
      </c>
      <c r="AH64">
        <f>AF64-VLOOKUP(AG64,'Bag weights'!A$1:B$20,2,FALSE)</f>
        <v>0</v>
      </c>
      <c r="AI64" s="16">
        <v>0.2</v>
      </c>
      <c r="AJ64" s="16" t="s">
        <v>302</v>
      </c>
      <c r="AK64">
        <f>AI64-VLOOKUP(AJ64,'Bag weights'!A$1:B$20,2,FALSE)</f>
        <v>0.2</v>
      </c>
      <c r="AL64" s="16">
        <v>6.38</v>
      </c>
      <c r="AM64" s="16" t="s">
        <v>302</v>
      </c>
      <c r="AN64">
        <f>AL64-VLOOKUP(AM64,'Bag weights'!A$1:B$20,2,FALSE)</f>
        <v>6.38</v>
      </c>
      <c r="AO64" s="16">
        <v>3.43</v>
      </c>
      <c r="AP64" s="16" t="s">
        <v>302</v>
      </c>
      <c r="AQ64">
        <f>AO64-VLOOKUP(AP64,'Bag weights'!A$1:B$20,2,FALSE)</f>
        <v>3.43</v>
      </c>
      <c r="AT64">
        <f>AR64-VLOOKUP(AS64,'Bag weights'!A$1:B$20,2,FALSE)</f>
        <v>0</v>
      </c>
      <c r="AU64" s="16">
        <v>0.27</v>
      </c>
      <c r="AV64" s="16" t="s">
        <v>302</v>
      </c>
      <c r="AW64">
        <f>AU64-VLOOKUP(AV64,'Bag weights'!A$1:B$20,2,FALSE)</f>
        <v>0.27</v>
      </c>
      <c r="AX64">
        <f t="shared" si="0"/>
        <v>95.4</v>
      </c>
    </row>
    <row r="65" spans="1:50">
      <c r="A65" s="87"/>
      <c r="B65" s="87"/>
      <c r="C65" s="87">
        <v>3</v>
      </c>
      <c r="D65" s="87" t="s">
        <v>88</v>
      </c>
      <c r="E65" s="2"/>
      <c r="F65" s="2"/>
      <c r="G65" s="2"/>
      <c r="J65">
        <f>H65-VLOOKUP(I65,'Bag weights'!A:B,2,FALSE)</f>
        <v>0</v>
      </c>
      <c r="M65">
        <f>K65-VLOOKUP(L65,'Bag weights'!A$1:B$20,2,FALSE)</f>
        <v>0</v>
      </c>
      <c r="O65" s="122"/>
      <c r="P65">
        <f>N65-VLOOKUP(O65,'Bag weights'!A$1:B$20,2,FALSE)</f>
        <v>0</v>
      </c>
      <c r="S65">
        <f>Q65-VLOOKUP(R65,'Bag weights'!A$1:B$20,2,FALSE)</f>
        <v>0</v>
      </c>
      <c r="T65" s="16">
        <v>40.93</v>
      </c>
      <c r="U65" s="16" t="s">
        <v>294</v>
      </c>
      <c r="V65">
        <f>T65-VLOOKUP(U65,'Bag weights'!A$1:B$20,2,FALSE)</f>
        <v>26.549999999999997</v>
      </c>
      <c r="Y65">
        <f>W65-VLOOKUP(X65,'Bag weights'!A$1:B$20,2,FALSE)</f>
        <v>0</v>
      </c>
      <c r="AB65">
        <f>Z65-VLOOKUP(AA65,'Bag weights'!A$1:B$20,2,FALSE)</f>
        <v>0</v>
      </c>
      <c r="AC65" s="16">
        <v>61.75</v>
      </c>
      <c r="AD65" s="16" t="s">
        <v>294</v>
      </c>
      <c r="AE65">
        <f>AC65-VLOOKUP(AD65,'Bag weights'!A$1:B$20,2,FALSE)</f>
        <v>47.37</v>
      </c>
      <c r="AH65">
        <f>AF65-VLOOKUP(AG65,'Bag weights'!A$1:B$20,2,FALSE)</f>
        <v>0</v>
      </c>
      <c r="AK65">
        <f>AI65-VLOOKUP(AJ65,'Bag weights'!A$1:B$20,2,FALSE)</f>
        <v>0</v>
      </c>
      <c r="AL65" s="16">
        <v>1.99</v>
      </c>
      <c r="AN65">
        <f>AL65-VLOOKUP(AM65,'Bag weights'!A$1:B$20,2,FALSE)</f>
        <v>1.99</v>
      </c>
      <c r="AO65" s="16">
        <v>1.42</v>
      </c>
      <c r="AP65" s="16" t="s">
        <v>302</v>
      </c>
      <c r="AQ65">
        <f>AO65-VLOOKUP(AP65,'Bag weights'!A$1:B$20,2,FALSE)</f>
        <v>1.42</v>
      </c>
      <c r="AT65">
        <f>AR65-VLOOKUP(AS65,'Bag weights'!A$1:B$20,2,FALSE)</f>
        <v>0</v>
      </c>
      <c r="AW65">
        <f>AU65-VLOOKUP(AV65,'Bag weights'!A$1:B$20,2,FALSE)</f>
        <v>0</v>
      </c>
      <c r="AX65">
        <f t="shared" si="0"/>
        <v>77.33</v>
      </c>
    </row>
    <row r="66" spans="1:50">
      <c r="A66" s="87"/>
      <c r="B66" s="87"/>
      <c r="C66" s="87">
        <v>4</v>
      </c>
      <c r="D66" s="87" t="s">
        <v>83</v>
      </c>
      <c r="E66" s="2"/>
      <c r="F66" s="2"/>
      <c r="G66" s="2"/>
      <c r="J66">
        <f>H66-VLOOKUP(I66,'Bag weights'!A:B,2,FALSE)</f>
        <v>0</v>
      </c>
      <c r="M66">
        <f>K66-VLOOKUP(L66,'Bag weights'!A$1:B$20,2,FALSE)</f>
        <v>0</v>
      </c>
      <c r="O66" s="122"/>
      <c r="P66">
        <f>N66-VLOOKUP(O66,'Bag weights'!A$1:B$20,2,FALSE)</f>
        <v>0</v>
      </c>
      <c r="S66">
        <f>Q66-VLOOKUP(R66,'Bag weights'!A$1:B$20,2,FALSE)</f>
        <v>0</v>
      </c>
      <c r="T66" s="16">
        <v>44.76</v>
      </c>
      <c r="U66" s="16" t="s">
        <v>302</v>
      </c>
      <c r="V66">
        <f>T66-VLOOKUP(U66,'Bag weights'!A$1:B$20,2,FALSE)</f>
        <v>44.76</v>
      </c>
      <c r="Y66">
        <f>W66-VLOOKUP(X66,'Bag weights'!A$1:B$20,2,FALSE)</f>
        <v>0</v>
      </c>
      <c r="AB66">
        <f>Z66-VLOOKUP(AA66,'Bag weights'!A$1:B$20,2,FALSE)</f>
        <v>0</v>
      </c>
      <c r="AC66" s="16">
        <v>29.63</v>
      </c>
      <c r="AD66" s="16" t="s">
        <v>302</v>
      </c>
      <c r="AE66">
        <f>AC66-VLOOKUP(AD66,'Bag weights'!A$1:B$20,2,FALSE)</f>
        <v>29.63</v>
      </c>
      <c r="AH66">
        <f>AF66-VLOOKUP(AG66,'Bag weights'!A$1:B$20,2,FALSE)</f>
        <v>0</v>
      </c>
      <c r="AI66" s="16">
        <v>0.11</v>
      </c>
      <c r="AJ66" s="16" t="s">
        <v>302</v>
      </c>
      <c r="AK66">
        <f>AI66-VLOOKUP(AJ66,'Bag weights'!A$1:B$20,2,FALSE)</f>
        <v>0.11</v>
      </c>
      <c r="AL66" s="16">
        <v>5.85</v>
      </c>
      <c r="AM66" s="16" t="s">
        <v>302</v>
      </c>
      <c r="AN66">
        <f>AL66-VLOOKUP(AM66,'Bag weights'!A$1:B$20,2,FALSE)</f>
        <v>5.85</v>
      </c>
      <c r="AO66" s="16">
        <v>1.49</v>
      </c>
      <c r="AP66" s="16" t="s">
        <v>302</v>
      </c>
      <c r="AQ66">
        <f>AO66-VLOOKUP(AP66,'Bag weights'!A$1:B$20,2,FALSE)</f>
        <v>1.49</v>
      </c>
      <c r="AT66">
        <f>AR66-VLOOKUP(AS66,'Bag weights'!A$1:B$20,2,FALSE)</f>
        <v>0</v>
      </c>
      <c r="AU66" s="16">
        <v>1.56</v>
      </c>
      <c r="AV66" s="16" t="s">
        <v>302</v>
      </c>
      <c r="AW66">
        <f>AU66-VLOOKUP(AV66,'Bag weights'!A$1:B$20,2,FALSE)</f>
        <v>1.56</v>
      </c>
      <c r="AX66">
        <f t="shared" si="0"/>
        <v>81.84</v>
      </c>
    </row>
    <row r="67" spans="1:50">
      <c r="A67" s="87"/>
      <c r="B67" s="87"/>
      <c r="C67" s="87">
        <v>4</v>
      </c>
      <c r="D67" s="87" t="s">
        <v>85</v>
      </c>
      <c r="E67" s="2"/>
      <c r="F67" s="2"/>
      <c r="G67" s="2"/>
      <c r="H67" s="16">
        <v>0.95</v>
      </c>
      <c r="I67" s="16" t="s">
        <v>302</v>
      </c>
      <c r="J67">
        <f>H67-VLOOKUP(I67,'Bag weights'!A:B,2,FALSE)</f>
        <v>0.95</v>
      </c>
      <c r="M67">
        <f>K67-VLOOKUP(L67,'Bag weights'!A$1:B$20,2,FALSE)</f>
        <v>0</v>
      </c>
      <c r="O67" s="122"/>
      <c r="P67">
        <f>N67-VLOOKUP(O67,'Bag weights'!A$1:B$20,2,FALSE)</f>
        <v>0</v>
      </c>
      <c r="S67">
        <f>Q67-VLOOKUP(R67,'Bag weights'!A$1:B$20,2,FALSE)</f>
        <v>0</v>
      </c>
      <c r="T67" s="16">
        <v>31.64</v>
      </c>
      <c r="U67" s="16" t="s">
        <v>276</v>
      </c>
      <c r="V67">
        <f>T67-VLOOKUP(U67,'Bag weights'!A$1:B$20,2,FALSE)</f>
        <v>10.690000000000001</v>
      </c>
      <c r="Y67">
        <f>W67-VLOOKUP(X67,'Bag weights'!A$1:B$20,2,FALSE)</f>
        <v>0</v>
      </c>
      <c r="AB67">
        <f>Z67-VLOOKUP(AA67,'Bag weights'!A$1:B$20,2,FALSE)</f>
        <v>0</v>
      </c>
      <c r="AC67" s="16">
        <v>64.83</v>
      </c>
      <c r="AD67" s="16" t="s">
        <v>276</v>
      </c>
      <c r="AE67">
        <f>AC67-VLOOKUP(AD67,'Bag weights'!A$1:B$20,2,FALSE)</f>
        <v>43.879999999999995</v>
      </c>
      <c r="AH67">
        <f>AF67-VLOOKUP(AG67,'Bag weights'!A$1:B$20,2,FALSE)</f>
        <v>0</v>
      </c>
      <c r="AI67" s="16">
        <v>1.23</v>
      </c>
      <c r="AJ67" s="16" t="s">
        <v>302</v>
      </c>
      <c r="AK67">
        <f>AI67-VLOOKUP(AJ67,'Bag weights'!A$1:B$20,2,FALSE)</f>
        <v>1.23</v>
      </c>
      <c r="AL67" s="16">
        <v>34.840000000000003</v>
      </c>
      <c r="AM67" s="16" t="s">
        <v>276</v>
      </c>
      <c r="AN67">
        <f>AL67-VLOOKUP(AM67,'Bag weights'!A$1:B$20,2,FALSE)</f>
        <v>13.890000000000004</v>
      </c>
      <c r="AO67" s="16">
        <v>3.66</v>
      </c>
      <c r="AQ67">
        <f>AO67-VLOOKUP(AP67,'Bag weights'!A$1:B$20,2,FALSE)</f>
        <v>3.66</v>
      </c>
      <c r="AT67">
        <f>AR67-VLOOKUP(AS67,'Bag weights'!A$1:B$20,2,FALSE)</f>
        <v>0</v>
      </c>
      <c r="AU67" s="16">
        <v>0.83</v>
      </c>
      <c r="AV67" s="16" t="s">
        <v>302</v>
      </c>
      <c r="AW67">
        <f>AU67-VLOOKUP(AV67,'Bag weights'!A$1:B$20,2,FALSE)</f>
        <v>0.83</v>
      </c>
      <c r="AX67">
        <f t="shared" si="0"/>
        <v>74.3</v>
      </c>
    </row>
    <row r="68" spans="1:50">
      <c r="A68" s="87"/>
      <c r="B68" s="87"/>
      <c r="C68" s="87">
        <v>4</v>
      </c>
      <c r="D68" s="87" t="s">
        <v>87</v>
      </c>
      <c r="E68" s="2"/>
      <c r="F68" s="2"/>
      <c r="G68" s="2"/>
      <c r="J68">
        <f>H68-VLOOKUP(I68,'Bag weights'!A:B,2,FALSE)</f>
        <v>0</v>
      </c>
      <c r="M68">
        <f>K68-VLOOKUP(L68,'Bag weights'!A$1:B$20,2,FALSE)</f>
        <v>0</v>
      </c>
      <c r="O68" s="122"/>
      <c r="P68">
        <f>N68-VLOOKUP(O68,'Bag weights'!A$1:B$20,2,FALSE)</f>
        <v>0</v>
      </c>
      <c r="S68">
        <f>Q68-VLOOKUP(R68,'Bag weights'!A$1:B$20,2,FALSE)</f>
        <v>0</v>
      </c>
      <c r="T68" s="16">
        <v>56.36</v>
      </c>
      <c r="U68" s="16" t="s">
        <v>276</v>
      </c>
      <c r="V68">
        <f>T68-VLOOKUP(U68,'Bag weights'!A$1:B$20,2,FALSE)</f>
        <v>35.409999999999997</v>
      </c>
      <c r="Y68">
        <f>W68-VLOOKUP(X68,'Bag weights'!A$1:B$20,2,FALSE)</f>
        <v>0</v>
      </c>
      <c r="AB68">
        <f>Z68-VLOOKUP(AA68,'Bag weights'!A$1:B$20,2,FALSE)</f>
        <v>0</v>
      </c>
      <c r="AC68" s="16">
        <v>56.77</v>
      </c>
      <c r="AD68" s="16" t="s">
        <v>276</v>
      </c>
      <c r="AE68">
        <f>AC68-VLOOKUP(AD68,'Bag weights'!A$1:B$20,2,FALSE)</f>
        <v>35.820000000000007</v>
      </c>
      <c r="AH68">
        <f>AF68-VLOOKUP(AG68,'Bag weights'!A$1:B$20,2,FALSE)</f>
        <v>0</v>
      </c>
      <c r="AI68" s="16">
        <v>0.3</v>
      </c>
      <c r="AJ68" s="16" t="s">
        <v>302</v>
      </c>
      <c r="AK68">
        <f>AI68-VLOOKUP(AJ68,'Bag weights'!A$1:B$20,2,FALSE)</f>
        <v>0.3</v>
      </c>
      <c r="AL68" s="16">
        <v>4.12</v>
      </c>
      <c r="AM68" s="16" t="s">
        <v>302</v>
      </c>
      <c r="AN68">
        <f>AL68-VLOOKUP(AM68,'Bag weights'!A$1:B$20,2,FALSE)</f>
        <v>4.12</v>
      </c>
      <c r="AO68" s="16">
        <v>2.06</v>
      </c>
      <c r="AQ68">
        <f>AO68-VLOOKUP(AP68,'Bag weights'!A$1:B$20,2,FALSE)</f>
        <v>2.06</v>
      </c>
      <c r="AT68">
        <f>AR68-VLOOKUP(AS68,'Bag weights'!A$1:B$20,2,FALSE)</f>
        <v>0</v>
      </c>
      <c r="AU68" s="16">
        <v>2.44</v>
      </c>
      <c r="AV68" s="16" t="s">
        <v>302</v>
      </c>
      <c r="AW68">
        <f>AU68-VLOOKUP(AV68,'Bag weights'!A$1:B$20,2,FALSE)</f>
        <v>2.44</v>
      </c>
      <c r="AX68">
        <f t="shared" si="0"/>
        <v>77.710000000000008</v>
      </c>
    </row>
    <row r="69" spans="1:50">
      <c r="A69" s="87"/>
      <c r="B69" s="87"/>
      <c r="C69" s="87">
        <v>4</v>
      </c>
      <c r="D69" s="87" t="s">
        <v>79</v>
      </c>
      <c r="E69" s="2"/>
      <c r="F69" s="2"/>
      <c r="G69" s="2"/>
      <c r="J69">
        <f>H69-VLOOKUP(I69,'Bag weights'!A:B,2,FALSE)</f>
        <v>0</v>
      </c>
      <c r="M69">
        <f>K69-VLOOKUP(L69,'Bag weights'!A$1:B$20,2,FALSE)</f>
        <v>0</v>
      </c>
      <c r="O69" s="122"/>
      <c r="P69">
        <f>N69-VLOOKUP(O69,'Bag weights'!A$1:B$20,2,FALSE)</f>
        <v>0</v>
      </c>
      <c r="S69">
        <f>Q69-VLOOKUP(R69,'Bag weights'!A$1:B$20,2,FALSE)</f>
        <v>0</v>
      </c>
      <c r="T69" s="16">
        <v>55.77</v>
      </c>
      <c r="U69" s="16" t="s">
        <v>276</v>
      </c>
      <c r="V69">
        <f>T69-VLOOKUP(U69,'Bag weights'!A$1:B$20,2,FALSE)</f>
        <v>34.820000000000007</v>
      </c>
      <c r="Y69">
        <f>W69-VLOOKUP(X69,'Bag weights'!A$1:B$20,2,FALSE)</f>
        <v>0</v>
      </c>
      <c r="AB69">
        <f>Z69-VLOOKUP(AA69,'Bag weights'!A$1:B$20,2,FALSE)</f>
        <v>0</v>
      </c>
      <c r="AC69" s="16">
        <v>53.74</v>
      </c>
      <c r="AD69" s="16" t="s">
        <v>276</v>
      </c>
      <c r="AE69">
        <f>AC69-VLOOKUP(AD69,'Bag weights'!A$1:B$20,2,FALSE)</f>
        <v>32.790000000000006</v>
      </c>
      <c r="AH69">
        <f>AF69-VLOOKUP(AG69,'Bag weights'!A$1:B$20,2,FALSE)</f>
        <v>0</v>
      </c>
      <c r="AI69" s="16">
        <v>0.21</v>
      </c>
      <c r="AJ69" s="16" t="s">
        <v>302</v>
      </c>
      <c r="AK69">
        <f>AI69-VLOOKUP(AJ69,'Bag weights'!A$1:B$20,2,FALSE)</f>
        <v>0.21</v>
      </c>
      <c r="AL69" s="16">
        <v>13.67</v>
      </c>
      <c r="AM69" s="16" t="s">
        <v>295</v>
      </c>
      <c r="AN69">
        <f>AL69-VLOOKUP(AM69,'Bag weights'!A$1:B$20,2,FALSE)</f>
        <v>5.84</v>
      </c>
      <c r="AO69" s="16">
        <v>3.94</v>
      </c>
      <c r="AP69" s="16" t="s">
        <v>302</v>
      </c>
      <c r="AQ69">
        <f>AO69-VLOOKUP(AP69,'Bag weights'!A$1:B$20,2,FALSE)</f>
        <v>3.94</v>
      </c>
      <c r="AT69">
        <f>AR69-VLOOKUP(AS69,'Bag weights'!A$1:B$20,2,FALSE)</f>
        <v>0</v>
      </c>
      <c r="AU69" s="16">
        <v>2.19</v>
      </c>
      <c r="AV69" s="16" t="s">
        <v>302</v>
      </c>
      <c r="AW69">
        <f>AU69-VLOOKUP(AV69,'Bag weights'!A$1:B$20,2,FALSE)</f>
        <v>2.19</v>
      </c>
      <c r="AX69">
        <f t="shared" si="0"/>
        <v>77.600000000000023</v>
      </c>
    </row>
    <row r="70" spans="1:50">
      <c r="A70" s="87"/>
      <c r="B70" s="87"/>
      <c r="C70" s="87">
        <v>4</v>
      </c>
      <c r="D70" s="87" t="s">
        <v>88</v>
      </c>
      <c r="E70" s="2"/>
      <c r="F70" s="2"/>
      <c r="G70" s="2"/>
      <c r="J70">
        <f>H70-VLOOKUP(I70,'Bag weights'!A:B,2,FALSE)</f>
        <v>0</v>
      </c>
      <c r="M70">
        <f>K70-VLOOKUP(L70,'Bag weights'!A$1:B$20,2,FALSE)</f>
        <v>0</v>
      </c>
      <c r="O70" s="122"/>
      <c r="P70">
        <f>N70-VLOOKUP(O70,'Bag weights'!A$1:B$20,2,FALSE)</f>
        <v>0</v>
      </c>
      <c r="S70">
        <f>Q70-VLOOKUP(R70,'Bag weights'!A$1:B$20,2,FALSE)</f>
        <v>0</v>
      </c>
      <c r="T70" s="16">
        <v>50.56</v>
      </c>
      <c r="U70" s="16" t="s">
        <v>276</v>
      </c>
      <c r="V70">
        <f>T70-VLOOKUP(U70,'Bag weights'!A$1:B$20,2,FALSE)</f>
        <v>29.610000000000003</v>
      </c>
      <c r="Y70">
        <f>W70-VLOOKUP(X70,'Bag weights'!A$1:B$20,2,FALSE)</f>
        <v>0</v>
      </c>
      <c r="AB70">
        <f>Z70-VLOOKUP(AA70,'Bag weights'!A$1:B$20,2,FALSE)</f>
        <v>0</v>
      </c>
      <c r="AC70" s="16">
        <v>76.650000000000006</v>
      </c>
      <c r="AD70" s="16" t="s">
        <v>276</v>
      </c>
      <c r="AE70">
        <f>AC70-VLOOKUP(AD70,'Bag weights'!A$1:B$20,2,FALSE)</f>
        <v>55.7</v>
      </c>
      <c r="AH70">
        <f>AF70-VLOOKUP(AG70,'Bag weights'!A$1:B$20,2,FALSE)</f>
        <v>0</v>
      </c>
      <c r="AI70" s="16">
        <v>9.66</v>
      </c>
      <c r="AJ70" s="16" t="s">
        <v>295</v>
      </c>
      <c r="AK70">
        <f>AI70-VLOOKUP(AJ70,'Bag weights'!A$1:B$20,2,FALSE)</f>
        <v>1.83</v>
      </c>
      <c r="AL70" s="16">
        <v>14.5</v>
      </c>
      <c r="AM70" s="16" t="s">
        <v>295</v>
      </c>
      <c r="AN70">
        <f>AL70-VLOOKUP(AM70,'Bag weights'!A$1:B$20,2,FALSE)</f>
        <v>6.67</v>
      </c>
      <c r="AO70" s="16">
        <v>4.08</v>
      </c>
      <c r="AP70" s="16" t="s">
        <v>296</v>
      </c>
      <c r="AQ70">
        <f>AO70-VLOOKUP(AP70,'Bag weights'!A$1:B$20,2,FALSE)</f>
        <v>1.5899999999999999</v>
      </c>
      <c r="AT70">
        <f>AR70-VLOOKUP(AS70,'Bag weights'!A$1:B$20,2,FALSE)</f>
        <v>0</v>
      </c>
      <c r="AU70" s="16"/>
      <c r="AW70">
        <f>AU70-VLOOKUP(AV70,'Bag weights'!A$1:B$20,2,FALSE)</f>
        <v>0</v>
      </c>
      <c r="AX70">
        <f t="shared" si="0"/>
        <v>95.4</v>
      </c>
    </row>
    <row r="71" spans="1:50">
      <c r="A71" s="87" t="s">
        <v>106</v>
      </c>
      <c r="B71" s="87" t="s">
        <v>107</v>
      </c>
      <c r="C71" s="87">
        <v>1</v>
      </c>
      <c r="D71" s="87" t="s">
        <v>83</v>
      </c>
      <c r="E71" s="2"/>
      <c r="F71" s="2"/>
      <c r="G71" s="2"/>
      <c r="H71" s="16">
        <v>10.56</v>
      </c>
      <c r="I71" s="16" t="s">
        <v>295</v>
      </c>
      <c r="J71">
        <f>H71-VLOOKUP(I71,'Bag weights'!A:B,2,FALSE)</f>
        <v>2.7300000000000004</v>
      </c>
      <c r="M71">
        <f>K71-VLOOKUP(L71,'Bag weights'!A$1:B$20,2,FALSE)</f>
        <v>0</v>
      </c>
      <c r="O71" s="122"/>
      <c r="P71">
        <f>N71-VLOOKUP(O71,'Bag weights'!A$1:B$20,2,FALSE)</f>
        <v>0</v>
      </c>
      <c r="S71">
        <f>Q71-VLOOKUP(R71,'Bag weights'!A$1:B$20,2,FALSE)</f>
        <v>0</v>
      </c>
      <c r="T71" s="16">
        <v>0.81</v>
      </c>
      <c r="V71">
        <f>T71-VLOOKUP(U71,'Bag weights'!A$1:B$20,2,FALSE)</f>
        <v>0.81</v>
      </c>
      <c r="Y71">
        <f>W71-VLOOKUP(X71,'Bag weights'!A$1:B$20,2,FALSE)</f>
        <v>0</v>
      </c>
      <c r="Z71" s="16">
        <v>1.18</v>
      </c>
      <c r="AB71">
        <f>Z71-VLOOKUP(AA71,'Bag weights'!A$1:B$20,2,FALSE)</f>
        <v>1.18</v>
      </c>
      <c r="AC71" s="16">
        <v>14.79</v>
      </c>
      <c r="AD71" s="16" t="s">
        <v>295</v>
      </c>
      <c r="AE71">
        <f>AC71-VLOOKUP(AD71,'Bag weights'!A$1:B$20,2,FALSE)</f>
        <v>6.9599999999999991</v>
      </c>
      <c r="AF71" s="16">
        <v>0.28000000000000003</v>
      </c>
      <c r="AH71">
        <f>AF71-VLOOKUP(AG71,'Bag weights'!A$1:B$20,2,FALSE)</f>
        <v>0.28000000000000003</v>
      </c>
      <c r="AI71" s="16">
        <v>10.73</v>
      </c>
      <c r="AJ71" s="16" t="s">
        <v>295</v>
      </c>
      <c r="AK71">
        <f>AI71-VLOOKUP(AJ71,'Bag weights'!A$1:B$20,2,FALSE)</f>
        <v>2.9000000000000004</v>
      </c>
      <c r="AL71" s="16">
        <v>73.64</v>
      </c>
      <c r="AM71" s="16" t="s">
        <v>276</v>
      </c>
      <c r="AN71">
        <f>AL71-VLOOKUP(AM71,'Bag weights'!A$1:B$20,2,FALSE)</f>
        <v>52.69</v>
      </c>
      <c r="AO71" s="16">
        <v>1.51</v>
      </c>
      <c r="AQ71">
        <f>AO71-VLOOKUP(AP71,'Bag weights'!A$1:B$20,2,FALSE)</f>
        <v>1.51</v>
      </c>
      <c r="AT71">
        <f>AR71-VLOOKUP(AS71,'Bag weights'!A$1:B$20,2,FALSE)</f>
        <v>0</v>
      </c>
      <c r="AU71" s="16">
        <v>1.1200000000000001</v>
      </c>
      <c r="AW71">
        <f>AU71-VLOOKUP(AV71,'Bag weights'!A$1:B$20,2,FALSE)</f>
        <v>1.1200000000000001</v>
      </c>
      <c r="AX71">
        <f t="shared" si="0"/>
        <v>69.06</v>
      </c>
    </row>
    <row r="72" spans="1:50">
      <c r="A72" s="86" t="s">
        <v>334</v>
      </c>
      <c r="B72" s="87"/>
      <c r="C72" s="87">
        <v>1</v>
      </c>
      <c r="D72" s="87" t="s">
        <v>108</v>
      </c>
      <c r="E72" s="2"/>
      <c r="F72" s="2"/>
      <c r="G72" s="2"/>
      <c r="H72" s="16">
        <v>0.35</v>
      </c>
      <c r="J72">
        <f>H72-VLOOKUP(I72,'Bag weights'!A:B,2,FALSE)</f>
        <v>0.35</v>
      </c>
      <c r="M72">
        <f>K72-VLOOKUP(L72,'Bag weights'!A$1:B$20,2,FALSE)</f>
        <v>0</v>
      </c>
      <c r="O72" s="122"/>
      <c r="P72">
        <f>N72-VLOOKUP(O72,'Bag weights'!A$1:B$20,2,FALSE)</f>
        <v>0</v>
      </c>
      <c r="S72">
        <f>Q72-VLOOKUP(R72,'Bag weights'!A$1:B$20,2,FALSE)</f>
        <v>0</v>
      </c>
      <c r="T72" s="16">
        <v>16.22</v>
      </c>
      <c r="U72" s="16" t="s">
        <v>294</v>
      </c>
      <c r="V72">
        <f>T72-VLOOKUP(U72,'Bag weights'!A$1:B$20,2,FALSE)</f>
        <v>1.8399999999999981</v>
      </c>
      <c r="W72" s="16">
        <v>0.32</v>
      </c>
      <c r="Y72">
        <f>W72-VLOOKUP(X72,'Bag weights'!A$1:B$20,2,FALSE)</f>
        <v>0.32</v>
      </c>
      <c r="Z72" s="16">
        <v>16.989999999999998</v>
      </c>
      <c r="AA72" s="16" t="s">
        <v>294</v>
      </c>
      <c r="AB72">
        <f>Z72-VLOOKUP(AA72,'Bag weights'!A$1:B$20,2,FALSE)</f>
        <v>2.6099999999999977</v>
      </c>
      <c r="AC72" s="16">
        <v>19.989999999999998</v>
      </c>
      <c r="AD72" s="16" t="s">
        <v>294</v>
      </c>
      <c r="AE72">
        <f>AC72-VLOOKUP(AD72,'Bag weights'!A$1:B$20,2,FALSE)</f>
        <v>5.6099999999999977</v>
      </c>
      <c r="AF72" s="16">
        <v>17.07</v>
      </c>
      <c r="AG72" s="16" t="s">
        <v>294</v>
      </c>
      <c r="AH72">
        <f>AF72-VLOOKUP(AG72,'Bag weights'!A$1:B$20,2,FALSE)</f>
        <v>2.6899999999999995</v>
      </c>
      <c r="AI72" s="16">
        <v>20.78</v>
      </c>
      <c r="AJ72" s="16" t="s">
        <v>294</v>
      </c>
      <c r="AK72">
        <f>AI72-VLOOKUP(AJ72,'Bag weights'!A$1:B$20,2,FALSE)</f>
        <v>6.4</v>
      </c>
      <c r="AL72" s="16">
        <v>82.58</v>
      </c>
      <c r="AM72" s="16" t="s">
        <v>276</v>
      </c>
      <c r="AN72">
        <f>AL72-VLOOKUP(AM72,'Bag weights'!A$1:B$20,2,FALSE)</f>
        <v>61.629999999999995</v>
      </c>
      <c r="AO72" s="16">
        <v>2.95</v>
      </c>
      <c r="AQ72">
        <f>AO72-VLOOKUP(AP72,'Bag weights'!A$1:B$20,2,FALSE)</f>
        <v>2.95</v>
      </c>
      <c r="AT72">
        <f>AR72-VLOOKUP(AS72,'Bag weights'!A$1:B$20,2,FALSE)</f>
        <v>0</v>
      </c>
      <c r="AU72" s="16">
        <v>0.39</v>
      </c>
      <c r="AW72">
        <f>AU72-VLOOKUP(AV72,'Bag weights'!A$1:B$20,2,FALSE)</f>
        <v>0.39</v>
      </c>
      <c r="AX72">
        <f t="shared" si="0"/>
        <v>84.399999999999991</v>
      </c>
    </row>
    <row r="73" spans="1:50">
      <c r="A73" s="87"/>
      <c r="B73" s="87"/>
      <c r="C73" s="87">
        <v>1</v>
      </c>
      <c r="D73" s="87" t="s">
        <v>109</v>
      </c>
      <c r="E73" s="2"/>
      <c r="F73" s="2"/>
      <c r="G73" s="2"/>
      <c r="H73" s="16">
        <v>3.88</v>
      </c>
      <c r="J73">
        <f>H73-VLOOKUP(I73,'Bag weights'!A:B,2,FALSE)</f>
        <v>3.88</v>
      </c>
      <c r="M73">
        <f>K73-VLOOKUP(L73,'Bag weights'!A$1:B$20,2,FALSE)</f>
        <v>0</v>
      </c>
      <c r="O73" s="122"/>
      <c r="P73">
        <f>N73-VLOOKUP(O73,'Bag weights'!A$1:B$20,2,FALSE)</f>
        <v>0</v>
      </c>
      <c r="S73">
        <f>Q73-VLOOKUP(R73,'Bag weights'!A$1:B$20,2,FALSE)</f>
        <v>0</v>
      </c>
      <c r="T73" s="16">
        <v>1.47</v>
      </c>
      <c r="V73">
        <f>T73-VLOOKUP(U73,'Bag weights'!A$1:B$20,2,FALSE)</f>
        <v>1.47</v>
      </c>
      <c r="Y73">
        <f>W73-VLOOKUP(X73,'Bag weights'!A$1:B$20,2,FALSE)</f>
        <v>0</v>
      </c>
      <c r="Z73" s="16">
        <v>2.73</v>
      </c>
      <c r="AB73">
        <f>Z73-VLOOKUP(AA73,'Bag weights'!A$1:B$20,2,FALSE)</f>
        <v>2.73</v>
      </c>
      <c r="AC73" s="16">
        <v>4.79</v>
      </c>
      <c r="AD73" s="16"/>
      <c r="AE73">
        <f>AC73-VLOOKUP(AD73,'Bag weights'!A$1:B$20,2,FALSE)</f>
        <v>4.79</v>
      </c>
      <c r="AF73" s="16">
        <v>0.24</v>
      </c>
      <c r="AH73">
        <f>AF73-VLOOKUP(AG73,'Bag weights'!A$1:B$20,2,FALSE)</f>
        <v>0.24</v>
      </c>
      <c r="AI73" s="16">
        <v>15.18</v>
      </c>
      <c r="AK73">
        <f>AI73-VLOOKUP(AJ73,'Bag weights'!A$1:B$20,2,FALSE)</f>
        <v>15.18</v>
      </c>
      <c r="AL73" s="16">
        <v>49.08</v>
      </c>
      <c r="AN73">
        <f>AL73-VLOOKUP(AM73,'Bag weights'!A$1:B$20,2,FALSE)</f>
        <v>49.08</v>
      </c>
      <c r="AO73" s="16">
        <v>2.35</v>
      </c>
      <c r="AQ73">
        <f>AO73-VLOOKUP(AP73,'Bag weights'!A$1:B$20,2,FALSE)</f>
        <v>2.35</v>
      </c>
      <c r="AT73">
        <f>AR73-VLOOKUP(AS73,'Bag weights'!A$1:B$20,2,FALSE)</f>
        <v>0</v>
      </c>
      <c r="AU73" s="16">
        <v>0.81</v>
      </c>
      <c r="AW73">
        <f>AU73-VLOOKUP(AV73,'Bag weights'!A$1:B$20,2,FALSE)</f>
        <v>0.81</v>
      </c>
      <c r="AX73">
        <f t="shared" si="0"/>
        <v>79.72</v>
      </c>
    </row>
    <row r="74" spans="1:50">
      <c r="A74" s="87"/>
      <c r="B74" s="87"/>
      <c r="C74" s="87">
        <v>1</v>
      </c>
      <c r="D74" s="87" t="s">
        <v>87</v>
      </c>
      <c r="E74" s="2"/>
      <c r="F74" s="2"/>
      <c r="G74" s="2"/>
      <c r="H74" s="16">
        <v>0.9</v>
      </c>
      <c r="J74">
        <f>H74-VLOOKUP(I74,'Bag weights'!A:B,2,FALSE)</f>
        <v>0.9</v>
      </c>
      <c r="M74">
        <f>K74-VLOOKUP(L74,'Bag weights'!A$1:B$20,2,FALSE)</f>
        <v>0</v>
      </c>
      <c r="O74" s="122"/>
      <c r="P74">
        <f>N74-VLOOKUP(O74,'Bag weights'!A$1:B$20,2,FALSE)</f>
        <v>0</v>
      </c>
      <c r="S74">
        <f>Q74-VLOOKUP(R74,'Bag weights'!A$1:B$20,2,FALSE)</f>
        <v>0</v>
      </c>
      <c r="T74" s="16">
        <v>9.2100000000000009</v>
      </c>
      <c r="U74" s="16" t="s">
        <v>295</v>
      </c>
      <c r="V74">
        <f>T74-VLOOKUP(U74,'Bag weights'!A$1:B$20,2,FALSE)</f>
        <v>1.3800000000000008</v>
      </c>
      <c r="Y74">
        <f>W74-VLOOKUP(X74,'Bag weights'!A$1:B$20,2,FALSE)</f>
        <v>0</v>
      </c>
      <c r="Z74" s="16">
        <v>11.5</v>
      </c>
      <c r="AA74" s="16" t="s">
        <v>295</v>
      </c>
      <c r="AB74">
        <f>Z74-VLOOKUP(AA74,'Bag weights'!A$1:B$20,2,FALSE)</f>
        <v>3.67</v>
      </c>
      <c r="AC74" s="16">
        <v>16.16</v>
      </c>
      <c r="AD74" s="16" t="s">
        <v>295</v>
      </c>
      <c r="AE74">
        <f>AC74-VLOOKUP(AD74,'Bag weights'!A$1:B$20,2,FALSE)</f>
        <v>8.33</v>
      </c>
      <c r="AF74" s="16">
        <v>0.59</v>
      </c>
      <c r="AH74">
        <f>AF74-VLOOKUP(AG74,'Bag weights'!A$1:B$20,2,FALSE)</f>
        <v>0.59</v>
      </c>
      <c r="AI74" s="16">
        <v>14.08</v>
      </c>
      <c r="AJ74" s="16" t="s">
        <v>295</v>
      </c>
      <c r="AK74">
        <f>AI74-VLOOKUP(AJ74,'Bag weights'!A$1:B$20,2,FALSE)</f>
        <v>6.25</v>
      </c>
      <c r="AL74" s="16">
        <v>91.24</v>
      </c>
      <c r="AM74" s="16" t="s">
        <v>276</v>
      </c>
      <c r="AN74">
        <f>AL74-VLOOKUP(AM74,'Bag weights'!A$1:B$20,2,FALSE)</f>
        <v>70.289999999999992</v>
      </c>
      <c r="AO74" s="16">
        <v>2.84</v>
      </c>
      <c r="AQ74">
        <f>AO74-VLOOKUP(AP74,'Bag weights'!A$1:B$20,2,FALSE)</f>
        <v>2.84</v>
      </c>
      <c r="AT74">
        <f>AR74-VLOOKUP(AS74,'Bag weights'!A$1:B$20,2,FALSE)</f>
        <v>0</v>
      </c>
      <c r="AU74" s="16">
        <v>0.06</v>
      </c>
      <c r="AW74">
        <f>AU74-VLOOKUP(AV74,'Bag weights'!A$1:B$20,2,FALSE)</f>
        <v>0.06</v>
      </c>
      <c r="AX74">
        <f t="shared" si="0"/>
        <v>94.25</v>
      </c>
    </row>
    <row r="75" spans="1:50">
      <c r="A75" s="87"/>
      <c r="B75" s="87"/>
      <c r="C75" s="87">
        <v>1</v>
      </c>
      <c r="D75" s="87" t="s">
        <v>79</v>
      </c>
      <c r="E75" s="2"/>
      <c r="F75" s="2"/>
      <c r="G75" s="2"/>
      <c r="H75" s="16">
        <v>0.92</v>
      </c>
      <c r="J75">
        <f>H75-VLOOKUP(I75,'Bag weights'!A:B,2,FALSE)</f>
        <v>0.92</v>
      </c>
      <c r="M75">
        <f>K75-VLOOKUP(L75,'Bag weights'!A$1:B$20,2,FALSE)</f>
        <v>0</v>
      </c>
      <c r="O75" s="122"/>
      <c r="P75">
        <f>N75-VLOOKUP(O75,'Bag weights'!A$1:B$20,2,FALSE)</f>
        <v>0</v>
      </c>
      <c r="S75">
        <f>Q75-VLOOKUP(R75,'Bag weights'!A$1:B$20,2,FALSE)</f>
        <v>0</v>
      </c>
      <c r="T75" s="16">
        <v>1.95</v>
      </c>
      <c r="V75">
        <f>T75-VLOOKUP(U75,'Bag weights'!A$1:B$20,2,FALSE)</f>
        <v>1.95</v>
      </c>
      <c r="W75" s="16">
        <v>0.48</v>
      </c>
      <c r="Y75">
        <f>W75-VLOOKUP(X75,'Bag weights'!A$1:B$20,2,FALSE)</f>
        <v>0.48</v>
      </c>
      <c r="Z75" s="16">
        <v>2.79</v>
      </c>
      <c r="AB75">
        <f>Z75-VLOOKUP(AA75,'Bag weights'!A$1:B$20,2,FALSE)</f>
        <v>2.79</v>
      </c>
      <c r="AC75" s="16">
        <v>32.659999999999997</v>
      </c>
      <c r="AD75" s="16" t="s">
        <v>276</v>
      </c>
      <c r="AE75">
        <f>AC75-VLOOKUP(AD75,'Bag weights'!A$1:B$20,2,FALSE)</f>
        <v>11.709999999999997</v>
      </c>
      <c r="AF75" s="16">
        <v>0.21</v>
      </c>
      <c r="AH75">
        <f>AF75-VLOOKUP(AG75,'Bag weights'!A$1:B$20,2,FALSE)</f>
        <v>0.21</v>
      </c>
      <c r="AI75" s="16">
        <v>9.4499999999999993</v>
      </c>
      <c r="AK75">
        <f>AI75-VLOOKUP(AJ75,'Bag weights'!A$1:B$20,2,FALSE)</f>
        <v>9.4499999999999993</v>
      </c>
      <c r="AL75" s="16">
        <v>72.099999999999994</v>
      </c>
      <c r="AM75" s="16" t="s">
        <v>276</v>
      </c>
      <c r="AN75">
        <f>AL75-VLOOKUP(AM75,'Bag weights'!A$1:B$20,2,FALSE)</f>
        <v>51.149999999999991</v>
      </c>
      <c r="AO75" s="16">
        <v>3.62</v>
      </c>
      <c r="AQ75">
        <f>AO75-VLOOKUP(AP75,'Bag weights'!A$1:B$20,2,FALSE)</f>
        <v>3.62</v>
      </c>
      <c r="AT75">
        <f>AR75-VLOOKUP(AS75,'Bag weights'!A$1:B$20,2,FALSE)</f>
        <v>0</v>
      </c>
      <c r="AU75" s="16">
        <v>0.32</v>
      </c>
      <c r="AW75">
        <f>AU75-VLOOKUP(AV75,'Bag weights'!A$1:B$20,2,FALSE)</f>
        <v>0.32</v>
      </c>
      <c r="AX75">
        <f t="shared" si="0"/>
        <v>82.279999999999987</v>
      </c>
    </row>
    <row r="76" spans="1:50">
      <c r="A76" s="87"/>
      <c r="B76" s="87"/>
      <c r="C76" s="87">
        <v>2</v>
      </c>
      <c r="D76" s="87" t="s">
        <v>83</v>
      </c>
      <c r="E76" s="2"/>
      <c r="F76" s="2"/>
      <c r="G76" s="2"/>
      <c r="H76" s="16">
        <v>13.67</v>
      </c>
      <c r="I76" s="16" t="s">
        <v>295</v>
      </c>
      <c r="J76">
        <f>H76-VLOOKUP(I76,'Bag weights'!A:B,2,FALSE)</f>
        <v>5.84</v>
      </c>
      <c r="M76">
        <f>K76-VLOOKUP(L76,'Bag weights'!A$1:B$20,2,FALSE)</f>
        <v>0</v>
      </c>
      <c r="N76" s="16">
        <v>11.62</v>
      </c>
      <c r="O76" s="119" t="s">
        <v>295</v>
      </c>
      <c r="P76">
        <f>N76-VLOOKUP(O76,'Bag weights'!A$1:B$20,2,FALSE)</f>
        <v>3.7899999999999991</v>
      </c>
      <c r="S76">
        <f>Q76-VLOOKUP(R76,'Bag weights'!A$1:B$20,2,FALSE)</f>
        <v>0</v>
      </c>
      <c r="T76" s="16">
        <v>9.33</v>
      </c>
      <c r="U76" s="16" t="s">
        <v>295</v>
      </c>
      <c r="V76">
        <f>T76-VLOOKUP(U76,'Bag weights'!A$1:B$20,2,FALSE)</f>
        <v>1.5</v>
      </c>
      <c r="Y76">
        <f>W76-VLOOKUP(X76,'Bag weights'!A$1:B$20,2,FALSE)</f>
        <v>0</v>
      </c>
      <c r="Z76" s="16">
        <v>19.36</v>
      </c>
      <c r="AA76" s="16" t="s">
        <v>295</v>
      </c>
      <c r="AB76">
        <f>Z76-VLOOKUP(AA76,'Bag weights'!A$1:B$20,2,FALSE)</f>
        <v>11.53</v>
      </c>
      <c r="AC76" s="16">
        <v>50.02</v>
      </c>
      <c r="AD76" s="16" t="s">
        <v>276</v>
      </c>
      <c r="AE76">
        <f>AC76-VLOOKUP(AD76,'Bag weights'!A$1:B$20,2,FALSE)</f>
        <v>29.070000000000004</v>
      </c>
      <c r="AH76">
        <f>AF76-VLOOKUP(AG76,'Bag weights'!A$1:B$20,2,FALSE)</f>
        <v>0</v>
      </c>
      <c r="AI76" s="16">
        <v>0.9</v>
      </c>
      <c r="AK76">
        <f>AI76-VLOOKUP(AJ76,'Bag weights'!A$1:B$20,2,FALSE)</f>
        <v>0.9</v>
      </c>
      <c r="AL76" s="16"/>
      <c r="AM76" s="16"/>
      <c r="AN76">
        <f>AL76-VLOOKUP(AM76,'Bag weights'!A$1:B$20,2,FALSE)</f>
        <v>0</v>
      </c>
      <c r="AO76" s="16">
        <v>11.03</v>
      </c>
      <c r="AP76" s="16" t="s">
        <v>295</v>
      </c>
      <c r="AQ76">
        <f>AO76-VLOOKUP(AP76,'Bag weights'!A$1:B$20,2,FALSE)</f>
        <v>3.1999999999999993</v>
      </c>
      <c r="AT76">
        <f>AR76-VLOOKUP(AS76,'Bag weights'!A$1:B$20,2,FALSE)</f>
        <v>0</v>
      </c>
      <c r="AU76" s="16">
        <v>0.65</v>
      </c>
      <c r="AW76">
        <f>AU76-VLOOKUP(AV76,'Bag weights'!A$1:B$20,2,FALSE)</f>
        <v>0.65</v>
      </c>
      <c r="AX76">
        <f t="shared" si="0"/>
        <v>55.830000000000005</v>
      </c>
    </row>
    <row r="77" spans="1:50">
      <c r="A77" s="87"/>
      <c r="B77" s="87"/>
      <c r="C77" s="87">
        <v>2</v>
      </c>
      <c r="D77" s="87" t="s">
        <v>108</v>
      </c>
      <c r="E77" s="2"/>
      <c r="F77" s="2"/>
      <c r="G77" s="2"/>
      <c r="H77" s="16">
        <v>8.44</v>
      </c>
      <c r="J77">
        <f>H77-VLOOKUP(I77,'Bag weights'!A:B,2,FALSE)</f>
        <v>8.44</v>
      </c>
      <c r="M77">
        <f>K77-VLOOKUP(L77,'Bag weights'!A$1:B$20,2,FALSE)</f>
        <v>0</v>
      </c>
      <c r="N77" s="16">
        <v>3.34</v>
      </c>
      <c r="O77" s="122"/>
      <c r="P77">
        <f>N77-VLOOKUP(O77,'Bag weights'!A$1:B$20,2,FALSE)</f>
        <v>3.34</v>
      </c>
      <c r="S77">
        <f>Q77-VLOOKUP(R77,'Bag weights'!A$1:B$20,2,FALSE)</f>
        <v>0</v>
      </c>
      <c r="T77" s="16">
        <v>2.8</v>
      </c>
      <c r="V77">
        <f>T77-VLOOKUP(U77,'Bag weights'!A$1:B$20,2,FALSE)</f>
        <v>2.8</v>
      </c>
      <c r="Y77">
        <f>W77-VLOOKUP(X77,'Bag weights'!A$1:B$20,2,FALSE)</f>
        <v>0</v>
      </c>
      <c r="Z77" s="16">
        <v>4.2</v>
      </c>
      <c r="AB77">
        <f>Z77-VLOOKUP(AA77,'Bag weights'!A$1:B$20,2,FALSE)</f>
        <v>4.2</v>
      </c>
      <c r="AC77" s="16">
        <v>14.19</v>
      </c>
      <c r="AE77">
        <f>AC77-VLOOKUP(AD77,'Bag weights'!A$1:B$20,2,FALSE)</f>
        <v>14.19</v>
      </c>
      <c r="AF77" s="16">
        <v>6.11</v>
      </c>
      <c r="AH77">
        <f>AF77-VLOOKUP(AG77,'Bag weights'!A$1:B$20,2,FALSE)</f>
        <v>6.11</v>
      </c>
      <c r="AI77" s="16">
        <v>2.93</v>
      </c>
      <c r="AK77">
        <f>AI77-VLOOKUP(AJ77,'Bag weights'!A$1:B$20,2,FALSE)</f>
        <v>2.93</v>
      </c>
      <c r="AL77" s="16">
        <v>30.4</v>
      </c>
      <c r="AN77">
        <f>AL77-VLOOKUP(AM77,'Bag weights'!A$1:B$20,2,FALSE)</f>
        <v>30.4</v>
      </c>
      <c r="AO77" s="16">
        <v>2.5</v>
      </c>
      <c r="AQ77">
        <f>AO77-VLOOKUP(AP77,'Bag weights'!A$1:B$20,2,FALSE)</f>
        <v>2.5</v>
      </c>
      <c r="AT77">
        <f>AR77-VLOOKUP(AS77,'Bag weights'!A$1:B$20,2,FALSE)</f>
        <v>0</v>
      </c>
      <c r="AU77" s="16">
        <v>0.56999999999999995</v>
      </c>
      <c r="AW77">
        <f>AU77-VLOOKUP(AV77,'Bag weights'!A$1:B$20,2,FALSE)</f>
        <v>0.56999999999999995</v>
      </c>
      <c r="AX77">
        <f t="shared" si="0"/>
        <v>74.91</v>
      </c>
    </row>
    <row r="78" spans="1:50">
      <c r="A78" s="87"/>
      <c r="B78" s="87"/>
      <c r="C78" s="87">
        <v>2</v>
      </c>
      <c r="D78" s="87" t="s">
        <v>109</v>
      </c>
      <c r="E78" s="2"/>
      <c r="F78" s="2"/>
      <c r="G78" s="2"/>
      <c r="H78" s="16">
        <v>11.42</v>
      </c>
      <c r="I78" s="16" t="s">
        <v>295</v>
      </c>
      <c r="J78">
        <f>H78-VLOOKUP(I78,'Bag weights'!A:B,2,FALSE)</f>
        <v>3.59</v>
      </c>
      <c r="M78">
        <f>K78-VLOOKUP(L78,'Bag weights'!A$1:B$20,2,FALSE)</f>
        <v>0</v>
      </c>
      <c r="N78" s="16">
        <v>21.45</v>
      </c>
      <c r="O78" s="119" t="s">
        <v>295</v>
      </c>
      <c r="P78">
        <f>N78-VLOOKUP(O78,'Bag weights'!A$1:B$20,2,FALSE)</f>
        <v>13.62</v>
      </c>
      <c r="S78">
        <f>Q78-VLOOKUP(R78,'Bag weights'!A$1:B$20,2,FALSE)</f>
        <v>0</v>
      </c>
      <c r="T78" s="16">
        <v>9.01</v>
      </c>
      <c r="U78" s="16" t="s">
        <v>295</v>
      </c>
      <c r="V78">
        <f>T78-VLOOKUP(U78,'Bag weights'!A$1:B$20,2,FALSE)</f>
        <v>1.1799999999999997</v>
      </c>
      <c r="Y78">
        <f>W78-VLOOKUP(X78,'Bag weights'!A$1:B$20,2,FALSE)</f>
        <v>0</v>
      </c>
      <c r="Z78" s="16">
        <v>13.51</v>
      </c>
      <c r="AA78" s="16" t="s">
        <v>295</v>
      </c>
      <c r="AB78">
        <f>Z78-VLOOKUP(AA78,'Bag weights'!A$1:B$20,2,FALSE)</f>
        <v>5.68</v>
      </c>
      <c r="AC78" s="16">
        <v>20.54</v>
      </c>
      <c r="AD78" s="16" t="s">
        <v>295</v>
      </c>
      <c r="AE78">
        <f>AC78-VLOOKUP(AD78,'Bag weights'!A$1:B$20,2,FALSE)</f>
        <v>12.709999999999999</v>
      </c>
      <c r="AH78">
        <f>AF78-VLOOKUP(AG78,'Bag weights'!A$1:B$20,2,FALSE)</f>
        <v>0</v>
      </c>
      <c r="AI78" s="16">
        <v>11.94</v>
      </c>
      <c r="AJ78" s="16" t="s">
        <v>295</v>
      </c>
      <c r="AK78">
        <f>AI78-VLOOKUP(AJ78,'Bag weights'!A$1:B$20,2,FALSE)</f>
        <v>4.1099999999999994</v>
      </c>
      <c r="AL78" s="16">
        <v>57.55</v>
      </c>
      <c r="AM78" s="16" t="s">
        <v>276</v>
      </c>
      <c r="AN78">
        <f>AL78-VLOOKUP(AM78,'Bag weights'!A$1:B$20,2,FALSE)</f>
        <v>36.599999999999994</v>
      </c>
      <c r="AO78" s="16">
        <v>2.81</v>
      </c>
      <c r="AQ78">
        <f>AO78-VLOOKUP(AP78,'Bag weights'!A$1:B$20,2,FALSE)</f>
        <v>2.81</v>
      </c>
      <c r="AT78">
        <f>AR78-VLOOKUP(AS78,'Bag weights'!A$1:B$20,2,FALSE)</f>
        <v>0</v>
      </c>
      <c r="AU78" s="16">
        <v>1.21</v>
      </c>
      <c r="AW78">
        <f>AU78-VLOOKUP(AV78,'Bag weights'!A$1:B$20,2,FALSE)</f>
        <v>1.21</v>
      </c>
      <c r="AX78">
        <f t="shared" si="0"/>
        <v>80.3</v>
      </c>
    </row>
    <row r="79" spans="1:50">
      <c r="A79" s="87"/>
      <c r="B79" s="87"/>
      <c r="C79" s="87">
        <v>2</v>
      </c>
      <c r="D79" s="87" t="s">
        <v>87</v>
      </c>
      <c r="E79" s="2"/>
      <c r="F79" s="2"/>
      <c r="G79" s="2"/>
      <c r="H79" s="16">
        <v>2.0499999999999998</v>
      </c>
      <c r="J79">
        <f>H79-VLOOKUP(I79,'Bag weights'!A:B,2,FALSE)</f>
        <v>2.0499999999999998</v>
      </c>
      <c r="K79" s="16">
        <v>0.77</v>
      </c>
      <c r="M79">
        <f>K79-VLOOKUP(L79,'Bag weights'!A$1:B$20,2,FALSE)</f>
        <v>0.77</v>
      </c>
      <c r="N79" s="16">
        <v>16.489999999999998</v>
      </c>
      <c r="O79" s="122"/>
      <c r="P79">
        <f>N79-VLOOKUP(O79,'Bag weights'!A$1:B$20,2,FALSE)</f>
        <v>16.489999999999998</v>
      </c>
      <c r="S79">
        <f>Q79-VLOOKUP(R79,'Bag weights'!A$1:B$20,2,FALSE)</f>
        <v>0</v>
      </c>
      <c r="T79" s="16">
        <v>0.96</v>
      </c>
      <c r="V79">
        <f>T79-VLOOKUP(U79,'Bag weights'!A$1:B$20,2,FALSE)</f>
        <v>0.96</v>
      </c>
      <c r="Y79">
        <f>W79-VLOOKUP(X79,'Bag weights'!A$1:B$20,2,FALSE)</f>
        <v>0</v>
      </c>
      <c r="Z79" s="16">
        <v>2.74</v>
      </c>
      <c r="AB79">
        <f>Z79-VLOOKUP(AA79,'Bag weights'!A$1:B$20,2,FALSE)</f>
        <v>2.74</v>
      </c>
      <c r="AC79" s="16">
        <v>12.14</v>
      </c>
      <c r="AE79">
        <f>AC79-VLOOKUP(AD79,'Bag weights'!A$1:B$20,2,FALSE)</f>
        <v>12.14</v>
      </c>
      <c r="AF79" s="16">
        <v>0.61</v>
      </c>
      <c r="AH79">
        <f>AF79-VLOOKUP(AG79,'Bag weights'!A$1:B$20,2,FALSE)</f>
        <v>0.61</v>
      </c>
      <c r="AI79" s="16">
        <v>7.88</v>
      </c>
      <c r="AK79">
        <f>AI79-VLOOKUP(AJ79,'Bag weights'!A$1:B$20,2,FALSE)</f>
        <v>7.88</v>
      </c>
      <c r="AL79" s="16">
        <v>47.71</v>
      </c>
      <c r="AN79">
        <f>AL79-VLOOKUP(AM79,'Bag weights'!A$1:B$20,2,FALSE)</f>
        <v>47.71</v>
      </c>
      <c r="AO79" s="16">
        <v>1.57</v>
      </c>
      <c r="AQ79">
        <f>AO79-VLOOKUP(AP79,'Bag weights'!A$1:B$20,2,FALSE)</f>
        <v>1.57</v>
      </c>
      <c r="AT79">
        <f>AR79-VLOOKUP(AS79,'Bag weights'!A$1:B$20,2,FALSE)</f>
        <v>0</v>
      </c>
      <c r="AU79" s="16">
        <v>1.45</v>
      </c>
      <c r="AW79">
        <f>AU79-VLOOKUP(AV79,'Bag weights'!A$1:B$20,2,FALSE)</f>
        <v>1.45</v>
      </c>
      <c r="AX79">
        <f t="shared" si="0"/>
        <v>92.919999999999973</v>
      </c>
    </row>
    <row r="80" spans="1:50">
      <c r="A80" s="87"/>
      <c r="B80" s="87"/>
      <c r="C80" s="87">
        <v>2</v>
      </c>
      <c r="D80" s="87" t="s">
        <v>79</v>
      </c>
      <c r="E80" s="2"/>
      <c r="F80" s="2"/>
      <c r="G80" s="2"/>
      <c r="H80" s="16">
        <v>3.07</v>
      </c>
      <c r="J80">
        <f>H80-VLOOKUP(I80,'Bag weights'!A:B,2,FALSE)</f>
        <v>3.07</v>
      </c>
      <c r="K80" s="16">
        <v>0.46</v>
      </c>
      <c r="M80">
        <f>K80-VLOOKUP(L80,'Bag weights'!A$1:B$20,2,FALSE)</f>
        <v>0.46</v>
      </c>
      <c r="N80" s="16">
        <v>9.7200000000000006</v>
      </c>
      <c r="O80" s="122"/>
      <c r="P80">
        <f>N80-VLOOKUP(O80,'Bag weights'!A$1:B$20,2,FALSE)</f>
        <v>9.7200000000000006</v>
      </c>
      <c r="S80">
        <f>Q80-VLOOKUP(R80,'Bag weights'!A$1:B$20,2,FALSE)</f>
        <v>0</v>
      </c>
      <c r="T80" s="16">
        <v>1.39</v>
      </c>
      <c r="V80">
        <f>T80-VLOOKUP(U80,'Bag weights'!A$1:B$20,2,FALSE)</f>
        <v>1.39</v>
      </c>
      <c r="Y80">
        <f>W80-VLOOKUP(X80,'Bag weights'!A$1:B$20,2,FALSE)</f>
        <v>0</v>
      </c>
      <c r="Z80" s="16">
        <v>5.62</v>
      </c>
      <c r="AB80">
        <f>Z80-VLOOKUP(AA80,'Bag weights'!A$1:B$20,2,FALSE)</f>
        <v>5.62</v>
      </c>
      <c r="AC80" s="16">
        <v>12.95</v>
      </c>
      <c r="AE80">
        <f>AC80-VLOOKUP(AD80,'Bag weights'!A$1:B$20,2,FALSE)</f>
        <v>12.95</v>
      </c>
      <c r="AH80">
        <f>AF80-VLOOKUP(AG80,'Bag weights'!A$1:B$20,2,FALSE)</f>
        <v>0</v>
      </c>
      <c r="AI80" s="16">
        <v>2.98</v>
      </c>
      <c r="AK80">
        <f>AI80-VLOOKUP(AJ80,'Bag weights'!A$1:B$20,2,FALSE)</f>
        <v>2.98</v>
      </c>
      <c r="AL80" s="16">
        <v>47.95</v>
      </c>
      <c r="AN80">
        <f>AL80-VLOOKUP(AM80,'Bag weights'!A$1:B$20,2,FALSE)</f>
        <v>47.95</v>
      </c>
      <c r="AO80" s="16">
        <v>2.78</v>
      </c>
      <c r="AQ80">
        <f>AO80-VLOOKUP(AP80,'Bag weights'!A$1:B$20,2,FALSE)</f>
        <v>2.78</v>
      </c>
      <c r="AT80">
        <f>AR80-VLOOKUP(AS80,'Bag weights'!A$1:B$20,2,FALSE)</f>
        <v>0</v>
      </c>
      <c r="AU80" s="16">
        <v>2.48</v>
      </c>
      <c r="AW80">
        <f>AU80-VLOOKUP(AV80,'Bag weights'!A$1:B$20,2,FALSE)</f>
        <v>2.48</v>
      </c>
      <c r="AX80">
        <f t="shared" si="0"/>
        <v>86.919999999999987</v>
      </c>
    </row>
    <row r="81" spans="1:50">
      <c r="A81" s="87"/>
      <c r="B81" s="87"/>
      <c r="C81" s="87">
        <v>3</v>
      </c>
      <c r="D81" s="87" t="s">
        <v>83</v>
      </c>
      <c r="E81" s="2"/>
      <c r="F81" s="2"/>
      <c r="G81" s="2"/>
      <c r="H81" s="16">
        <v>0.31</v>
      </c>
      <c r="J81">
        <f>H81-VLOOKUP(I81,'Bag weights'!A:B,2,FALSE)</f>
        <v>0.31</v>
      </c>
      <c r="M81">
        <f>K81-VLOOKUP(L81,'Bag weights'!A$1:B$20,2,FALSE)</f>
        <v>0</v>
      </c>
      <c r="N81" s="16">
        <v>9.4</v>
      </c>
      <c r="O81" s="119" t="s">
        <v>295</v>
      </c>
      <c r="P81">
        <f>N81-VLOOKUP(O81,'Bag weights'!A$1:B$20,2,FALSE)</f>
        <v>1.5700000000000003</v>
      </c>
      <c r="S81">
        <f>Q81-VLOOKUP(R81,'Bag weights'!A$1:B$20,2,FALSE)</f>
        <v>0</v>
      </c>
      <c r="T81" s="16">
        <v>10.38</v>
      </c>
      <c r="U81" s="16" t="s">
        <v>295</v>
      </c>
      <c r="V81">
        <f>T81-VLOOKUP(U81,'Bag weights'!A$1:B$20,2,FALSE)</f>
        <v>2.5500000000000007</v>
      </c>
      <c r="Y81">
        <f>W81-VLOOKUP(X81,'Bag weights'!A$1:B$20,2,FALSE)</f>
        <v>0</v>
      </c>
      <c r="Z81" s="16">
        <v>10.1</v>
      </c>
      <c r="AA81" s="16" t="s">
        <v>295</v>
      </c>
      <c r="AB81">
        <f>Z81-VLOOKUP(AA81,'Bag weights'!A$1:B$20,2,FALSE)</f>
        <v>2.2699999999999996</v>
      </c>
      <c r="AC81" s="16">
        <v>11.78</v>
      </c>
      <c r="AD81" s="16" t="s">
        <v>295</v>
      </c>
      <c r="AE81">
        <f>AC81-VLOOKUP(AD81,'Bag weights'!A$1:B$20,2,FALSE)</f>
        <v>3.9499999999999993</v>
      </c>
      <c r="AH81">
        <f>AF81-VLOOKUP(AG81,'Bag weights'!A$1:B$20,2,FALSE)</f>
        <v>0</v>
      </c>
      <c r="AI81" s="16">
        <v>9.51</v>
      </c>
      <c r="AJ81" s="16" t="s">
        <v>295</v>
      </c>
      <c r="AK81">
        <f>AI81-VLOOKUP(AJ81,'Bag weights'!A$1:B$20,2,FALSE)</f>
        <v>1.6799999999999997</v>
      </c>
      <c r="AL81" s="16">
        <v>107.19</v>
      </c>
      <c r="AM81" s="16" t="s">
        <v>332</v>
      </c>
      <c r="AN81">
        <f>AL81-VLOOKUP(AM81,'Bag weights'!A$1:B$20,2,FALSE)</f>
        <v>65.289999999999992</v>
      </c>
      <c r="AO81" s="16">
        <v>2.02</v>
      </c>
      <c r="AQ81">
        <f>AO81-VLOOKUP(AP81,'Bag weights'!A$1:B$20,2,FALSE)</f>
        <v>2.02</v>
      </c>
      <c r="AT81">
        <f>AR81-VLOOKUP(AS81,'Bag weights'!A$1:B$20,2,FALSE)</f>
        <v>0</v>
      </c>
      <c r="AU81" s="16">
        <v>0.32100000000000001</v>
      </c>
      <c r="AW81">
        <f>AU81-VLOOKUP(AV81,'Bag weights'!A$1:B$20,2,FALSE)</f>
        <v>0.32100000000000001</v>
      </c>
      <c r="AX81">
        <f t="shared" si="0"/>
        <v>79.639999999999986</v>
      </c>
    </row>
    <row r="82" spans="1:50">
      <c r="A82" s="87"/>
      <c r="B82" s="87"/>
      <c r="C82" s="87">
        <v>3</v>
      </c>
      <c r="D82" s="87" t="s">
        <v>108</v>
      </c>
      <c r="E82" s="2"/>
      <c r="F82" s="2"/>
      <c r="G82" s="2"/>
      <c r="H82" s="16">
        <v>9.0500000000000007</v>
      </c>
      <c r="I82" s="16" t="s">
        <v>295</v>
      </c>
      <c r="J82">
        <f>H82-VLOOKUP(I82,'Bag weights'!A:B,2,FALSE)</f>
        <v>1.2200000000000006</v>
      </c>
      <c r="M82">
        <f>K82-VLOOKUP(L82,'Bag weights'!A$1:B$20,2,FALSE)</f>
        <v>0</v>
      </c>
      <c r="O82" s="122"/>
      <c r="P82">
        <f>N82-VLOOKUP(O82,'Bag weights'!A$1:B$20,2,FALSE)</f>
        <v>0</v>
      </c>
      <c r="S82">
        <f>Q82-VLOOKUP(R82,'Bag weights'!A$1:B$20,2,FALSE)</f>
        <v>0</v>
      </c>
      <c r="T82" s="16">
        <v>0.36</v>
      </c>
      <c r="V82">
        <f>T82-VLOOKUP(U82,'Bag weights'!A$1:B$20,2,FALSE)</f>
        <v>0.36</v>
      </c>
      <c r="Y82">
        <f>W82-VLOOKUP(X82,'Bag weights'!A$1:B$20,2,FALSE)</f>
        <v>0</v>
      </c>
      <c r="Z82" s="16">
        <v>17.239999999999998</v>
      </c>
      <c r="AA82" s="16" t="s">
        <v>295</v>
      </c>
      <c r="AB82">
        <f>Z82-VLOOKUP(AA82,'Bag weights'!A$1:B$20,2,FALSE)</f>
        <v>9.4099999999999984</v>
      </c>
      <c r="AC82" s="16">
        <v>43.49</v>
      </c>
      <c r="AD82" s="16" t="s">
        <v>276</v>
      </c>
      <c r="AE82">
        <f>AC82-VLOOKUP(AD82,'Bag weights'!A$1:B$20,2,FALSE)</f>
        <v>22.540000000000003</v>
      </c>
      <c r="AH82">
        <f>AF82-VLOOKUP(AG82,'Bag weights'!A$1:B$20,2,FALSE)</f>
        <v>0</v>
      </c>
      <c r="AI82" s="16">
        <v>9.25</v>
      </c>
      <c r="AJ82" s="16" t="s">
        <v>295</v>
      </c>
      <c r="AK82">
        <f>AI82-VLOOKUP(AJ82,'Bag weights'!A$1:B$20,2,FALSE)</f>
        <v>1.42</v>
      </c>
      <c r="AL82" s="16">
        <v>54.1</v>
      </c>
      <c r="AM82" s="16" t="s">
        <v>276</v>
      </c>
      <c r="AN82">
        <f>AL82-VLOOKUP(AM82,'Bag weights'!A$1:B$20,2,FALSE)</f>
        <v>33.150000000000006</v>
      </c>
      <c r="AO82" s="16">
        <v>1.73</v>
      </c>
      <c r="AQ82">
        <f>AO82-VLOOKUP(AP82,'Bag weights'!A$1:B$20,2,FALSE)</f>
        <v>1.73</v>
      </c>
      <c r="AT82">
        <f>AR82-VLOOKUP(AS82,'Bag weights'!A$1:B$20,2,FALSE)</f>
        <v>0</v>
      </c>
      <c r="AU82" s="16">
        <v>0.54</v>
      </c>
      <c r="AW82">
        <f>AU82-VLOOKUP(AV82,'Bag weights'!A$1:B$20,2,FALSE)</f>
        <v>0.54</v>
      </c>
      <c r="AX82">
        <f t="shared" si="0"/>
        <v>69.83</v>
      </c>
    </row>
    <row r="83" spans="1:50">
      <c r="A83" s="87"/>
      <c r="B83" s="87"/>
      <c r="C83" s="87">
        <v>3</v>
      </c>
      <c r="D83" s="87" t="s">
        <v>109</v>
      </c>
      <c r="E83" s="2"/>
      <c r="F83" s="2"/>
      <c r="G83" s="2"/>
      <c r="H83" s="16">
        <v>2.4900000000000002</v>
      </c>
      <c r="J83">
        <f>H83-VLOOKUP(I83,'Bag weights'!A:B,2,FALSE)</f>
        <v>2.4900000000000002</v>
      </c>
      <c r="K83" s="16">
        <v>0.24</v>
      </c>
      <c r="M83">
        <f>K83-VLOOKUP(L83,'Bag weights'!A$1:B$20,2,FALSE)</f>
        <v>0.24</v>
      </c>
      <c r="N83" s="16">
        <v>4.18</v>
      </c>
      <c r="O83" s="122"/>
      <c r="P83">
        <f>N83-VLOOKUP(O83,'Bag weights'!A$1:B$20,2,FALSE)</f>
        <v>4.18</v>
      </c>
      <c r="S83">
        <f>Q83-VLOOKUP(R83,'Bag weights'!A$1:B$20,2,FALSE)</f>
        <v>0</v>
      </c>
      <c r="T83" s="16">
        <v>4.03</v>
      </c>
      <c r="V83">
        <f>T83-VLOOKUP(U83,'Bag weights'!A$1:B$20,2,FALSE)</f>
        <v>4.03</v>
      </c>
      <c r="Y83">
        <f>W83-VLOOKUP(X83,'Bag weights'!A$1:B$20,2,FALSE)</f>
        <v>0</v>
      </c>
      <c r="Z83" s="16">
        <v>1.83</v>
      </c>
      <c r="AB83">
        <f>Z83-VLOOKUP(AA83,'Bag weights'!A$1:B$20,2,FALSE)</f>
        <v>1.83</v>
      </c>
      <c r="AC83" s="16">
        <v>2.85</v>
      </c>
      <c r="AE83">
        <f>AC83-VLOOKUP(AD83,'Bag weights'!A$1:B$20,2,FALSE)</f>
        <v>2.85</v>
      </c>
      <c r="AF83" s="16">
        <v>1.1399999999999999</v>
      </c>
      <c r="AH83">
        <f>AF83-VLOOKUP(AG83,'Bag weights'!A$1:B$20,2,FALSE)</f>
        <v>1.1399999999999999</v>
      </c>
      <c r="AI83" s="16">
        <v>10.34</v>
      </c>
      <c r="AK83">
        <f>AI83-VLOOKUP(AJ83,'Bag weights'!A$1:B$20,2,FALSE)</f>
        <v>10.34</v>
      </c>
      <c r="AL83" s="16">
        <v>56.47</v>
      </c>
      <c r="AM83" s="16" t="s">
        <v>276</v>
      </c>
      <c r="AN83">
        <f>AL83-VLOOKUP(AM83,'Bag weights'!A$1:B$20,2,FALSE)</f>
        <v>35.519999999999996</v>
      </c>
      <c r="AO83" s="16">
        <v>3.12</v>
      </c>
      <c r="AQ83">
        <f>AO83-VLOOKUP(AP83,'Bag weights'!A$1:B$20,2,FALSE)</f>
        <v>3.12</v>
      </c>
      <c r="AT83">
        <f>AR83-VLOOKUP(AS83,'Bag weights'!A$1:B$20,2,FALSE)</f>
        <v>0</v>
      </c>
      <c r="AU83" s="16">
        <v>0.97</v>
      </c>
      <c r="AW83">
        <f>AU83-VLOOKUP(AV83,'Bag weights'!A$1:B$20,2,FALSE)</f>
        <v>0.97</v>
      </c>
      <c r="AX83">
        <f t="shared" si="0"/>
        <v>65.739999999999995</v>
      </c>
    </row>
    <row r="84" spans="1:50">
      <c r="A84" s="87"/>
      <c r="B84" s="87"/>
      <c r="C84" s="87">
        <v>3</v>
      </c>
      <c r="D84" s="87" t="s">
        <v>87</v>
      </c>
      <c r="E84" s="2"/>
      <c r="F84" s="2"/>
      <c r="G84" s="2"/>
      <c r="H84" s="16">
        <v>1.42</v>
      </c>
      <c r="J84">
        <f>H84-VLOOKUP(I84,'Bag weights'!A:B,2,FALSE)</f>
        <v>1.42</v>
      </c>
      <c r="M84">
        <f>K84-VLOOKUP(L84,'Bag weights'!A$1:B$20,2,FALSE)</f>
        <v>0</v>
      </c>
      <c r="N84" s="16">
        <v>11.17</v>
      </c>
      <c r="O84" s="119" t="s">
        <v>295</v>
      </c>
      <c r="P84">
        <f>N84-VLOOKUP(O84,'Bag weights'!A$1:B$20,2,FALSE)</f>
        <v>3.34</v>
      </c>
      <c r="S84">
        <f>Q84-VLOOKUP(R84,'Bag weights'!A$1:B$20,2,FALSE)</f>
        <v>0</v>
      </c>
      <c r="T84" s="16">
        <v>11.4</v>
      </c>
      <c r="U84" s="16" t="s">
        <v>295</v>
      </c>
      <c r="V84">
        <f>T84-VLOOKUP(U84,'Bag weights'!A$1:B$20,2,FALSE)</f>
        <v>3.5700000000000003</v>
      </c>
      <c r="Y84">
        <f>W84-VLOOKUP(X84,'Bag weights'!A$1:B$20,2,FALSE)</f>
        <v>0</v>
      </c>
      <c r="Z84" s="16">
        <v>26.14</v>
      </c>
      <c r="AA84" s="16" t="s">
        <v>295</v>
      </c>
      <c r="AB84">
        <f>Z84-VLOOKUP(AA84,'Bag weights'!A$1:B$20,2,FALSE)</f>
        <v>18.310000000000002</v>
      </c>
      <c r="AC84" s="16">
        <v>20.62</v>
      </c>
      <c r="AD84" s="16" t="s">
        <v>295</v>
      </c>
      <c r="AE84">
        <f>AC84-VLOOKUP(AD84,'Bag weights'!A$1:B$20,2,FALSE)</f>
        <v>12.790000000000001</v>
      </c>
      <c r="AH84">
        <f>AF84-VLOOKUP(AG84,'Bag weights'!A$1:B$20,2,FALSE)</f>
        <v>0</v>
      </c>
      <c r="AI84" s="16">
        <v>17.260000000000002</v>
      </c>
      <c r="AJ84" s="16" t="s">
        <v>295</v>
      </c>
      <c r="AK84">
        <f>AI84-VLOOKUP(AJ84,'Bag weights'!A$1:B$20,2,FALSE)</f>
        <v>9.4300000000000015</v>
      </c>
      <c r="AL84" s="16">
        <v>43.22</v>
      </c>
      <c r="AN84">
        <f>AL84-VLOOKUP(AM84,'Bag weights'!A$1:B$20,2,FALSE)</f>
        <v>43.22</v>
      </c>
      <c r="AO84" s="16">
        <v>1.64</v>
      </c>
      <c r="AQ84">
        <f>AO84-VLOOKUP(AP84,'Bag weights'!A$1:B$20,2,FALSE)</f>
        <v>1.64</v>
      </c>
      <c r="AT84">
        <f>AR84-VLOOKUP(AS84,'Bag weights'!A$1:B$20,2,FALSE)</f>
        <v>0</v>
      </c>
      <c r="AU84" s="16">
        <v>0.82</v>
      </c>
      <c r="AW84">
        <f>AU84-VLOOKUP(AV84,'Bag weights'!A$1:B$20,2,FALSE)</f>
        <v>0.82</v>
      </c>
      <c r="AX84">
        <f t="shared" si="0"/>
        <v>93.720000000000013</v>
      </c>
    </row>
    <row r="85" spans="1:50">
      <c r="A85" s="87"/>
      <c r="B85" s="87"/>
      <c r="C85" s="87">
        <v>3</v>
      </c>
      <c r="D85" s="87" t="s">
        <v>79</v>
      </c>
      <c r="E85" s="2"/>
      <c r="F85" s="2"/>
      <c r="G85" s="2"/>
      <c r="H85" s="16">
        <v>0.94</v>
      </c>
      <c r="J85">
        <f>H85-VLOOKUP(I85,'Bag weights'!A:B,2,FALSE)</f>
        <v>0.94</v>
      </c>
      <c r="M85">
        <f>K85-VLOOKUP(L85,'Bag weights'!A$1:B$20,2,FALSE)</f>
        <v>0</v>
      </c>
      <c r="N85" s="16">
        <v>5.22</v>
      </c>
      <c r="O85" s="122"/>
      <c r="P85">
        <f>N85-VLOOKUP(O85,'Bag weights'!A$1:B$20,2,FALSE)</f>
        <v>5.22</v>
      </c>
      <c r="S85">
        <f>Q85-VLOOKUP(R85,'Bag weights'!A$1:B$20,2,FALSE)</f>
        <v>0</v>
      </c>
      <c r="T85" s="16">
        <v>1.1299999999999999</v>
      </c>
      <c r="V85">
        <f>T85-VLOOKUP(U85,'Bag weights'!A$1:B$20,2,FALSE)</f>
        <v>1.1299999999999999</v>
      </c>
      <c r="W85" s="16">
        <v>0.13</v>
      </c>
      <c r="Y85">
        <f>W85-VLOOKUP(X85,'Bag weights'!A$1:B$20,2,FALSE)</f>
        <v>0.13</v>
      </c>
      <c r="Z85" s="16">
        <v>3.63</v>
      </c>
      <c r="AB85">
        <f>Z85-VLOOKUP(AA85,'Bag weights'!A$1:B$20,2,FALSE)</f>
        <v>3.63</v>
      </c>
      <c r="AC85" s="16">
        <v>9.32</v>
      </c>
      <c r="AE85">
        <f>AC85-VLOOKUP(AD85,'Bag weights'!A$1:B$20,2,FALSE)</f>
        <v>9.32</v>
      </c>
      <c r="AH85">
        <f>AF85-VLOOKUP(AG85,'Bag weights'!A$1:B$20,2,FALSE)</f>
        <v>0</v>
      </c>
      <c r="AI85" s="16">
        <v>7.72</v>
      </c>
      <c r="AK85">
        <f>AI85-VLOOKUP(AJ85,'Bag weights'!A$1:B$20,2,FALSE)</f>
        <v>7.72</v>
      </c>
      <c r="AL85" s="16">
        <v>60.3</v>
      </c>
      <c r="AM85" s="16" t="s">
        <v>276</v>
      </c>
      <c r="AN85">
        <f>AL85-VLOOKUP(AM85,'Bag weights'!A$1:B$20,2,FALSE)</f>
        <v>39.349999999999994</v>
      </c>
      <c r="AO85" s="16">
        <v>1.79</v>
      </c>
      <c r="AQ85">
        <f>AO85-VLOOKUP(AP85,'Bag weights'!A$1:B$20,2,FALSE)</f>
        <v>1.79</v>
      </c>
      <c r="AT85">
        <f>AR85-VLOOKUP(AS85,'Bag weights'!A$1:B$20,2,FALSE)</f>
        <v>0</v>
      </c>
      <c r="AU85" s="16">
        <v>0.77</v>
      </c>
      <c r="AW85">
        <f>AU85-VLOOKUP(AV85,'Bag weights'!A$1:B$20,2,FALSE)</f>
        <v>0.77</v>
      </c>
      <c r="AX85">
        <f t="shared" si="0"/>
        <v>69.23</v>
      </c>
    </row>
    <row r="86" spans="1:50">
      <c r="A86" s="87"/>
      <c r="B86" s="87"/>
      <c r="C86" s="87">
        <v>4</v>
      </c>
      <c r="D86" s="87" t="s">
        <v>83</v>
      </c>
      <c r="E86" s="2"/>
      <c r="F86" s="2"/>
      <c r="G86" s="2"/>
      <c r="H86" s="16">
        <v>1.03</v>
      </c>
      <c r="J86">
        <f>H86-VLOOKUP(I86,'Bag weights'!A:B,2,FALSE)</f>
        <v>1.03</v>
      </c>
      <c r="M86">
        <f>K86-VLOOKUP(L86,'Bag weights'!A$1:B$20,2,FALSE)</f>
        <v>0</v>
      </c>
      <c r="N86" s="16">
        <v>0.19</v>
      </c>
      <c r="O86" s="122"/>
      <c r="P86">
        <f>N86-VLOOKUP(O86,'Bag weights'!A$1:B$20,2,FALSE)</f>
        <v>0.19</v>
      </c>
      <c r="S86">
        <f>Q86-VLOOKUP(R86,'Bag weights'!A$1:B$20,2,FALSE)</f>
        <v>0</v>
      </c>
      <c r="T86" s="16">
        <v>11.41</v>
      </c>
      <c r="U86" s="16" t="s">
        <v>295</v>
      </c>
      <c r="V86">
        <f>T86-VLOOKUP(U86,'Bag weights'!A$1:B$20,2,FALSE)</f>
        <v>3.58</v>
      </c>
      <c r="W86" s="16">
        <v>0.18</v>
      </c>
      <c r="Y86">
        <f>W86-VLOOKUP(X86,'Bag weights'!A$1:B$20,2,FALSE)</f>
        <v>0.18</v>
      </c>
      <c r="Z86" s="16">
        <v>9.41</v>
      </c>
      <c r="AA86" s="16" t="s">
        <v>295</v>
      </c>
      <c r="AB86">
        <f>Z86-VLOOKUP(AA86,'Bag weights'!A$1:B$20,2,FALSE)</f>
        <v>1.58</v>
      </c>
      <c r="AC86" s="16">
        <v>17.989999999999998</v>
      </c>
      <c r="AD86" s="16" t="s">
        <v>295</v>
      </c>
      <c r="AE86">
        <f>AC86-VLOOKUP(AD86,'Bag weights'!A$1:B$20,2,FALSE)</f>
        <v>10.159999999999998</v>
      </c>
      <c r="AF86" s="16">
        <v>0.13</v>
      </c>
      <c r="AH86">
        <f>AF86-VLOOKUP(AG86,'Bag weights'!A$1:B$20,2,FALSE)</f>
        <v>0.13</v>
      </c>
      <c r="AI86" s="16">
        <v>23.19</v>
      </c>
      <c r="AJ86" s="16" t="s">
        <v>295</v>
      </c>
      <c r="AK86">
        <f>AI86-VLOOKUP(AJ86,'Bag weights'!A$1:B$20,2,FALSE)</f>
        <v>15.360000000000001</v>
      </c>
      <c r="AL86" s="16">
        <v>65.64</v>
      </c>
      <c r="AM86" s="16" t="s">
        <v>276</v>
      </c>
      <c r="AN86">
        <f>AL86-VLOOKUP(AM86,'Bag weights'!A$1:B$20,2,FALSE)</f>
        <v>44.69</v>
      </c>
      <c r="AO86" s="16">
        <v>2.2400000000000002</v>
      </c>
      <c r="AQ86">
        <f>AO86-VLOOKUP(AP86,'Bag weights'!A$1:B$20,2,FALSE)</f>
        <v>2.2400000000000002</v>
      </c>
      <c r="AT86">
        <f>AR86-VLOOKUP(AS86,'Bag weights'!A$1:B$20,2,FALSE)</f>
        <v>0</v>
      </c>
      <c r="AU86" s="16">
        <v>1.28</v>
      </c>
      <c r="AW86">
        <f>AU86-VLOOKUP(AV86,'Bag weights'!A$1:B$20,2,FALSE)</f>
        <v>1.28</v>
      </c>
      <c r="AX86">
        <f t="shared" si="0"/>
        <v>79.14</v>
      </c>
    </row>
    <row r="87" spans="1:50">
      <c r="A87" s="87"/>
      <c r="B87" s="87"/>
      <c r="C87" s="87">
        <v>4</v>
      </c>
      <c r="D87" s="87" t="s">
        <v>108</v>
      </c>
      <c r="E87" s="2"/>
      <c r="F87" s="2"/>
      <c r="G87" s="2"/>
      <c r="H87" s="16">
        <v>0.26</v>
      </c>
      <c r="J87">
        <f>H87-VLOOKUP(I87,'Bag weights'!A:B,2,FALSE)</f>
        <v>0.26</v>
      </c>
      <c r="M87">
        <f>K87-VLOOKUP(L87,'Bag weights'!A$1:B$20,2,FALSE)</f>
        <v>0</v>
      </c>
      <c r="O87" s="122"/>
      <c r="P87">
        <f>N87-VLOOKUP(O87,'Bag weights'!A$1:B$20,2,FALSE)</f>
        <v>0</v>
      </c>
      <c r="S87">
        <f>Q87-VLOOKUP(R87,'Bag weights'!A$1:B$20,2,FALSE)</f>
        <v>0</v>
      </c>
      <c r="T87" s="16">
        <v>10.49</v>
      </c>
      <c r="U87" s="16" t="s">
        <v>295</v>
      </c>
      <c r="V87">
        <f>T87-VLOOKUP(U87,'Bag weights'!A$1:B$20,2,FALSE)</f>
        <v>2.66</v>
      </c>
      <c r="Y87">
        <f>W87-VLOOKUP(X87,'Bag weights'!A$1:B$20,2,FALSE)</f>
        <v>0</v>
      </c>
      <c r="Z87" s="16">
        <v>8.02</v>
      </c>
      <c r="AA87" s="16" t="s">
        <v>295</v>
      </c>
      <c r="AB87">
        <f>Z87-VLOOKUP(AA87,'Bag weights'!A$1:B$20,2,FALSE)</f>
        <v>0.1899999999999995</v>
      </c>
      <c r="AC87" s="16">
        <v>18.010000000000002</v>
      </c>
      <c r="AD87" s="16" t="s">
        <v>295</v>
      </c>
      <c r="AE87">
        <f>AC87-VLOOKUP(AD87,'Bag weights'!A$1:B$20,2,FALSE)</f>
        <v>10.180000000000001</v>
      </c>
      <c r="AH87">
        <f>AF87-VLOOKUP(AG87,'Bag weights'!A$1:B$20,2,FALSE)</f>
        <v>0</v>
      </c>
      <c r="AI87" s="16">
        <v>13.95</v>
      </c>
      <c r="AJ87" s="16" t="s">
        <v>295</v>
      </c>
      <c r="AK87">
        <f>AI87-VLOOKUP(AJ87,'Bag weights'!A$1:B$20,2,FALSE)</f>
        <v>6.1199999999999992</v>
      </c>
      <c r="AL87" s="16">
        <v>67.94</v>
      </c>
      <c r="AM87" s="16" t="s">
        <v>276</v>
      </c>
      <c r="AN87">
        <f>AL87-VLOOKUP(AM87,'Bag weights'!A$1:B$20,2,FALSE)</f>
        <v>46.989999999999995</v>
      </c>
      <c r="AO87" s="16">
        <v>5.57</v>
      </c>
      <c r="AQ87">
        <f>AO87-VLOOKUP(AP87,'Bag weights'!A$1:B$20,2,FALSE)</f>
        <v>5.57</v>
      </c>
      <c r="AT87">
        <f>AR87-VLOOKUP(AS87,'Bag weights'!A$1:B$20,2,FALSE)</f>
        <v>0</v>
      </c>
      <c r="AU87" s="16">
        <v>0.69</v>
      </c>
      <c r="AW87">
        <f>AU87-VLOOKUP(AV87,'Bag weights'!A$1:B$20,2,FALSE)</f>
        <v>0.69</v>
      </c>
      <c r="AX87">
        <f t="shared" si="0"/>
        <v>71.97</v>
      </c>
    </row>
    <row r="88" spans="1:50">
      <c r="A88" s="87"/>
      <c r="B88" s="87"/>
      <c r="C88" s="87">
        <v>4</v>
      </c>
      <c r="D88" s="87" t="s">
        <v>109</v>
      </c>
      <c r="E88" s="2"/>
      <c r="F88" s="2"/>
      <c r="G88" s="2"/>
      <c r="H88" s="16">
        <v>1.87</v>
      </c>
      <c r="J88">
        <f>H88-VLOOKUP(I88,'Bag weights'!A:B,2,FALSE)</f>
        <v>1.87</v>
      </c>
      <c r="M88">
        <f>K88-VLOOKUP(L88,'Bag weights'!A$1:B$20,2,FALSE)</f>
        <v>0</v>
      </c>
      <c r="O88" s="122"/>
      <c r="P88">
        <f>N88-VLOOKUP(O88,'Bag weights'!A$1:B$20,2,FALSE)</f>
        <v>0</v>
      </c>
      <c r="S88">
        <f>Q88-VLOOKUP(R88,'Bag weights'!A$1:B$20,2,FALSE)</f>
        <v>0</v>
      </c>
      <c r="T88" s="16">
        <v>2.4500000000000002</v>
      </c>
      <c r="V88">
        <f>T88-VLOOKUP(U88,'Bag weights'!A$1:B$20,2,FALSE)</f>
        <v>2.4500000000000002</v>
      </c>
      <c r="W88" s="16">
        <v>0.25</v>
      </c>
      <c r="Y88">
        <f>W88-VLOOKUP(X88,'Bag weights'!A$1:B$20,2,FALSE)</f>
        <v>0.25</v>
      </c>
      <c r="Z88" s="16">
        <v>3.98</v>
      </c>
      <c r="AB88">
        <f>Z88-VLOOKUP(AA88,'Bag weights'!A$1:B$20,2,FALSE)</f>
        <v>3.98</v>
      </c>
      <c r="AC88" s="16">
        <v>6.01</v>
      </c>
      <c r="AE88">
        <f>AC88-VLOOKUP(AD88,'Bag weights'!A$1:B$20,2,FALSE)</f>
        <v>6.01</v>
      </c>
      <c r="AF88" s="16">
        <v>0.96</v>
      </c>
      <c r="AH88">
        <f>AF88-VLOOKUP(AG88,'Bag weights'!A$1:B$20,2,FALSE)</f>
        <v>0.96</v>
      </c>
      <c r="AI88" s="16">
        <v>1.91</v>
      </c>
      <c r="AK88">
        <f>AI88-VLOOKUP(AJ88,'Bag weights'!A$1:B$20,2,FALSE)</f>
        <v>1.91</v>
      </c>
      <c r="AL88" s="16">
        <v>52.61</v>
      </c>
      <c r="AN88">
        <f>AL88-VLOOKUP(AM88,'Bag weights'!A$1:B$20,2,FALSE)</f>
        <v>52.61</v>
      </c>
      <c r="AO88" s="16">
        <v>2.81</v>
      </c>
      <c r="AQ88">
        <f>AO88-VLOOKUP(AP88,'Bag weights'!A$1:B$20,2,FALSE)</f>
        <v>2.81</v>
      </c>
      <c r="AT88">
        <f>AR88-VLOOKUP(AS88,'Bag weights'!A$1:B$20,2,FALSE)</f>
        <v>0</v>
      </c>
      <c r="AU88" s="16">
        <v>0.28999999999999998</v>
      </c>
      <c r="AW88">
        <f>AU88-VLOOKUP(AV88,'Bag weights'!A$1:B$20,2,FALSE)</f>
        <v>0.28999999999999998</v>
      </c>
      <c r="AX88">
        <f t="shared" si="0"/>
        <v>72.850000000000009</v>
      </c>
    </row>
    <row r="89" spans="1:50">
      <c r="A89" s="87"/>
      <c r="B89" s="87"/>
      <c r="C89" s="87">
        <v>4</v>
      </c>
      <c r="D89" s="87" t="s">
        <v>87</v>
      </c>
      <c r="E89" s="2"/>
      <c r="F89" s="2"/>
      <c r="G89" s="2"/>
      <c r="H89" s="16">
        <v>13.82</v>
      </c>
      <c r="I89" s="16" t="s">
        <v>295</v>
      </c>
      <c r="J89">
        <f>H89-VLOOKUP(I89,'Bag weights'!A:B,2,FALSE)</f>
        <v>5.99</v>
      </c>
      <c r="M89">
        <f>K89-VLOOKUP(L89,'Bag weights'!A$1:B$20,2,FALSE)</f>
        <v>0</v>
      </c>
      <c r="O89" s="122"/>
      <c r="P89">
        <f>N89-VLOOKUP(O89,'Bag weights'!A$1:B$20,2,FALSE)</f>
        <v>0</v>
      </c>
      <c r="S89">
        <f>Q89-VLOOKUP(R89,'Bag weights'!A$1:B$20,2,FALSE)</f>
        <v>0</v>
      </c>
      <c r="T89" s="16">
        <v>10.35</v>
      </c>
      <c r="U89" s="16" t="s">
        <v>295</v>
      </c>
      <c r="V89">
        <f>T89-VLOOKUP(U89,'Bag weights'!A$1:B$20,2,FALSE)</f>
        <v>2.5199999999999996</v>
      </c>
      <c r="W89" s="16">
        <v>0.1</v>
      </c>
      <c r="Y89">
        <f>W89-VLOOKUP(X89,'Bag weights'!A$1:B$20,2,FALSE)</f>
        <v>0.1</v>
      </c>
      <c r="Z89" s="16">
        <v>22.23</v>
      </c>
      <c r="AA89" s="16" t="s">
        <v>276</v>
      </c>
      <c r="AB89">
        <f>Z89-VLOOKUP(AA89,'Bag weights'!A$1:B$20,2,FALSE)</f>
        <v>1.2800000000000011</v>
      </c>
      <c r="AC89" s="16">
        <v>28.81</v>
      </c>
      <c r="AD89" s="16" t="s">
        <v>276</v>
      </c>
      <c r="AE89">
        <f>AC89-VLOOKUP(AD89,'Bag weights'!A$1:B$20,2,FALSE)</f>
        <v>7.8599999999999994</v>
      </c>
      <c r="AF89" s="16">
        <v>0.7</v>
      </c>
      <c r="AH89">
        <f>AF89-VLOOKUP(AG89,'Bag weights'!A$1:B$20,2,FALSE)</f>
        <v>0.7</v>
      </c>
      <c r="AI89" s="16">
        <v>9.92</v>
      </c>
      <c r="AJ89" s="16" t="s">
        <v>295</v>
      </c>
      <c r="AK89">
        <f>AI89-VLOOKUP(AJ89,'Bag weights'!A$1:B$20,2,FALSE)</f>
        <v>2.09</v>
      </c>
      <c r="AL89" s="16">
        <v>58.25</v>
      </c>
      <c r="AM89" s="16" t="s">
        <v>276</v>
      </c>
      <c r="AN89">
        <f>AL89-VLOOKUP(AM89,'Bag weights'!A$1:B$20,2,FALSE)</f>
        <v>37.299999999999997</v>
      </c>
      <c r="AO89" s="16">
        <v>4.32</v>
      </c>
      <c r="AQ89">
        <f>AO89-VLOOKUP(AP89,'Bag weights'!A$1:B$20,2,FALSE)</f>
        <v>4.32</v>
      </c>
      <c r="AT89">
        <f>AR89-VLOOKUP(AS89,'Bag weights'!A$1:B$20,2,FALSE)</f>
        <v>0</v>
      </c>
      <c r="AU89" s="16">
        <v>0.64</v>
      </c>
      <c r="AW89">
        <f>AU89-VLOOKUP(AV89,'Bag weights'!A$1:B$20,2,FALSE)</f>
        <v>0.64</v>
      </c>
      <c r="AX89">
        <f t="shared" si="0"/>
        <v>62.160000000000004</v>
      </c>
    </row>
    <row r="90" spans="1:50">
      <c r="A90" s="87"/>
      <c r="B90" s="87"/>
      <c r="C90" s="87">
        <v>4</v>
      </c>
      <c r="D90" s="87" t="s">
        <v>79</v>
      </c>
      <c r="E90" s="2"/>
      <c r="F90" s="2"/>
      <c r="G90" s="2"/>
      <c r="H90" s="16">
        <v>0.88</v>
      </c>
      <c r="J90">
        <f>H90-VLOOKUP(I90,'Bag weights'!A:B,2,FALSE)</f>
        <v>0.88</v>
      </c>
      <c r="M90">
        <f>K90-VLOOKUP(L90,'Bag weights'!A$1:B$20,2,FALSE)</f>
        <v>0</v>
      </c>
      <c r="O90" s="122"/>
      <c r="P90">
        <f>N90-VLOOKUP(O90,'Bag weights'!A$1:B$20,2,FALSE)</f>
        <v>0</v>
      </c>
      <c r="S90">
        <f>Q90-VLOOKUP(R90,'Bag weights'!A$1:B$20,2,FALSE)</f>
        <v>0</v>
      </c>
      <c r="T90" s="16">
        <v>13.56</v>
      </c>
      <c r="U90" s="16" t="s">
        <v>295</v>
      </c>
      <c r="V90">
        <f>T90-VLOOKUP(U90,'Bag weights'!A$1:B$20,2,FALSE)</f>
        <v>5.73</v>
      </c>
      <c r="W90" s="16">
        <v>0.01</v>
      </c>
      <c r="Y90">
        <f>W90-VLOOKUP(X90,'Bag weights'!A$1:B$20,2,FALSE)</f>
        <v>0.01</v>
      </c>
      <c r="Z90" s="16">
        <v>1.02</v>
      </c>
      <c r="AB90">
        <f>Z90-VLOOKUP(AA90,'Bag weights'!A$1:B$20,2,FALSE)</f>
        <v>1.02</v>
      </c>
      <c r="AC90" s="16">
        <v>38.979999999999997</v>
      </c>
      <c r="AD90" s="16" t="s">
        <v>276</v>
      </c>
      <c r="AE90">
        <f>AC90-VLOOKUP(AD90,'Bag weights'!A$1:B$20,2,FALSE)</f>
        <v>18.029999999999998</v>
      </c>
      <c r="AF90" s="16">
        <v>0.36</v>
      </c>
      <c r="AH90">
        <f>AF90-VLOOKUP(AG90,'Bag weights'!A$1:B$20,2,FALSE)</f>
        <v>0.36</v>
      </c>
      <c r="AI90" s="16">
        <v>15.79</v>
      </c>
      <c r="AJ90" s="16" t="s">
        <v>295</v>
      </c>
      <c r="AK90">
        <f>AI90-VLOOKUP(AJ90,'Bag weights'!A$1:B$20,2,FALSE)</f>
        <v>7.9599999999999991</v>
      </c>
      <c r="AL90" s="16">
        <v>51.52</v>
      </c>
      <c r="AM90" s="16" t="s">
        <v>276</v>
      </c>
      <c r="AN90">
        <f>AL90-VLOOKUP(AM90,'Bag weights'!A$1:B$20,2,FALSE)</f>
        <v>30.570000000000004</v>
      </c>
      <c r="AO90" s="16">
        <v>3.5</v>
      </c>
      <c r="AQ90">
        <f>AO90-VLOOKUP(AP90,'Bag weights'!A$1:B$20,2,FALSE)</f>
        <v>3.5</v>
      </c>
      <c r="AT90">
        <f>AR90-VLOOKUP(AS90,'Bag weights'!A$1:B$20,2,FALSE)</f>
        <v>0</v>
      </c>
      <c r="AW90">
        <f>AU90-VLOOKUP(AV90,'Bag weights'!A$1:B$20,2,FALSE)</f>
        <v>0</v>
      </c>
      <c r="AX90">
        <f t="shared" si="0"/>
        <v>68.06</v>
      </c>
    </row>
    <row r="91" spans="1:50">
      <c r="A91" s="87" t="s">
        <v>106</v>
      </c>
      <c r="B91" s="87" t="s">
        <v>110</v>
      </c>
      <c r="C91" s="87">
        <v>1</v>
      </c>
      <c r="D91" s="87" t="s">
        <v>83</v>
      </c>
      <c r="E91" s="2"/>
      <c r="F91" s="2"/>
      <c r="G91" s="2"/>
      <c r="H91" s="16">
        <v>9.35</v>
      </c>
      <c r="J91">
        <f>H91-VLOOKUP(I91,'Bag weights'!A:B,2,FALSE)</f>
        <v>9.35</v>
      </c>
      <c r="M91">
        <f>K91-VLOOKUP(L91,'Bag weights'!A$1:B$20,2,FALSE)</f>
        <v>0</v>
      </c>
      <c r="O91" s="122"/>
      <c r="P91">
        <f>N91-VLOOKUP(O91,'Bag weights'!A$1:B$20,2,FALSE)</f>
        <v>0</v>
      </c>
      <c r="S91">
        <f>Q91-VLOOKUP(R91,'Bag weights'!A$1:B$20,2,FALSE)</f>
        <v>0</v>
      </c>
      <c r="T91" s="16">
        <v>12.6</v>
      </c>
      <c r="U91" s="16" t="s">
        <v>295</v>
      </c>
      <c r="V91">
        <f>T91-VLOOKUP(U91,'Bag weights'!A$1:B$20,2,FALSE)</f>
        <v>4.7699999999999996</v>
      </c>
      <c r="Y91">
        <f>W91-VLOOKUP(X91,'Bag weights'!A$1:B$20,2,FALSE)</f>
        <v>0</v>
      </c>
      <c r="Z91" s="16">
        <v>10.24</v>
      </c>
      <c r="AA91" s="16" t="s">
        <v>295</v>
      </c>
      <c r="AB91">
        <f>Z91-VLOOKUP(AA91,'Bag weights'!A$1:B$20,2,FALSE)</f>
        <v>2.41</v>
      </c>
      <c r="AC91" s="16">
        <v>8.2899999999999991</v>
      </c>
      <c r="AD91" s="16" t="s">
        <v>295</v>
      </c>
      <c r="AE91">
        <f>AC91-VLOOKUP(AD91,'Bag weights'!A$1:B$20,2,FALSE)</f>
        <v>0.45999999999999908</v>
      </c>
      <c r="AH91">
        <f>AF91-VLOOKUP(AG91,'Bag weights'!A$1:B$20,2,FALSE)</f>
        <v>0</v>
      </c>
      <c r="AI91" s="16">
        <v>12.32</v>
      </c>
      <c r="AJ91" s="16" t="s">
        <v>295</v>
      </c>
      <c r="AK91">
        <f>AI91-VLOOKUP(AJ91,'Bag weights'!A$1:B$20,2,FALSE)</f>
        <v>4.49</v>
      </c>
      <c r="AL91" s="16">
        <v>43.7</v>
      </c>
      <c r="AM91" s="16" t="s">
        <v>295</v>
      </c>
      <c r="AN91">
        <f>AL91-VLOOKUP(AM91,'Bag weights'!A$1:B$20,2,FALSE)</f>
        <v>35.870000000000005</v>
      </c>
      <c r="AO91" s="16">
        <v>11.55</v>
      </c>
      <c r="AP91" s="16" t="s">
        <v>295</v>
      </c>
      <c r="AQ91">
        <f>AO91-VLOOKUP(AP91,'Bag weights'!A$1:B$20,2,FALSE)</f>
        <v>3.7200000000000006</v>
      </c>
      <c r="AT91">
        <f>AR91-VLOOKUP(AS91,'Bag weights'!A$1:B$20,2,FALSE)</f>
        <v>0</v>
      </c>
      <c r="AU91" s="16">
        <v>1.62</v>
      </c>
      <c r="AV91" s="16" t="s">
        <v>298</v>
      </c>
      <c r="AW91">
        <f>AU91-VLOOKUP(AV91,'Bag weights'!A$1:B$20,2,FALSE)</f>
        <v>0.2200000000000002</v>
      </c>
      <c r="AX91">
        <f t="shared" si="0"/>
        <v>61.07</v>
      </c>
    </row>
    <row r="92" spans="1:50">
      <c r="A92" s="86" t="s">
        <v>335</v>
      </c>
      <c r="B92" s="87"/>
      <c r="C92" s="87">
        <v>1</v>
      </c>
      <c r="D92" s="87" t="s">
        <v>85</v>
      </c>
      <c r="E92" s="2"/>
      <c r="F92" s="2"/>
      <c r="G92" s="2"/>
      <c r="H92" s="16">
        <v>1.46</v>
      </c>
      <c r="J92">
        <f>H92-VLOOKUP(I92,'Bag weights'!A:B,2,FALSE)</f>
        <v>1.46</v>
      </c>
      <c r="M92">
        <f>K92-VLOOKUP(L92,'Bag weights'!A$1:B$20,2,FALSE)</f>
        <v>0</v>
      </c>
      <c r="O92" s="122"/>
      <c r="P92">
        <f>N92-VLOOKUP(O92,'Bag weights'!A$1:B$20,2,FALSE)</f>
        <v>0</v>
      </c>
      <c r="S92">
        <f>Q92-VLOOKUP(R92,'Bag weights'!A$1:B$20,2,FALSE)</f>
        <v>0</v>
      </c>
      <c r="T92" s="16">
        <v>15.8</v>
      </c>
      <c r="U92" s="16" t="s">
        <v>295</v>
      </c>
      <c r="V92">
        <f>T92-VLOOKUP(U92,'Bag weights'!A$1:B$20,2,FALSE)</f>
        <v>7.9700000000000006</v>
      </c>
      <c r="Y92">
        <f>W92-VLOOKUP(X92,'Bag weights'!A$1:B$20,2,FALSE)</f>
        <v>0</v>
      </c>
      <c r="AB92">
        <f>Z92-VLOOKUP(AA92,'Bag weights'!A$1:B$20,2,FALSE)</f>
        <v>0</v>
      </c>
      <c r="AC92" s="16">
        <v>0.1</v>
      </c>
      <c r="AE92">
        <f>AC92-VLOOKUP(AD92,'Bag weights'!A$1:B$20,2,FALSE)</f>
        <v>0.1</v>
      </c>
      <c r="AH92">
        <f>AF92-VLOOKUP(AG92,'Bag weights'!A$1:B$20,2,FALSE)</f>
        <v>0</v>
      </c>
      <c r="AK92">
        <f>AI92-VLOOKUP(AJ92,'Bag weights'!A$1:B$20,2,FALSE)</f>
        <v>0</v>
      </c>
      <c r="AL92" s="16">
        <v>61.4</v>
      </c>
      <c r="AM92" s="16" t="s">
        <v>276</v>
      </c>
      <c r="AN92">
        <f>AL92-VLOOKUP(AM92,'Bag weights'!A$1:B$20,2,FALSE)</f>
        <v>40.450000000000003</v>
      </c>
      <c r="AO92" s="16">
        <v>1.4</v>
      </c>
      <c r="AQ92">
        <f>AO92-VLOOKUP(AP92,'Bag weights'!A$1:B$20,2,FALSE)</f>
        <v>1.4</v>
      </c>
      <c r="AT92">
        <f>AR92-VLOOKUP(AS92,'Bag weights'!A$1:B$20,2,FALSE)</f>
        <v>0</v>
      </c>
      <c r="AU92" s="16">
        <v>4.08</v>
      </c>
      <c r="AW92">
        <f>AU92-VLOOKUP(AV92,'Bag weights'!A$1:B$20,2,FALSE)</f>
        <v>4.08</v>
      </c>
      <c r="AX92">
        <f t="shared" si="0"/>
        <v>51.38</v>
      </c>
    </row>
    <row r="93" spans="1:50">
      <c r="A93" s="87"/>
      <c r="B93" s="87"/>
      <c r="C93" s="87">
        <v>1</v>
      </c>
      <c r="D93" s="86" t="s">
        <v>87</v>
      </c>
      <c r="E93" s="21"/>
      <c r="F93" s="21"/>
      <c r="G93" s="21"/>
      <c r="H93" s="16">
        <v>15.65</v>
      </c>
      <c r="J93">
        <f>H93-VLOOKUP(I93,'Bag weights'!A:B,2,FALSE)</f>
        <v>15.65</v>
      </c>
      <c r="M93">
        <f>K93-VLOOKUP(L93,'Bag weights'!A$1:B$20,2,FALSE)</f>
        <v>0</v>
      </c>
      <c r="O93" s="122"/>
      <c r="P93">
        <f>N93-VLOOKUP(O93,'Bag weights'!A$1:B$20,2,FALSE)</f>
        <v>0</v>
      </c>
      <c r="S93">
        <f>Q93-VLOOKUP(R93,'Bag weights'!A$1:B$20,2,FALSE)</f>
        <v>0</v>
      </c>
      <c r="T93" s="16">
        <v>9.0399999999999991</v>
      </c>
      <c r="U93" s="16" t="s">
        <v>295</v>
      </c>
      <c r="V93">
        <f>T93-VLOOKUP(U93,'Bag weights'!A$1:B$20,2,FALSE)</f>
        <v>1.2099999999999991</v>
      </c>
      <c r="Y93">
        <f>W93-VLOOKUP(X93,'Bag weights'!A$1:B$20,2,FALSE)</f>
        <v>0</v>
      </c>
      <c r="Z93" s="16">
        <v>1.55</v>
      </c>
      <c r="AA93" s="16" t="s">
        <v>298</v>
      </c>
      <c r="AB93">
        <f>Z93-VLOOKUP(AA93,'Bag weights'!A$1:B$20,2,FALSE)</f>
        <v>0.15000000000000013</v>
      </c>
      <c r="AC93" s="16">
        <v>53.41</v>
      </c>
      <c r="AD93" s="16" t="s">
        <v>295</v>
      </c>
      <c r="AE93">
        <f>AC93-VLOOKUP(AD93,'Bag weights'!A$1:B$20,2,FALSE)</f>
        <v>45.58</v>
      </c>
      <c r="AF93" s="16">
        <v>3.15</v>
      </c>
      <c r="AG93" s="16" t="s">
        <v>296</v>
      </c>
      <c r="AH93">
        <f>AF93-VLOOKUP(AG93,'Bag weights'!A$1:B$20,2,FALSE)</f>
        <v>0.6599999999999997</v>
      </c>
      <c r="AI93" s="16"/>
      <c r="AK93">
        <f>AI93-VLOOKUP(AJ93,'Bag weights'!A$1:B$20,2,FALSE)</f>
        <v>0</v>
      </c>
      <c r="AL93" s="16">
        <v>33.15</v>
      </c>
      <c r="AM93" s="16" t="s">
        <v>295</v>
      </c>
      <c r="AN93">
        <f>AL93-VLOOKUP(AM93,'Bag weights'!A$1:B$20,2,FALSE)</f>
        <v>25.32</v>
      </c>
      <c r="AO93" s="16">
        <v>1.49</v>
      </c>
      <c r="AP93" s="16" t="s">
        <v>298</v>
      </c>
      <c r="AQ93">
        <f>AO93-VLOOKUP(AP93,'Bag weights'!A$1:B$20,2,FALSE)</f>
        <v>9.000000000000008E-2</v>
      </c>
      <c r="AT93">
        <f>AR93-VLOOKUP(AS93,'Bag weights'!A$1:B$20,2,FALSE)</f>
        <v>0</v>
      </c>
      <c r="AU93" s="16">
        <v>2.82</v>
      </c>
      <c r="AV93" s="16" t="s">
        <v>298</v>
      </c>
      <c r="AW93">
        <f>AU93-VLOOKUP(AV93,'Bag weights'!A$1:B$20,2,FALSE)</f>
        <v>1.42</v>
      </c>
      <c r="AX93">
        <f t="shared" si="0"/>
        <v>88.660000000000011</v>
      </c>
    </row>
    <row r="94" spans="1:50">
      <c r="A94" s="86" t="s">
        <v>336</v>
      </c>
      <c r="B94" s="87"/>
      <c r="C94" s="86">
        <v>1</v>
      </c>
      <c r="D94" s="86" t="s">
        <v>87</v>
      </c>
      <c r="E94" s="21"/>
      <c r="F94" s="21"/>
      <c r="G94" s="21"/>
      <c r="J94">
        <f>H94-VLOOKUP(I94,'Bag weights'!A:B,2,FALSE)</f>
        <v>0</v>
      </c>
      <c r="M94">
        <f>K94-VLOOKUP(L94,'Bag weights'!A$1:B$20,2,FALSE)</f>
        <v>0</v>
      </c>
      <c r="O94" s="122"/>
      <c r="P94">
        <f>N94-VLOOKUP(O94,'Bag weights'!A$1:B$20,2,FALSE)</f>
        <v>0</v>
      </c>
      <c r="S94">
        <f>Q94-VLOOKUP(R94,'Bag weights'!A$1:B$20,2,FALSE)</f>
        <v>0</v>
      </c>
      <c r="T94" s="16">
        <v>27.97</v>
      </c>
      <c r="U94" s="16" t="s">
        <v>294</v>
      </c>
      <c r="V94">
        <f>T94-VLOOKUP(U94,'Bag weights'!A$1:B$20,2,FALSE)</f>
        <v>13.589999999999998</v>
      </c>
      <c r="Y94">
        <f>W94-VLOOKUP(X94,'Bag weights'!A$1:B$20,2,FALSE)</f>
        <v>0</v>
      </c>
      <c r="Z94" s="16">
        <v>0.92</v>
      </c>
      <c r="AB94">
        <f>Z94-VLOOKUP(AA94,'Bag weights'!A$1:B$20,2,FALSE)</f>
        <v>0.92</v>
      </c>
      <c r="AC94" s="16">
        <v>1.66</v>
      </c>
      <c r="AE94">
        <f>AC94-VLOOKUP(AD94,'Bag weights'!A$1:B$20,2,FALSE)</f>
        <v>1.66</v>
      </c>
      <c r="AH94">
        <f>AF94-VLOOKUP(AG94,'Bag weights'!A$1:B$20,2,FALSE)</f>
        <v>0</v>
      </c>
      <c r="AI94" s="16"/>
      <c r="AK94">
        <f>AI94-VLOOKUP(AJ94,'Bag weights'!A$1:B$20,2,FALSE)</f>
        <v>0</v>
      </c>
      <c r="AL94" s="16"/>
      <c r="AM94" s="16"/>
      <c r="AN94">
        <f>AL94-VLOOKUP(AM94,'Bag weights'!A$1:B$20,2,FALSE)</f>
        <v>0</v>
      </c>
      <c r="AQ94">
        <f>AO94-VLOOKUP(AP94,'Bag weights'!A$1:B$20,2,FALSE)</f>
        <v>0</v>
      </c>
      <c r="AT94">
        <f>AR94-VLOOKUP(AS94,'Bag weights'!A$1:B$20,2,FALSE)</f>
        <v>0</v>
      </c>
      <c r="AW94">
        <f>AU94-VLOOKUP(AV94,'Bag weights'!A$1:B$20,2,FALSE)</f>
        <v>0</v>
      </c>
      <c r="AX94">
        <f t="shared" si="0"/>
        <v>16.169999999999998</v>
      </c>
    </row>
    <row r="95" spans="1:50">
      <c r="A95" s="87"/>
      <c r="B95" s="87"/>
      <c r="C95" s="87">
        <v>1</v>
      </c>
      <c r="D95" s="86" t="s">
        <v>79</v>
      </c>
      <c r="E95" s="21"/>
      <c r="F95" s="21"/>
      <c r="G95" s="21"/>
      <c r="J95">
        <f>H95-VLOOKUP(I95,'Bag weights'!A:B,2,FALSE)</f>
        <v>0</v>
      </c>
      <c r="M95">
        <f>K95-VLOOKUP(L95,'Bag weights'!A$1:B$20,2,FALSE)</f>
        <v>0</v>
      </c>
      <c r="O95" s="122"/>
      <c r="P95">
        <f>N95-VLOOKUP(O95,'Bag weights'!A$1:B$20,2,FALSE)</f>
        <v>0</v>
      </c>
      <c r="S95">
        <f>Q95-VLOOKUP(R95,'Bag weights'!A$1:B$20,2,FALSE)</f>
        <v>0</v>
      </c>
      <c r="T95" s="16">
        <v>21.82</v>
      </c>
      <c r="U95" s="16" t="s">
        <v>295</v>
      </c>
      <c r="V95">
        <f>T95-VLOOKUP(U95,'Bag weights'!A$1:B$20,2,FALSE)</f>
        <v>13.99</v>
      </c>
      <c r="Y95">
        <f>W95-VLOOKUP(X95,'Bag weights'!A$1:B$20,2,FALSE)</f>
        <v>0</v>
      </c>
      <c r="AB95">
        <f>Z95-VLOOKUP(AA95,'Bag weights'!A$1:B$20,2,FALSE)</f>
        <v>0</v>
      </c>
      <c r="AC95" s="16">
        <v>11.48</v>
      </c>
      <c r="AD95" s="16" t="s">
        <v>295</v>
      </c>
      <c r="AE95">
        <f>AC95-VLOOKUP(AD95,'Bag weights'!A$1:B$20,2,FALSE)</f>
        <v>3.6500000000000004</v>
      </c>
      <c r="AH95">
        <f>AF95-VLOOKUP(AG95,'Bag weights'!A$1:B$20,2,FALSE)</f>
        <v>0</v>
      </c>
      <c r="AI95" s="16">
        <v>0.52</v>
      </c>
      <c r="AK95">
        <f>AI95-VLOOKUP(AJ95,'Bag weights'!A$1:B$20,2,FALSE)</f>
        <v>0.52</v>
      </c>
      <c r="AL95" s="16">
        <v>37.07</v>
      </c>
      <c r="AM95" s="16" t="s">
        <v>295</v>
      </c>
      <c r="AN95">
        <f>AL95-VLOOKUP(AM95,'Bag weights'!A$1:B$20,2,FALSE)</f>
        <v>29.240000000000002</v>
      </c>
      <c r="AO95" s="16">
        <v>0.83</v>
      </c>
      <c r="AQ95">
        <f>AO95-VLOOKUP(AP95,'Bag weights'!A$1:B$20,2,FALSE)</f>
        <v>0.83</v>
      </c>
      <c r="AT95">
        <f>AR95-VLOOKUP(AS95,'Bag weights'!A$1:B$20,2,FALSE)</f>
        <v>0</v>
      </c>
      <c r="AU95" s="16">
        <v>3.09</v>
      </c>
      <c r="AW95">
        <f>AU95-VLOOKUP(AV95,'Bag weights'!A$1:B$20,2,FALSE)</f>
        <v>3.09</v>
      </c>
      <c r="AX95">
        <f t="shared" si="0"/>
        <v>48.230000000000004</v>
      </c>
    </row>
    <row r="96" spans="1:50">
      <c r="A96" s="87"/>
      <c r="B96" s="87"/>
      <c r="C96" s="87">
        <v>1</v>
      </c>
      <c r="D96" s="86" t="s">
        <v>88</v>
      </c>
      <c r="E96" s="21"/>
      <c r="F96" s="21"/>
      <c r="G96" s="21"/>
      <c r="J96">
        <f>H96-VLOOKUP(I96,'Bag weights'!A:B,2,FALSE)</f>
        <v>0</v>
      </c>
      <c r="M96">
        <f>K96-VLOOKUP(L96,'Bag weights'!A$1:B$20,2,FALSE)</f>
        <v>0</v>
      </c>
      <c r="O96" s="122"/>
      <c r="P96">
        <f>N96-VLOOKUP(O96,'Bag weights'!A$1:B$20,2,FALSE)</f>
        <v>0</v>
      </c>
      <c r="S96">
        <f>Q96-VLOOKUP(R96,'Bag weights'!A$1:B$20,2,FALSE)</f>
        <v>0</v>
      </c>
      <c r="T96" s="16">
        <v>15.85</v>
      </c>
      <c r="U96" s="16" t="s">
        <v>295</v>
      </c>
      <c r="V96">
        <f>T96-VLOOKUP(U96,'Bag weights'!A$1:B$20,2,FALSE)</f>
        <v>8.02</v>
      </c>
      <c r="Y96">
        <f>W96-VLOOKUP(X96,'Bag weights'!A$1:B$20,2,FALSE)</f>
        <v>0</v>
      </c>
      <c r="AB96">
        <f>Z96-VLOOKUP(AA96,'Bag weights'!A$1:B$20,2,FALSE)</f>
        <v>0</v>
      </c>
      <c r="AE96">
        <f>AC96-VLOOKUP(AD96,'Bag weights'!A$1:B$20,2,FALSE)</f>
        <v>0</v>
      </c>
      <c r="AH96">
        <f>AF96-VLOOKUP(AG96,'Bag weights'!A$1:B$20,2,FALSE)</f>
        <v>0</v>
      </c>
      <c r="AK96">
        <f>AI96-VLOOKUP(AJ96,'Bag weights'!A$1:B$20,2,FALSE)</f>
        <v>0</v>
      </c>
      <c r="AL96" s="16">
        <v>78.28</v>
      </c>
      <c r="AM96" s="16" t="s">
        <v>276</v>
      </c>
      <c r="AN96">
        <f>AL96-VLOOKUP(AM96,'Bag weights'!A$1:B$20,2,FALSE)</f>
        <v>57.33</v>
      </c>
      <c r="AO96" s="16">
        <v>3</v>
      </c>
      <c r="AP96" s="16" t="s">
        <v>298</v>
      </c>
      <c r="AQ96">
        <f>AO96-VLOOKUP(AP96,'Bag weights'!A$1:B$20,2,FALSE)</f>
        <v>1.6</v>
      </c>
      <c r="AT96">
        <f>AR96-VLOOKUP(AS96,'Bag weights'!A$1:B$20,2,FALSE)</f>
        <v>0</v>
      </c>
      <c r="AU96" s="16">
        <v>4.6500000000000004</v>
      </c>
      <c r="AV96" s="16" t="s">
        <v>296</v>
      </c>
      <c r="AW96">
        <f>AU96-VLOOKUP(AV96,'Bag weights'!A$1:B$20,2,FALSE)</f>
        <v>2.16</v>
      </c>
      <c r="AX96">
        <f t="shared" si="0"/>
        <v>66.95</v>
      </c>
    </row>
    <row r="97" spans="1:50">
      <c r="A97" s="87"/>
      <c r="B97" s="87"/>
      <c r="C97" s="87">
        <v>2</v>
      </c>
      <c r="D97" s="87" t="s">
        <v>83</v>
      </c>
      <c r="E97" s="2"/>
      <c r="F97" s="2"/>
      <c r="G97" s="2"/>
      <c r="H97" s="16" t="s">
        <v>339</v>
      </c>
      <c r="I97" s="16"/>
      <c r="J97" t="e">
        <f>H97-VLOOKUP(I97,'Bag weights'!A:B,2,FALSE)</f>
        <v>#VALUE!</v>
      </c>
      <c r="M97">
        <f>K97-VLOOKUP(L97,'Bag weights'!A$1:B$20,2,FALSE)</f>
        <v>0</v>
      </c>
      <c r="O97" s="122"/>
      <c r="P97">
        <f>N97-VLOOKUP(O97,'Bag weights'!A$1:B$20,2,FALSE)</f>
        <v>0</v>
      </c>
      <c r="S97">
        <f>Q97-VLOOKUP(R97,'Bag weights'!A$1:B$20,2,FALSE)</f>
        <v>0</v>
      </c>
      <c r="V97">
        <f>T97-VLOOKUP(U97,'Bag weights'!A$1:B$20,2,FALSE)</f>
        <v>0</v>
      </c>
      <c r="Y97">
        <f>W97-VLOOKUP(X97,'Bag weights'!A$1:B$20,2,FALSE)</f>
        <v>0</v>
      </c>
      <c r="Z97" s="16" t="s">
        <v>340</v>
      </c>
      <c r="AA97" s="16"/>
      <c r="AB97" t="e">
        <f>Z97-VLOOKUP(AA97,'Bag weights'!A$1:B$20,2,FALSE)</f>
        <v>#VALUE!</v>
      </c>
      <c r="AC97" s="144">
        <v>11.35</v>
      </c>
      <c r="AD97" s="144" t="s">
        <v>295</v>
      </c>
      <c r="AE97" s="145">
        <f>AC97-VLOOKUP(AD97,'Bag weights'!A$1:B$20,2,FALSE)</f>
        <v>3.5199999999999996</v>
      </c>
      <c r="AH97">
        <f>AF97-VLOOKUP(AG97,'Bag weights'!A$1:B$20,2,FALSE)</f>
        <v>0</v>
      </c>
      <c r="AK97">
        <f>AI97-VLOOKUP(AJ97,'Bag weights'!A$1:B$20,2,FALSE)</f>
        <v>0</v>
      </c>
      <c r="AN97">
        <f>AL97-VLOOKUP(AM97,'Bag weights'!A$1:B$20,2,FALSE)</f>
        <v>0</v>
      </c>
      <c r="AQ97">
        <f>AO97-VLOOKUP(AP97,'Bag weights'!A$1:B$20,2,FALSE)</f>
        <v>0</v>
      </c>
      <c r="AT97">
        <f>AR97-VLOOKUP(AS97,'Bag weights'!A$1:B$20,2,FALSE)</f>
        <v>0</v>
      </c>
      <c r="AW97">
        <f>AU97-VLOOKUP(AV97,'Bag weights'!A$1:B$20,2,FALSE)</f>
        <v>0</v>
      </c>
      <c r="AX97" t="e">
        <f t="shared" si="0"/>
        <v>#VALUE!</v>
      </c>
    </row>
    <row r="98" spans="1:50">
      <c r="A98" s="87"/>
      <c r="B98" s="87"/>
      <c r="C98" s="87">
        <v>2</v>
      </c>
      <c r="D98" s="87" t="s">
        <v>85</v>
      </c>
      <c r="E98" s="2"/>
      <c r="F98" s="2"/>
      <c r="G98" s="2"/>
      <c r="J98">
        <f>H98-VLOOKUP(I98,'Bag weights'!A:B,2,FALSE)</f>
        <v>0</v>
      </c>
      <c r="M98">
        <f>K98-VLOOKUP(L98,'Bag weights'!A$1:B$20,2,FALSE)</f>
        <v>0</v>
      </c>
      <c r="O98" s="122"/>
      <c r="P98">
        <f>N98-VLOOKUP(O98,'Bag weights'!A$1:B$20,2,FALSE)</f>
        <v>0</v>
      </c>
      <c r="S98">
        <f>Q98-VLOOKUP(R98,'Bag weights'!A$1:B$20,2,FALSE)</f>
        <v>0</v>
      </c>
      <c r="T98" s="16">
        <v>10.91</v>
      </c>
      <c r="U98" s="16" t="s">
        <v>295</v>
      </c>
      <c r="V98">
        <f>T98-VLOOKUP(U98,'Bag weights'!A$1:B$20,2,FALSE)</f>
        <v>3.08</v>
      </c>
      <c r="Y98">
        <f>W98-VLOOKUP(X98,'Bag weights'!A$1:B$20,2,FALSE)</f>
        <v>0</v>
      </c>
      <c r="AB98">
        <f>Z98-VLOOKUP(AA98,'Bag weights'!A$1:B$20,2,FALSE)</f>
        <v>0</v>
      </c>
      <c r="AC98" s="16">
        <v>15.3</v>
      </c>
      <c r="AD98" s="16" t="s">
        <v>295</v>
      </c>
      <c r="AE98">
        <f>AC98-VLOOKUP(AD98,'Bag weights'!A$1:B$20,2,FALSE)</f>
        <v>7.4700000000000006</v>
      </c>
      <c r="AF98" s="16">
        <v>3.07</v>
      </c>
      <c r="AG98" s="16" t="s">
        <v>296</v>
      </c>
      <c r="AH98">
        <f>AF98-VLOOKUP(AG98,'Bag weights'!A$1:B$20,2,FALSE)</f>
        <v>0.57999999999999963</v>
      </c>
      <c r="AI98" s="16">
        <v>18.84</v>
      </c>
      <c r="AJ98" s="16" t="s">
        <v>295</v>
      </c>
      <c r="AK98">
        <f>AI98-VLOOKUP(AJ98,'Bag weights'!A$1:B$20,2,FALSE)</f>
        <v>11.01</v>
      </c>
      <c r="AL98" s="16">
        <v>65.22</v>
      </c>
      <c r="AM98" s="16" t="s">
        <v>276</v>
      </c>
      <c r="AN98">
        <f>AL98-VLOOKUP(AM98,'Bag weights'!A$1:B$20,2,FALSE)</f>
        <v>44.269999999999996</v>
      </c>
      <c r="AQ98">
        <f>AO98-VLOOKUP(AP98,'Bag weights'!A$1:B$20,2,FALSE)</f>
        <v>0</v>
      </c>
      <c r="AT98">
        <f>AR98-VLOOKUP(AS98,'Bag weights'!A$1:B$20,2,FALSE)</f>
        <v>0</v>
      </c>
      <c r="AU98" s="16">
        <v>3.14</v>
      </c>
      <c r="AV98" s="16" t="s">
        <v>296</v>
      </c>
      <c r="AW98">
        <f>AU98-VLOOKUP(AV98,'Bag weights'!A$1:B$20,2,FALSE)</f>
        <v>0.64999999999999991</v>
      </c>
      <c r="AX98">
        <f t="shared" si="0"/>
        <v>66.41</v>
      </c>
    </row>
    <row r="99" spans="1:50">
      <c r="A99" s="87"/>
      <c r="B99" s="87"/>
      <c r="C99" s="87">
        <v>2</v>
      </c>
      <c r="D99" s="87" t="s">
        <v>87</v>
      </c>
      <c r="E99" s="2"/>
      <c r="F99" s="2"/>
      <c r="G99" s="2"/>
      <c r="J99">
        <f>H99-VLOOKUP(I99,'Bag weights'!A:B,2,FALSE)</f>
        <v>0</v>
      </c>
      <c r="M99">
        <f>K99-VLOOKUP(L99,'Bag weights'!A$1:B$20,2,FALSE)</f>
        <v>0</v>
      </c>
      <c r="O99" s="122"/>
      <c r="P99">
        <f>N99-VLOOKUP(O99,'Bag weights'!A$1:B$20,2,FALSE)</f>
        <v>0</v>
      </c>
      <c r="S99">
        <f>Q99-VLOOKUP(R99,'Bag weights'!A$1:B$20,2,FALSE)</f>
        <v>0</v>
      </c>
      <c r="T99" s="16">
        <v>12.6</v>
      </c>
      <c r="U99" s="16" t="s">
        <v>295</v>
      </c>
      <c r="V99">
        <f>T99-VLOOKUP(U99,'Bag weights'!A$1:B$20,2,FALSE)</f>
        <v>4.7699999999999996</v>
      </c>
      <c r="Y99">
        <f>W99-VLOOKUP(X99,'Bag weights'!A$1:B$20,2,FALSE)</f>
        <v>0</v>
      </c>
      <c r="Z99" s="16">
        <v>1.87</v>
      </c>
      <c r="AA99" s="16" t="s">
        <v>298</v>
      </c>
      <c r="AB99">
        <f>Z99-VLOOKUP(AA99,'Bag weights'!A$1:B$20,2,FALSE)</f>
        <v>0.4700000000000002</v>
      </c>
      <c r="AC99" s="16">
        <v>25.32</v>
      </c>
      <c r="AD99" s="16" t="s">
        <v>295</v>
      </c>
      <c r="AE99">
        <f>AC99-VLOOKUP(AD99,'Bag weights'!A$1:B$20,2,FALSE)</f>
        <v>17.490000000000002</v>
      </c>
      <c r="AH99">
        <f>AF99-VLOOKUP(AG99,'Bag weights'!A$1:B$20,2,FALSE)</f>
        <v>0</v>
      </c>
      <c r="AI99" s="16">
        <v>15.25</v>
      </c>
      <c r="AJ99" s="16" t="s">
        <v>295</v>
      </c>
      <c r="AK99">
        <f>AI99-VLOOKUP(AJ99,'Bag weights'!A$1:B$20,2,FALSE)</f>
        <v>7.42</v>
      </c>
      <c r="AL99" s="16">
        <v>58.96</v>
      </c>
      <c r="AM99" s="16" t="s">
        <v>276</v>
      </c>
      <c r="AN99">
        <f>AL99-VLOOKUP(AM99,'Bag weights'!A$1:B$20,2,FALSE)</f>
        <v>38.010000000000005</v>
      </c>
      <c r="AO99" s="16">
        <v>5.26</v>
      </c>
      <c r="AP99" s="16" t="s">
        <v>296</v>
      </c>
      <c r="AQ99">
        <f>AO99-VLOOKUP(AP99,'Bag weights'!A$1:B$20,2,FALSE)</f>
        <v>2.7699999999999996</v>
      </c>
      <c r="AT99">
        <f>AR99-VLOOKUP(AS99,'Bag weights'!A$1:B$20,2,FALSE)</f>
        <v>0</v>
      </c>
      <c r="AU99" s="16">
        <v>8.81</v>
      </c>
      <c r="AV99" s="16" t="s">
        <v>296</v>
      </c>
      <c r="AW99">
        <f>AU99-VLOOKUP(AV99,'Bag weights'!A$1:B$20,2,FALSE)</f>
        <v>6.32</v>
      </c>
      <c r="AX99">
        <f t="shared" si="0"/>
        <v>70.929999999999993</v>
      </c>
    </row>
    <row r="100" spans="1:50">
      <c r="A100" s="87"/>
      <c r="B100" s="87"/>
      <c r="C100" s="87">
        <v>2</v>
      </c>
      <c r="D100" s="87" t="s">
        <v>79</v>
      </c>
      <c r="E100" s="2"/>
      <c r="F100" s="2"/>
      <c r="G100" s="2"/>
      <c r="H100" s="16">
        <v>4.5</v>
      </c>
      <c r="J100">
        <f>H100-VLOOKUP(I100,'Bag weights'!A:B,2,FALSE)</f>
        <v>4.5</v>
      </c>
      <c r="M100">
        <f>K100-VLOOKUP(L100,'Bag weights'!A$1:B$20,2,FALSE)</f>
        <v>0</v>
      </c>
      <c r="O100" s="122"/>
      <c r="P100">
        <f>N100-VLOOKUP(O100,'Bag weights'!A$1:B$20,2,FALSE)</f>
        <v>0</v>
      </c>
      <c r="S100">
        <f>Q100-VLOOKUP(R100,'Bag weights'!A$1:B$20,2,FALSE)</f>
        <v>0</v>
      </c>
      <c r="T100" s="16">
        <v>13.65</v>
      </c>
      <c r="U100" s="16" t="s">
        <v>295</v>
      </c>
      <c r="V100">
        <f>T100-VLOOKUP(U100,'Bag weights'!A$1:B$20,2,FALSE)</f>
        <v>5.82</v>
      </c>
      <c r="Y100">
        <f>W100-VLOOKUP(X100,'Bag weights'!A$1:B$20,2,FALSE)</f>
        <v>0</v>
      </c>
      <c r="AB100">
        <f>Z100-VLOOKUP(AA100,'Bag weights'!A$1:B$20,2,FALSE)</f>
        <v>0</v>
      </c>
      <c r="AC100" s="16">
        <v>15.88</v>
      </c>
      <c r="AD100" s="16" t="s">
        <v>295</v>
      </c>
      <c r="AE100">
        <f>AC100-VLOOKUP(AD100,'Bag weights'!A$1:B$20,2,FALSE)</f>
        <v>8.0500000000000007</v>
      </c>
      <c r="AF100" s="16">
        <v>1.73</v>
      </c>
      <c r="AG100" s="16" t="s">
        <v>298</v>
      </c>
      <c r="AH100">
        <f>AF100-VLOOKUP(AG100,'Bag weights'!A$1:B$20,2,FALSE)</f>
        <v>0.33000000000000007</v>
      </c>
      <c r="AI100" s="16">
        <v>17.79</v>
      </c>
      <c r="AJ100" s="16" t="s">
        <v>295</v>
      </c>
      <c r="AK100">
        <f>AI100-VLOOKUP(AJ100,'Bag weights'!A$1:B$20,2,FALSE)</f>
        <v>9.9599999999999991</v>
      </c>
      <c r="AL100" s="16">
        <v>29.25</v>
      </c>
      <c r="AM100" s="16" t="s">
        <v>295</v>
      </c>
      <c r="AN100">
        <f>AL100-VLOOKUP(AM100,'Bag weights'!A$1:B$20,2,FALSE)</f>
        <v>21.42</v>
      </c>
      <c r="AO100" s="16">
        <v>5.67</v>
      </c>
      <c r="AP100" s="16" t="s">
        <v>296</v>
      </c>
      <c r="AQ100">
        <f>AO100-VLOOKUP(AP100,'Bag weights'!A$1:B$20,2,FALSE)</f>
        <v>3.1799999999999997</v>
      </c>
      <c r="AR100" s="16"/>
      <c r="AT100">
        <f>AR100-VLOOKUP(AS100,'Bag weights'!A$1:B$20,2,FALSE)</f>
        <v>0</v>
      </c>
      <c r="AU100" s="16">
        <v>1.82</v>
      </c>
      <c r="AV100" s="16" t="s">
        <v>298</v>
      </c>
      <c r="AW100">
        <f>AU100-VLOOKUP(AV100,'Bag weights'!A$1:B$20,2,FALSE)</f>
        <v>0.42000000000000015</v>
      </c>
      <c r="AX100">
        <f t="shared" si="0"/>
        <v>53.26</v>
      </c>
    </row>
    <row r="101" spans="1:50">
      <c r="A101" s="87"/>
      <c r="B101" s="87"/>
      <c r="C101" s="87">
        <v>2</v>
      </c>
      <c r="D101" s="87" t="s">
        <v>88</v>
      </c>
      <c r="E101" s="2"/>
      <c r="F101" s="2"/>
      <c r="G101" s="2"/>
      <c r="J101">
        <f>H101-VLOOKUP(I101,'Bag weights'!A:B,2,FALSE)</f>
        <v>0</v>
      </c>
      <c r="M101">
        <f>K101-VLOOKUP(L101,'Bag weights'!A$1:B$20,2,FALSE)</f>
        <v>0</v>
      </c>
      <c r="O101" s="122"/>
      <c r="P101">
        <f>N101-VLOOKUP(O101,'Bag weights'!A$1:B$20,2,FALSE)</f>
        <v>0</v>
      </c>
      <c r="S101">
        <f>Q101-VLOOKUP(R101,'Bag weights'!A$1:B$20,2,FALSE)</f>
        <v>0</v>
      </c>
      <c r="T101" s="16">
        <v>14</v>
      </c>
      <c r="U101" s="16" t="s">
        <v>295</v>
      </c>
      <c r="V101">
        <f>T101-VLOOKUP(U101,'Bag weights'!A$1:B$20,2,FALSE)</f>
        <v>6.17</v>
      </c>
      <c r="Y101">
        <f>W101-VLOOKUP(X101,'Bag weights'!A$1:B$20,2,FALSE)</f>
        <v>0</v>
      </c>
      <c r="AB101">
        <f>Z101-VLOOKUP(AA101,'Bag weights'!A$1:B$20,2,FALSE)</f>
        <v>0</v>
      </c>
      <c r="AE101">
        <f>AC101-VLOOKUP(AD101,'Bag weights'!A$1:B$20,2,FALSE)</f>
        <v>0</v>
      </c>
      <c r="AH101">
        <f>AF101-VLOOKUP(AG101,'Bag weights'!A$1:B$20,2,FALSE)</f>
        <v>0</v>
      </c>
      <c r="AK101">
        <f>AI101-VLOOKUP(AJ101,'Bag weights'!A$1:B$20,2,FALSE)</f>
        <v>0</v>
      </c>
      <c r="AL101" s="16">
        <v>60.93</v>
      </c>
      <c r="AM101" s="16" t="s">
        <v>276</v>
      </c>
      <c r="AN101">
        <f>AL101-VLOOKUP(AM101,'Bag weights'!A$1:B$20,2,FALSE)</f>
        <v>39.980000000000004</v>
      </c>
      <c r="AO101" s="16">
        <v>1.81</v>
      </c>
      <c r="AQ101">
        <f>AO101-VLOOKUP(AP101,'Bag weights'!A$1:B$20,2,FALSE)</f>
        <v>1.81</v>
      </c>
      <c r="AT101">
        <f>AR101-VLOOKUP(AS101,'Bag weights'!A$1:B$20,2,FALSE)</f>
        <v>0</v>
      </c>
      <c r="AU101" s="16">
        <v>4.5999999999999996</v>
      </c>
      <c r="AV101" s="16" t="s">
        <v>296</v>
      </c>
      <c r="AW101">
        <f>AU101-VLOOKUP(AV101,'Bag weights'!A$1:B$20,2,FALSE)</f>
        <v>2.1099999999999994</v>
      </c>
      <c r="AX101">
        <f t="shared" si="0"/>
        <v>47.960000000000008</v>
      </c>
    </row>
    <row r="102" spans="1:50">
      <c r="A102" s="87"/>
      <c r="B102" s="87"/>
      <c r="C102" s="87">
        <v>3</v>
      </c>
      <c r="D102" s="87" t="s">
        <v>83</v>
      </c>
      <c r="E102" s="2"/>
      <c r="F102" s="2"/>
      <c r="G102" s="2"/>
      <c r="H102" s="16" t="s">
        <v>339</v>
      </c>
      <c r="I102" s="16"/>
      <c r="J102" t="e">
        <f>H102-VLOOKUP(I102,'Bag weights'!A:B,2,FALSE)</f>
        <v>#VALUE!</v>
      </c>
      <c r="M102">
        <f>K102-VLOOKUP(L102,'Bag weights'!A$1:B$20,2,FALSE)</f>
        <v>0</v>
      </c>
      <c r="O102" s="122"/>
      <c r="P102">
        <f>N102-VLOOKUP(O102,'Bag weights'!A$1:B$20,2,FALSE)</f>
        <v>0</v>
      </c>
      <c r="S102">
        <f>Q102-VLOOKUP(R102,'Bag weights'!A$1:B$20,2,FALSE)</f>
        <v>0</v>
      </c>
      <c r="V102">
        <f>T102-VLOOKUP(U102,'Bag weights'!A$1:B$20,2,FALSE)</f>
        <v>0</v>
      </c>
      <c r="Y102">
        <f>W102-VLOOKUP(X102,'Bag weights'!A$1:B$20,2,FALSE)</f>
        <v>0</v>
      </c>
      <c r="Z102" s="16" t="s">
        <v>341</v>
      </c>
      <c r="AA102" s="16"/>
      <c r="AB102" t="e">
        <f>Z102-VLOOKUP(AA102,'Bag weights'!A$1:B$20,2,FALSE)</f>
        <v>#VALUE!</v>
      </c>
      <c r="AC102" s="144">
        <v>13.86</v>
      </c>
      <c r="AD102" s="144" t="s">
        <v>295</v>
      </c>
      <c r="AE102" s="145">
        <f>AC102-VLOOKUP(AD102,'Bag weights'!A$1:B$20,2,FALSE)</f>
        <v>6.0299999999999994</v>
      </c>
      <c r="AH102">
        <f>AF102-VLOOKUP(AG102,'Bag weights'!A$1:B$20,2,FALSE)</f>
        <v>0</v>
      </c>
      <c r="AK102">
        <f>AI102-VLOOKUP(AJ102,'Bag weights'!A$1:B$20,2,FALSE)</f>
        <v>0</v>
      </c>
      <c r="AN102">
        <f>AL102-VLOOKUP(AM102,'Bag weights'!A$1:B$20,2,FALSE)</f>
        <v>0</v>
      </c>
      <c r="AQ102">
        <f>AO102-VLOOKUP(AP102,'Bag weights'!A$1:B$20,2,FALSE)</f>
        <v>0</v>
      </c>
      <c r="AT102">
        <f>AR102-VLOOKUP(AS102,'Bag weights'!A$1:B$20,2,FALSE)</f>
        <v>0</v>
      </c>
      <c r="AW102">
        <f>AU102-VLOOKUP(AV102,'Bag weights'!A$1:B$20,2,FALSE)</f>
        <v>0</v>
      </c>
      <c r="AX102" t="e">
        <f t="shared" si="0"/>
        <v>#VALUE!</v>
      </c>
    </row>
    <row r="103" spans="1:50">
      <c r="A103" s="87"/>
      <c r="B103" s="87"/>
      <c r="C103" s="87">
        <v>3</v>
      </c>
      <c r="D103" s="87" t="s">
        <v>85</v>
      </c>
      <c r="E103" s="2"/>
      <c r="F103" s="2"/>
      <c r="G103" s="2"/>
      <c r="J103">
        <f>H103-VLOOKUP(I103,'Bag weights'!A:B,2,FALSE)</f>
        <v>0</v>
      </c>
      <c r="M103">
        <f>K103-VLOOKUP(L103,'Bag weights'!A$1:B$20,2,FALSE)</f>
        <v>0</v>
      </c>
      <c r="O103" s="122"/>
      <c r="P103">
        <f>N103-VLOOKUP(O103,'Bag weights'!A$1:B$20,2,FALSE)</f>
        <v>0</v>
      </c>
      <c r="S103">
        <f>Q103-VLOOKUP(R103,'Bag weights'!A$1:B$20,2,FALSE)</f>
        <v>0</v>
      </c>
      <c r="T103" s="16">
        <v>10.54</v>
      </c>
      <c r="U103" s="16" t="s">
        <v>295</v>
      </c>
      <c r="V103">
        <f>T103-VLOOKUP(U103,'Bag weights'!A$1:B$20,2,FALSE)</f>
        <v>2.7099999999999991</v>
      </c>
      <c r="Y103">
        <f>W103-VLOOKUP(X103,'Bag weights'!A$1:B$20,2,FALSE)</f>
        <v>0</v>
      </c>
      <c r="Z103" s="16">
        <v>13.4</v>
      </c>
      <c r="AA103" s="16" t="s">
        <v>295</v>
      </c>
      <c r="AB103">
        <f>Z103-VLOOKUP(AA103,'Bag weights'!A$1:B$20,2,FALSE)</f>
        <v>5.57</v>
      </c>
      <c r="AC103" s="16">
        <v>10.06</v>
      </c>
      <c r="AD103" s="16" t="s">
        <v>295</v>
      </c>
      <c r="AE103">
        <f>AC103-VLOOKUP(AD103,'Bag weights'!A$1:B$20,2,FALSE)</f>
        <v>2.2300000000000004</v>
      </c>
      <c r="AF103" s="16">
        <v>0.67</v>
      </c>
      <c r="AH103">
        <f>AF103-VLOOKUP(AG103,'Bag weights'!A$1:B$20,2,FALSE)</f>
        <v>0.67</v>
      </c>
      <c r="AK103">
        <f>AI103-VLOOKUP(AJ103,'Bag weights'!A$1:B$20,2,FALSE)</f>
        <v>0</v>
      </c>
      <c r="AL103" s="16">
        <v>55.71</v>
      </c>
      <c r="AM103" s="16" t="s">
        <v>294</v>
      </c>
      <c r="AN103">
        <f>AL103-VLOOKUP(AM103,'Bag weights'!A$1:B$20,2,FALSE)</f>
        <v>41.33</v>
      </c>
      <c r="AO103" s="16">
        <v>0.87</v>
      </c>
      <c r="AP103" s="16" t="s">
        <v>302</v>
      </c>
      <c r="AQ103">
        <f>AO103-VLOOKUP(AP103,'Bag weights'!A$1:B$20,2,FALSE)</f>
        <v>0.87</v>
      </c>
      <c r="AT103">
        <f>AR103-VLOOKUP(AS103,'Bag weights'!A$1:B$20,2,FALSE)</f>
        <v>0</v>
      </c>
      <c r="AU103" s="16">
        <v>0.36</v>
      </c>
      <c r="AV103" s="16" t="s">
        <v>302</v>
      </c>
      <c r="AW103">
        <f>AU103-VLOOKUP(AV103,'Bag weights'!A$1:B$20,2,FALSE)</f>
        <v>0.36</v>
      </c>
      <c r="AX103">
        <f t="shared" si="0"/>
        <v>53.379999999999995</v>
      </c>
    </row>
    <row r="104" spans="1:50">
      <c r="A104" s="87"/>
      <c r="B104" s="87"/>
      <c r="C104" s="87">
        <v>3</v>
      </c>
      <c r="D104" s="86" t="s">
        <v>87</v>
      </c>
      <c r="E104" s="21"/>
      <c r="F104" s="21"/>
      <c r="G104" s="21"/>
      <c r="H104" s="16">
        <v>0.6</v>
      </c>
      <c r="J104">
        <f>H104-VLOOKUP(I104,'Bag weights'!A:B,2,FALSE)</f>
        <v>0.6</v>
      </c>
      <c r="M104">
        <f>K104-VLOOKUP(L104,'Bag weights'!A$1:B$20,2,FALSE)</f>
        <v>0</v>
      </c>
      <c r="O104" s="122"/>
      <c r="P104">
        <f>N104-VLOOKUP(O104,'Bag weights'!A$1:B$20,2,FALSE)</f>
        <v>0</v>
      </c>
      <c r="S104">
        <f>Q104-VLOOKUP(R104,'Bag weights'!A$1:B$20,2,FALSE)</f>
        <v>0</v>
      </c>
      <c r="T104" s="16">
        <v>17.63</v>
      </c>
      <c r="U104" s="16" t="s">
        <v>295</v>
      </c>
      <c r="V104">
        <f>T104-VLOOKUP(U104,'Bag weights'!A$1:B$20,2,FALSE)</f>
        <v>9.7999999999999989</v>
      </c>
      <c r="Y104">
        <f>W104-VLOOKUP(X104,'Bag weights'!A$1:B$20,2,FALSE)</f>
        <v>0</v>
      </c>
      <c r="Z104" s="16">
        <v>11.25</v>
      </c>
      <c r="AA104" s="16" t="s">
        <v>295</v>
      </c>
      <c r="AB104">
        <f>Z104-VLOOKUP(AA104,'Bag weights'!A$1:B$20,2,FALSE)</f>
        <v>3.42</v>
      </c>
      <c r="AC104" s="16">
        <v>10.78</v>
      </c>
      <c r="AD104" s="16" t="s">
        <v>295</v>
      </c>
      <c r="AE104">
        <f>AC104-VLOOKUP(AD104,'Bag weights'!A$1:B$20,2,FALSE)</f>
        <v>2.9499999999999993</v>
      </c>
      <c r="AF104" s="16">
        <v>0.34</v>
      </c>
      <c r="AG104" s="16" t="s">
        <v>302</v>
      </c>
      <c r="AH104">
        <f>AF104-VLOOKUP(AG104,'Bag weights'!A$1:B$20,2,FALSE)</f>
        <v>0.34</v>
      </c>
      <c r="AI104" s="16">
        <v>11.45</v>
      </c>
      <c r="AJ104" s="16" t="s">
        <v>295</v>
      </c>
      <c r="AK104">
        <f>AI104-VLOOKUP(AJ104,'Bag weights'!A$1:B$20,2,FALSE)</f>
        <v>3.6199999999999992</v>
      </c>
      <c r="AL104" s="16">
        <v>59.56</v>
      </c>
      <c r="AM104" s="16" t="s">
        <v>295</v>
      </c>
      <c r="AN104">
        <f>AL104-VLOOKUP(AM104,'Bag weights'!A$1:B$20,2,FALSE)</f>
        <v>51.730000000000004</v>
      </c>
      <c r="AO104" s="16">
        <v>4.07</v>
      </c>
      <c r="AP104" s="16" t="s">
        <v>302</v>
      </c>
      <c r="AQ104">
        <f>AO104-VLOOKUP(AP104,'Bag weights'!A$1:B$20,2,FALSE)</f>
        <v>4.07</v>
      </c>
      <c r="AT104">
        <f>AR104-VLOOKUP(AS104,'Bag weights'!A$1:B$20,2,FALSE)</f>
        <v>0</v>
      </c>
      <c r="AU104" s="16">
        <v>4.79</v>
      </c>
      <c r="AV104" s="16" t="s">
        <v>302</v>
      </c>
      <c r="AW104">
        <f>AU104-VLOOKUP(AV104,'Bag weights'!A$1:B$20,2,FALSE)</f>
        <v>4.79</v>
      </c>
      <c r="AX104">
        <f t="shared" si="0"/>
        <v>76.53</v>
      </c>
    </row>
    <row r="105" spans="1:50">
      <c r="A105" s="87"/>
      <c r="B105" s="87"/>
      <c r="C105" s="87">
        <v>3</v>
      </c>
      <c r="D105" s="87" t="s">
        <v>79</v>
      </c>
      <c r="E105" s="2"/>
      <c r="F105" s="2"/>
      <c r="G105" s="2"/>
      <c r="H105" s="16">
        <v>8.9499999999999993</v>
      </c>
      <c r="J105">
        <f>H105-VLOOKUP(I105,'Bag weights'!A:B,2,FALSE)</f>
        <v>8.9499999999999993</v>
      </c>
      <c r="M105">
        <f>K105-VLOOKUP(L105,'Bag weights'!A$1:B$20,2,FALSE)</f>
        <v>0</v>
      </c>
      <c r="O105" s="122"/>
      <c r="P105">
        <f>N105-VLOOKUP(O105,'Bag weights'!A$1:B$20,2,FALSE)</f>
        <v>0</v>
      </c>
      <c r="S105">
        <f>Q105-VLOOKUP(R105,'Bag weights'!A$1:B$20,2,FALSE)</f>
        <v>0</v>
      </c>
      <c r="T105" s="16">
        <v>17.829999999999998</v>
      </c>
      <c r="U105" s="16" t="s">
        <v>295</v>
      </c>
      <c r="V105">
        <f>T105-VLOOKUP(U105,'Bag weights'!A$1:B$20,2,FALSE)</f>
        <v>9.9999999999999982</v>
      </c>
      <c r="Y105">
        <f>W105-VLOOKUP(X105,'Bag weights'!A$1:B$20,2,FALSE)</f>
        <v>0</v>
      </c>
      <c r="Z105" s="16">
        <v>15.91</v>
      </c>
      <c r="AA105" s="16" t="s">
        <v>295</v>
      </c>
      <c r="AB105">
        <f>Z105-VLOOKUP(AA105,'Bag weights'!A$1:B$20,2,FALSE)</f>
        <v>8.08</v>
      </c>
      <c r="AC105" s="16">
        <v>10.69</v>
      </c>
      <c r="AD105" s="16" t="s">
        <v>295</v>
      </c>
      <c r="AE105">
        <f>AC105-VLOOKUP(AD105,'Bag weights'!A$1:B$20,2,FALSE)</f>
        <v>2.8599999999999994</v>
      </c>
      <c r="AF105" s="16">
        <v>0.31</v>
      </c>
      <c r="AG105" s="16" t="s">
        <v>302</v>
      </c>
      <c r="AH105">
        <f>AF105-VLOOKUP(AG105,'Bag weights'!A$1:B$20,2,FALSE)</f>
        <v>0.31</v>
      </c>
      <c r="AK105">
        <f>AI105-VLOOKUP(AJ105,'Bag weights'!A$1:B$20,2,FALSE)</f>
        <v>0</v>
      </c>
      <c r="AL105" s="16">
        <v>68.67</v>
      </c>
      <c r="AM105" s="16" t="s">
        <v>276</v>
      </c>
      <c r="AN105">
        <f>AL105-VLOOKUP(AM105,'Bag weights'!A$1:B$20,2,FALSE)</f>
        <v>47.72</v>
      </c>
      <c r="AO105" s="16">
        <v>1.28</v>
      </c>
      <c r="AP105" s="16" t="s">
        <v>302</v>
      </c>
      <c r="AQ105">
        <f>AO105-VLOOKUP(AP105,'Bag weights'!A$1:B$20,2,FALSE)</f>
        <v>1.28</v>
      </c>
      <c r="AT105">
        <f>AR105-VLOOKUP(AS105,'Bag weights'!A$1:B$20,2,FALSE)</f>
        <v>0</v>
      </c>
      <c r="AU105" s="16">
        <v>0.64</v>
      </c>
      <c r="AV105" s="16" t="s">
        <v>302</v>
      </c>
      <c r="AW105">
        <f>AU105-VLOOKUP(AV105,'Bag weights'!A$1:B$20,2,FALSE)</f>
        <v>0.64</v>
      </c>
      <c r="AX105">
        <f t="shared" si="0"/>
        <v>79.2</v>
      </c>
    </row>
    <row r="106" spans="1:50">
      <c r="A106" s="87"/>
      <c r="B106" s="87"/>
      <c r="C106" s="87">
        <v>3</v>
      </c>
      <c r="D106" s="87" t="s">
        <v>88</v>
      </c>
      <c r="E106" s="2"/>
      <c r="F106" s="2"/>
      <c r="G106" s="2"/>
      <c r="H106" s="16">
        <v>2.62</v>
      </c>
      <c r="J106">
        <f>H106-VLOOKUP(I106,'Bag weights'!A:B,2,FALSE)</f>
        <v>2.62</v>
      </c>
      <c r="M106">
        <f>K106-VLOOKUP(L106,'Bag weights'!A$1:B$20,2,FALSE)</f>
        <v>0</v>
      </c>
      <c r="O106" s="122"/>
      <c r="P106">
        <f>N106-VLOOKUP(O106,'Bag weights'!A$1:B$20,2,FALSE)</f>
        <v>0</v>
      </c>
      <c r="S106">
        <f>Q106-VLOOKUP(R106,'Bag weights'!A$1:B$20,2,FALSE)</f>
        <v>0</v>
      </c>
      <c r="T106" s="16">
        <v>14.04</v>
      </c>
      <c r="U106" s="16" t="s">
        <v>295</v>
      </c>
      <c r="V106">
        <f>T106-VLOOKUP(U106,'Bag weights'!A$1:B$20,2,FALSE)</f>
        <v>6.2099999999999991</v>
      </c>
      <c r="Y106">
        <f>W106-VLOOKUP(X106,'Bag weights'!A$1:B$20,2,FALSE)</f>
        <v>0</v>
      </c>
      <c r="Z106" s="16">
        <v>11.32</v>
      </c>
      <c r="AA106" s="16" t="s">
        <v>295</v>
      </c>
      <c r="AB106">
        <f>Z106-VLOOKUP(AA106,'Bag weights'!A$1:B$20,2,FALSE)</f>
        <v>3.49</v>
      </c>
      <c r="AC106" s="16">
        <v>4.13</v>
      </c>
      <c r="AD106" s="16" t="s">
        <v>296</v>
      </c>
      <c r="AE106">
        <f>AC106-VLOOKUP(AD106,'Bag weights'!A$1:B$20,2,FALSE)</f>
        <v>1.6399999999999997</v>
      </c>
      <c r="AH106">
        <f>AF106-VLOOKUP(AG106,'Bag weights'!A$1:B$20,2,FALSE)</f>
        <v>0</v>
      </c>
      <c r="AI106" s="16">
        <v>33.79</v>
      </c>
      <c r="AJ106" s="16" t="s">
        <v>295</v>
      </c>
      <c r="AK106">
        <f>AI106-VLOOKUP(AJ106,'Bag weights'!A$1:B$20,2,FALSE)</f>
        <v>25.96</v>
      </c>
      <c r="AL106" s="16">
        <v>30.61</v>
      </c>
      <c r="AM106" s="16" t="s">
        <v>295</v>
      </c>
      <c r="AN106">
        <f>AL106-VLOOKUP(AM106,'Bag weights'!A$1:B$20,2,FALSE)</f>
        <v>22.78</v>
      </c>
      <c r="AO106" s="16">
        <v>7.57</v>
      </c>
      <c r="AP106" s="16" t="s">
        <v>296</v>
      </c>
      <c r="AQ106">
        <f>AO106-VLOOKUP(AP106,'Bag weights'!A$1:B$20,2,FALSE)</f>
        <v>5.08</v>
      </c>
      <c r="AT106">
        <f>AR106-VLOOKUP(AS106,'Bag weights'!A$1:B$20,2,FALSE)</f>
        <v>0</v>
      </c>
      <c r="AU106" s="16">
        <v>3.27</v>
      </c>
      <c r="AV106" s="16" t="s">
        <v>296</v>
      </c>
      <c r="AW106">
        <f>AU106-VLOOKUP(AV106,'Bag weights'!A$1:B$20,2,FALSE)</f>
        <v>0.7799999999999998</v>
      </c>
      <c r="AX106">
        <f t="shared" si="0"/>
        <v>67.78</v>
      </c>
    </row>
    <row r="107" spans="1:50">
      <c r="A107" s="87"/>
      <c r="B107" s="87"/>
      <c r="C107" s="87">
        <v>4</v>
      </c>
      <c r="D107" s="87" t="s">
        <v>83</v>
      </c>
      <c r="E107" s="2"/>
      <c r="F107" s="2"/>
      <c r="G107" s="2"/>
      <c r="J107">
        <f>H107-VLOOKUP(I107,'Bag weights'!A:B,2,FALSE)</f>
        <v>0</v>
      </c>
      <c r="M107">
        <f>K107-VLOOKUP(L107,'Bag weights'!A$1:B$20,2,FALSE)</f>
        <v>0</v>
      </c>
      <c r="O107" s="122"/>
      <c r="P107">
        <f>N107-VLOOKUP(O107,'Bag weights'!A$1:B$20,2,FALSE)</f>
        <v>0</v>
      </c>
      <c r="S107">
        <f>Q107-VLOOKUP(R107,'Bag weights'!A$1:B$20,2,FALSE)</f>
        <v>0</v>
      </c>
      <c r="T107" s="16">
        <v>24.36</v>
      </c>
      <c r="U107" s="16" t="s">
        <v>295</v>
      </c>
      <c r="V107">
        <f>T107-VLOOKUP(U107,'Bag weights'!A$1:B$20,2,FALSE)</f>
        <v>16.53</v>
      </c>
      <c r="Y107">
        <f>W107-VLOOKUP(X107,'Bag weights'!A$1:B$20,2,FALSE)</f>
        <v>0</v>
      </c>
      <c r="AB107">
        <f>Z107-VLOOKUP(AA107,'Bag weights'!A$1:B$20,2,FALSE)</f>
        <v>0</v>
      </c>
      <c r="AC107" s="16">
        <v>18.5</v>
      </c>
      <c r="AD107" s="16" t="s">
        <v>295</v>
      </c>
      <c r="AE107">
        <f>AC107-VLOOKUP(AD107,'Bag weights'!A$1:B$20,2,FALSE)</f>
        <v>10.67</v>
      </c>
      <c r="AH107">
        <f>AF107-VLOOKUP(AG107,'Bag weights'!A$1:B$20,2,FALSE)</f>
        <v>0</v>
      </c>
      <c r="AI107" s="16">
        <v>21.24</v>
      </c>
      <c r="AJ107" s="16" t="s">
        <v>295</v>
      </c>
      <c r="AK107">
        <f>AI107-VLOOKUP(AJ107,'Bag weights'!A$1:B$20,2,FALSE)</f>
        <v>13.409999999999998</v>
      </c>
      <c r="AL107" s="16">
        <v>40.36</v>
      </c>
      <c r="AM107" s="16" t="s">
        <v>295</v>
      </c>
      <c r="AN107">
        <f>AL107-VLOOKUP(AM107,'Bag weights'!A$1:B$20,2,FALSE)</f>
        <v>32.53</v>
      </c>
      <c r="AO107" s="16"/>
      <c r="AQ107">
        <f>AO107-VLOOKUP(AP107,'Bag weights'!A$1:B$20,2,FALSE)</f>
        <v>0</v>
      </c>
      <c r="AT107">
        <f>AR107-VLOOKUP(AS107,'Bag weights'!A$1:B$20,2,FALSE)</f>
        <v>0</v>
      </c>
      <c r="AU107" s="16">
        <v>2.11</v>
      </c>
      <c r="AV107" s="16" t="s">
        <v>298</v>
      </c>
      <c r="AW107">
        <f>AU107-VLOOKUP(AV107,'Bag weights'!A$1:B$20,2,FALSE)</f>
        <v>0.71</v>
      </c>
      <c r="AX107">
        <f t="shared" si="0"/>
        <v>73.14</v>
      </c>
    </row>
    <row r="108" spans="1:50">
      <c r="A108" s="87"/>
      <c r="B108" s="87"/>
      <c r="C108" s="87">
        <v>4</v>
      </c>
      <c r="D108" s="87" t="s">
        <v>85</v>
      </c>
      <c r="E108" s="2"/>
      <c r="F108" s="2"/>
      <c r="G108" s="2"/>
      <c r="J108">
        <f>H108-VLOOKUP(I108,'Bag weights'!A:B,2,FALSE)</f>
        <v>0</v>
      </c>
      <c r="M108">
        <f>K108-VLOOKUP(L108,'Bag weights'!A$1:B$20,2,FALSE)</f>
        <v>0</v>
      </c>
      <c r="O108" s="122"/>
      <c r="P108">
        <f>N108-VLOOKUP(O108,'Bag weights'!A$1:B$20,2,FALSE)</f>
        <v>0</v>
      </c>
      <c r="S108">
        <f>Q108-VLOOKUP(R108,'Bag weights'!A$1:B$20,2,FALSE)</f>
        <v>0</v>
      </c>
      <c r="V108">
        <f>T108-VLOOKUP(U108,'Bag weights'!A$1:B$20,2,FALSE)</f>
        <v>0</v>
      </c>
      <c r="Y108">
        <f>W108-VLOOKUP(X108,'Bag weights'!A$1:B$20,2,FALSE)</f>
        <v>0</v>
      </c>
      <c r="AB108">
        <f>Z108-VLOOKUP(AA108,'Bag weights'!A$1:B$20,2,FALSE)</f>
        <v>0</v>
      </c>
      <c r="AC108" s="16">
        <v>24.69</v>
      </c>
      <c r="AD108" s="16" t="s">
        <v>295</v>
      </c>
      <c r="AE108">
        <f>AC108-VLOOKUP(AD108,'Bag weights'!A$1:B$20,2,FALSE)</f>
        <v>16.86</v>
      </c>
      <c r="AH108">
        <f>AF108-VLOOKUP(AG108,'Bag weights'!A$1:B$20,2,FALSE)</f>
        <v>0</v>
      </c>
      <c r="AI108" s="16">
        <v>12.63</v>
      </c>
      <c r="AJ108" s="16" t="s">
        <v>295</v>
      </c>
      <c r="AK108">
        <f>AI108-VLOOKUP(AJ108,'Bag weights'!A$1:B$20,2,FALSE)</f>
        <v>4.8000000000000007</v>
      </c>
      <c r="AL108" s="16">
        <v>28.59</v>
      </c>
      <c r="AM108" s="16" t="s">
        <v>295</v>
      </c>
      <c r="AN108">
        <f>AL108-VLOOKUP(AM108,'Bag weights'!A$1:B$20,2,FALSE)</f>
        <v>20.759999999999998</v>
      </c>
      <c r="AO108" s="16">
        <v>4.24</v>
      </c>
      <c r="AP108" s="16" t="s">
        <v>296</v>
      </c>
      <c r="AQ108">
        <f>AO108-VLOOKUP(AP108,'Bag weights'!A$1:B$20,2,FALSE)</f>
        <v>1.75</v>
      </c>
      <c r="AT108">
        <f>AR108-VLOOKUP(AS108,'Bag weights'!A$1:B$20,2,FALSE)</f>
        <v>0</v>
      </c>
      <c r="AU108" s="16">
        <v>8.18</v>
      </c>
      <c r="AV108" s="16" t="s">
        <v>296</v>
      </c>
      <c r="AW108">
        <f>AU108-VLOOKUP(AV108,'Bag weights'!A$1:B$20,2,FALSE)</f>
        <v>5.6899999999999995</v>
      </c>
      <c r="AX108">
        <f t="shared" si="0"/>
        <v>44.17</v>
      </c>
    </row>
    <row r="109" spans="1:50">
      <c r="A109" s="87"/>
      <c r="B109" s="87"/>
      <c r="C109" s="87">
        <v>4</v>
      </c>
      <c r="D109" s="87" t="s">
        <v>87</v>
      </c>
      <c r="E109" s="2"/>
      <c r="F109" s="2"/>
      <c r="G109" s="2"/>
      <c r="J109">
        <f>H109-VLOOKUP(I109,'Bag weights'!A:B,2,FALSE)</f>
        <v>0</v>
      </c>
      <c r="M109">
        <f>K109-VLOOKUP(L109,'Bag weights'!A$1:B$20,2,FALSE)</f>
        <v>0</v>
      </c>
      <c r="O109" s="119"/>
      <c r="P109">
        <f>N109-VLOOKUP(O109,'Bag weights'!A$1:B$20,2,FALSE)</f>
        <v>0</v>
      </c>
      <c r="S109">
        <f>Q109-VLOOKUP(R109,'Bag weights'!A$1:B$20,2,FALSE)</f>
        <v>0</v>
      </c>
      <c r="T109" s="16">
        <v>45.47</v>
      </c>
      <c r="U109" s="16" t="s">
        <v>276</v>
      </c>
      <c r="V109">
        <f>T109-VLOOKUP(U109,'Bag weights'!A$1:B$20,2,FALSE)</f>
        <v>24.52</v>
      </c>
      <c r="Y109">
        <f>W109-VLOOKUP(X109,'Bag weights'!A$1:B$20,2,FALSE)</f>
        <v>0</v>
      </c>
      <c r="Z109" s="16">
        <v>1.5</v>
      </c>
      <c r="AA109" s="16" t="s">
        <v>298</v>
      </c>
      <c r="AB109">
        <f>Z109-VLOOKUP(AA109,'Bag weights'!A$1:B$20,2,FALSE)</f>
        <v>0.10000000000000009</v>
      </c>
      <c r="AC109" s="16">
        <v>48.76</v>
      </c>
      <c r="AD109" s="16" t="s">
        <v>294</v>
      </c>
      <c r="AE109">
        <f>AC109-VLOOKUP(AD109,'Bag weights'!A$1:B$20,2,FALSE)</f>
        <v>34.379999999999995</v>
      </c>
      <c r="AF109" s="16">
        <v>4.2300000000000004</v>
      </c>
      <c r="AG109" s="16" t="s">
        <v>296</v>
      </c>
      <c r="AH109">
        <f>AF109-VLOOKUP(AG109,'Bag weights'!A$1:B$20,2,FALSE)</f>
        <v>1.7400000000000002</v>
      </c>
      <c r="AI109" s="16">
        <v>12.74</v>
      </c>
      <c r="AJ109" s="16" t="s">
        <v>295</v>
      </c>
      <c r="AK109">
        <f>AI109-VLOOKUP(AJ109,'Bag weights'!A$1:B$20,2,FALSE)</f>
        <v>4.91</v>
      </c>
      <c r="AL109" s="16">
        <v>30.54</v>
      </c>
      <c r="AM109" s="16" t="s">
        <v>295</v>
      </c>
      <c r="AN109">
        <f>AL109-VLOOKUP(AM109,'Bag weights'!A$1:B$20,2,FALSE)</f>
        <v>22.71</v>
      </c>
      <c r="AO109" s="16">
        <v>2.57</v>
      </c>
      <c r="AP109" s="16" t="s">
        <v>298</v>
      </c>
      <c r="AQ109">
        <f>AO109-VLOOKUP(AP109,'Bag weights'!A$1:B$20,2,FALSE)</f>
        <v>1.17</v>
      </c>
      <c r="AT109">
        <f>AR109-VLOOKUP(AS109,'Bag weights'!A$1:B$20,2,FALSE)</f>
        <v>0</v>
      </c>
      <c r="AU109" s="16">
        <v>6.55</v>
      </c>
      <c r="AV109" s="16" t="s">
        <v>296</v>
      </c>
      <c r="AW109">
        <f>AU109-VLOOKUP(AV109,'Bag weights'!A$1:B$20,2,FALSE)</f>
        <v>4.0599999999999996</v>
      </c>
      <c r="AX109">
        <f t="shared" si="0"/>
        <v>89.529999999999987</v>
      </c>
    </row>
    <row r="110" spans="1:50">
      <c r="A110" s="87"/>
      <c r="B110" s="87"/>
      <c r="C110" s="87">
        <v>4</v>
      </c>
      <c r="D110" s="87" t="s">
        <v>79</v>
      </c>
      <c r="E110" s="2"/>
      <c r="F110" s="2"/>
      <c r="G110" s="2"/>
      <c r="J110">
        <f>H110-VLOOKUP(I110,'Bag weights'!A:B,2,FALSE)</f>
        <v>0</v>
      </c>
      <c r="M110">
        <f>K110-VLOOKUP(L110,'Bag weights'!A$1:B$20,2,FALSE)</f>
        <v>0</v>
      </c>
      <c r="O110" s="119"/>
      <c r="P110">
        <f>N110-VLOOKUP(O110,'Bag weights'!A$1:B$20,2,FALSE)</f>
        <v>0</v>
      </c>
      <c r="S110">
        <f>Q110-VLOOKUP(R110,'Bag weights'!A$1:B$20,2,FALSE)</f>
        <v>0</v>
      </c>
      <c r="T110" s="16">
        <v>33.244999999999997</v>
      </c>
      <c r="U110" s="16" t="s">
        <v>294</v>
      </c>
      <c r="V110">
        <f>T110-VLOOKUP(U110,'Bag weights'!A$1:B$20,2,FALSE)</f>
        <v>18.864999999999995</v>
      </c>
      <c r="Y110">
        <f>W110-VLOOKUP(X110,'Bag weights'!A$1:B$20,2,FALSE)</f>
        <v>0</v>
      </c>
      <c r="Z110" s="16">
        <v>9.09</v>
      </c>
      <c r="AA110" s="16" t="s">
        <v>295</v>
      </c>
      <c r="AB110">
        <f>Z110-VLOOKUP(AA110,'Bag weights'!A$1:B$20,2,FALSE)</f>
        <v>1.2599999999999998</v>
      </c>
      <c r="AE110">
        <f>AC110-VLOOKUP(AD110,'Bag weights'!A$1:B$20,2,FALSE)</f>
        <v>0</v>
      </c>
      <c r="AF110" s="16"/>
      <c r="AH110">
        <f>AF110-VLOOKUP(AG110,'Bag weights'!A$1:B$20,2,FALSE)</f>
        <v>0</v>
      </c>
      <c r="AI110" s="16">
        <v>0.16</v>
      </c>
      <c r="AJ110" s="16" t="s">
        <v>302</v>
      </c>
      <c r="AK110">
        <f>AI110-VLOOKUP(AJ110,'Bag weights'!A$1:B$20,2,FALSE)</f>
        <v>0.16</v>
      </c>
      <c r="AL110" s="16">
        <v>32.33</v>
      </c>
      <c r="AM110" s="16" t="s">
        <v>294</v>
      </c>
      <c r="AN110">
        <f>AL110-VLOOKUP(AM110,'Bag weights'!A$1:B$20,2,FALSE)</f>
        <v>17.949999999999996</v>
      </c>
      <c r="AO110" s="16">
        <v>1.1100000000000001</v>
      </c>
      <c r="AP110" s="16" t="s">
        <v>302</v>
      </c>
      <c r="AQ110">
        <f>AO110-VLOOKUP(AP110,'Bag weights'!A$1:B$20,2,FALSE)</f>
        <v>1.1100000000000001</v>
      </c>
      <c r="AT110">
        <f>AR110-VLOOKUP(AS110,'Bag weights'!A$1:B$20,2,FALSE)</f>
        <v>0</v>
      </c>
      <c r="AU110" s="16">
        <v>2.09</v>
      </c>
      <c r="AV110" s="16" t="s">
        <v>302</v>
      </c>
      <c r="AW110">
        <f>AU110-VLOOKUP(AV110,'Bag weights'!A$1:B$20,2,FALSE)</f>
        <v>2.09</v>
      </c>
      <c r="AX110">
        <f t="shared" si="0"/>
        <v>39.344999999999992</v>
      </c>
    </row>
    <row r="111" spans="1:50">
      <c r="A111" s="87"/>
      <c r="B111" s="87"/>
      <c r="C111" s="21">
        <v>4</v>
      </c>
      <c r="D111" s="86" t="s">
        <v>88</v>
      </c>
      <c r="E111" s="21"/>
      <c r="F111" s="21"/>
      <c r="G111" s="21"/>
      <c r="H111" s="16">
        <v>1.47</v>
      </c>
      <c r="J111">
        <f>H111-VLOOKUP(I111,'Bag weights'!A:B,2,FALSE)</f>
        <v>1.47</v>
      </c>
      <c r="M111">
        <f>K111-VLOOKUP(L111,'Bag weights'!A$1:B$20,2,FALSE)</f>
        <v>0</v>
      </c>
      <c r="N111" s="16">
        <v>1.54</v>
      </c>
      <c r="O111" s="119"/>
      <c r="P111">
        <f>N111-VLOOKUP(O111,'Bag weights'!A$1:B$20,2,FALSE)</f>
        <v>1.54</v>
      </c>
      <c r="S111">
        <f>Q111-VLOOKUP(R111,'Bag weights'!A$1:B$20,2,FALSE)</f>
        <v>0</v>
      </c>
      <c r="T111" s="16"/>
      <c r="V111">
        <f>T111-VLOOKUP(U111,'Bag weights'!A$1:B$20,2,FALSE)</f>
        <v>0</v>
      </c>
      <c r="Y111">
        <f>W111-VLOOKUP(X111,'Bag weights'!A$1:B$20,2,FALSE)</f>
        <v>0</v>
      </c>
      <c r="Z111" s="16">
        <v>1.68</v>
      </c>
      <c r="AA111" s="16" t="s">
        <v>298</v>
      </c>
      <c r="AB111">
        <f>Z111-VLOOKUP(AA111,'Bag weights'!A$1:B$20,2,FALSE)</f>
        <v>0.28000000000000003</v>
      </c>
      <c r="AC111" s="16">
        <v>2.67</v>
      </c>
      <c r="AD111" s="16" t="s">
        <v>296</v>
      </c>
      <c r="AE111">
        <f>AC111-VLOOKUP(AD111,'Bag weights'!A$1:B$20,2,FALSE)</f>
        <v>0.17999999999999972</v>
      </c>
      <c r="AH111">
        <f>AF111-VLOOKUP(AG111,'Bag weights'!A$1:B$20,2,FALSE)</f>
        <v>0</v>
      </c>
      <c r="AK111">
        <f>AI111-VLOOKUP(AJ111,'Bag weights'!A$1:B$20,2,FALSE)</f>
        <v>0</v>
      </c>
      <c r="AN111">
        <f>AL111-VLOOKUP(AM111,'Bag weights'!A$1:B$20,2,FALSE)</f>
        <v>0</v>
      </c>
      <c r="AQ111">
        <f>AO111-VLOOKUP(AP111,'Bag weights'!A$1:B$20,2,FALSE)</f>
        <v>0</v>
      </c>
      <c r="AT111">
        <f>AR111-VLOOKUP(AS111,'Bag weights'!A$1:B$20,2,FALSE)</f>
        <v>0</v>
      </c>
      <c r="AU111" s="16">
        <v>0.89</v>
      </c>
      <c r="AW111">
        <f>AU111-VLOOKUP(AV111,'Bag weights'!A$1:B$20,2,FALSE)</f>
        <v>0.89</v>
      </c>
      <c r="AX111">
        <f t="shared" si="0"/>
        <v>3.4699999999999998</v>
      </c>
    </row>
    <row r="112" spans="1:50">
      <c r="A112" s="87"/>
      <c r="B112" s="87"/>
      <c r="C112" s="16">
        <v>4</v>
      </c>
      <c r="D112" s="86" t="s">
        <v>315</v>
      </c>
      <c r="E112" s="21"/>
      <c r="F112" s="21"/>
      <c r="G112" s="21"/>
      <c r="J112">
        <f>H112-VLOOKUP(I112,'Bag weights'!A:B,2,FALSE)</f>
        <v>0</v>
      </c>
      <c r="M112">
        <f>K112-VLOOKUP(L112,'Bag weights'!A$1:B$20,2,FALSE)</f>
        <v>0</v>
      </c>
      <c r="O112" s="119"/>
      <c r="P112">
        <f>N112-VLOOKUP(O112,'Bag weights'!A$1:B$20,2,FALSE)</f>
        <v>0</v>
      </c>
      <c r="S112">
        <f>Q112-VLOOKUP(R112,'Bag weights'!A$1:B$20,2,FALSE)</f>
        <v>0</v>
      </c>
      <c r="T112" s="16">
        <v>22.97</v>
      </c>
      <c r="V112">
        <f>T112-VLOOKUP(U112,'Bag weights'!A$1:B$20,2,FALSE)</f>
        <v>22.97</v>
      </c>
      <c r="Y112">
        <f>W112-VLOOKUP(X112,'Bag weights'!A$1:B$20,2,FALSE)</f>
        <v>0</v>
      </c>
      <c r="AB112">
        <f>Z112-VLOOKUP(AA112,'Bag weights'!A$1:B$20,2,FALSE)</f>
        <v>0</v>
      </c>
      <c r="AE112">
        <f>AC112-VLOOKUP(AD112,'Bag weights'!A$1:B$20,2,FALSE)</f>
        <v>0</v>
      </c>
      <c r="AH112">
        <f>AF112-VLOOKUP(AG112,'Bag weights'!A$1:B$20,2,FALSE)</f>
        <v>0</v>
      </c>
      <c r="AI112" s="16">
        <v>18.84</v>
      </c>
      <c r="AJ112" s="16" t="s">
        <v>295</v>
      </c>
      <c r="AK112">
        <f>AI112-VLOOKUP(AJ112,'Bag weights'!A$1:B$20,2,FALSE)</f>
        <v>11.01</v>
      </c>
      <c r="AL112" s="16">
        <v>22.2</v>
      </c>
      <c r="AM112" s="16" t="s">
        <v>295</v>
      </c>
      <c r="AN112">
        <f>AL112-VLOOKUP(AM112,'Bag weights'!A$1:B$20,2,FALSE)</f>
        <v>14.37</v>
      </c>
      <c r="AO112" s="16">
        <v>5.99</v>
      </c>
      <c r="AP112" s="16" t="s">
        <v>296</v>
      </c>
      <c r="AQ112">
        <f>AO112-VLOOKUP(AP112,'Bag weights'!A$1:B$20,2,FALSE)</f>
        <v>3.5</v>
      </c>
      <c r="AT112">
        <f>AR112-VLOOKUP(AS112,'Bag weights'!A$1:B$20,2,FALSE)</f>
        <v>0</v>
      </c>
      <c r="AU112" s="16">
        <v>2.6</v>
      </c>
      <c r="AV112" s="16" t="s">
        <v>298</v>
      </c>
      <c r="AW112">
        <f>AU112-VLOOKUP(AV112,'Bag weights'!A$1:B$20,2,FALSE)</f>
        <v>1.2000000000000002</v>
      </c>
      <c r="AX112">
        <f t="shared" si="0"/>
        <v>51.849999999999994</v>
      </c>
    </row>
    <row r="113" spans="1:50">
      <c r="A113" s="87" t="s">
        <v>112</v>
      </c>
      <c r="B113" s="87" t="s">
        <v>113</v>
      </c>
      <c r="C113" s="87">
        <v>1</v>
      </c>
      <c r="D113" s="87" t="s">
        <v>83</v>
      </c>
      <c r="E113" s="2"/>
      <c r="F113" s="2"/>
      <c r="G113" s="2"/>
      <c r="J113">
        <f>H113-VLOOKUP(I113,'Bag weights'!A:B,2,FALSE)</f>
        <v>0</v>
      </c>
      <c r="K113" s="16"/>
      <c r="L113" s="16"/>
      <c r="M113">
        <f>K113-VLOOKUP(L113,'Bag weights'!A$1:B$20,2,FALSE)</f>
        <v>0</v>
      </c>
      <c r="N113" s="16">
        <v>3.16</v>
      </c>
      <c r="O113" s="119" t="s">
        <v>296</v>
      </c>
      <c r="P113">
        <f>N113-VLOOKUP(O113,'Bag weights'!A$1:B$20,2,FALSE)</f>
        <v>0.66999999999999993</v>
      </c>
      <c r="S113">
        <f>Q113-VLOOKUP(R113,'Bag weights'!A$1:B$20,2,FALSE)</f>
        <v>0</v>
      </c>
      <c r="T113" s="16">
        <v>4.6399999999999997</v>
      </c>
      <c r="U113" s="16" t="s">
        <v>302</v>
      </c>
      <c r="V113">
        <f>T113-VLOOKUP(U113,'Bag weights'!A$1:B$20,2,FALSE)</f>
        <v>4.6399999999999997</v>
      </c>
      <c r="W113" s="16">
        <v>1.44</v>
      </c>
      <c r="X113" s="16" t="s">
        <v>298</v>
      </c>
      <c r="Y113">
        <f>W113-VLOOKUP(X113,'Bag weights'!A$1:B$20,2,FALSE)</f>
        <v>4.0000000000000036E-2</v>
      </c>
      <c r="Z113" s="16"/>
      <c r="AA113" s="16"/>
      <c r="AB113">
        <f>Z113-VLOOKUP(AA113,'Bag weights'!A$1:B$20,2,FALSE)</f>
        <v>0</v>
      </c>
      <c r="AC113" s="16">
        <v>34.46</v>
      </c>
      <c r="AD113" s="16" t="s">
        <v>276</v>
      </c>
      <c r="AE113">
        <f>AC113-VLOOKUP(AD113,'Bag weights'!A$1:B$20,2,FALSE)</f>
        <v>13.510000000000002</v>
      </c>
      <c r="AH113">
        <f>AF113-VLOOKUP(AG113,'Bag weights'!A$1:B$20,2,FALSE)</f>
        <v>0</v>
      </c>
      <c r="AI113" s="16">
        <v>32.07</v>
      </c>
      <c r="AJ113" s="16" t="s">
        <v>276</v>
      </c>
      <c r="AK113">
        <f>AI113-VLOOKUP(AJ113,'Bag weights'!A$1:B$20,2,FALSE)</f>
        <v>11.120000000000001</v>
      </c>
      <c r="AL113" s="16">
        <v>30.86</v>
      </c>
      <c r="AM113" s="16" t="s">
        <v>276</v>
      </c>
      <c r="AN113">
        <f>AL113-VLOOKUP(AM113,'Bag weights'!A$1:B$20,2,FALSE)</f>
        <v>9.91</v>
      </c>
      <c r="AO113" s="16">
        <v>5.19</v>
      </c>
      <c r="AP113" s="16" t="s">
        <v>295</v>
      </c>
      <c r="AQ113">
        <f>AO113-VLOOKUP(AP113,'Bag weights'!A$1:B$20,2,FALSE)</f>
        <v>-2.6399999999999997</v>
      </c>
      <c r="AT113">
        <f>AR113-VLOOKUP(AS113,'Bag weights'!A$1:B$20,2,FALSE)</f>
        <v>0</v>
      </c>
      <c r="AU113" s="16">
        <v>3.72</v>
      </c>
      <c r="AV113" s="16" t="s">
        <v>296</v>
      </c>
      <c r="AW113">
        <f>AU113-VLOOKUP(AV113,'Bag weights'!A$1:B$20,2,FALSE)</f>
        <v>1.23</v>
      </c>
      <c r="AX113">
        <f t="shared" si="0"/>
        <v>37.25</v>
      </c>
    </row>
    <row r="114" spans="1:50">
      <c r="A114" s="87"/>
      <c r="B114" s="87"/>
      <c r="C114" s="87">
        <v>1</v>
      </c>
      <c r="D114" s="87" t="s">
        <v>108</v>
      </c>
      <c r="E114" s="2"/>
      <c r="F114" s="2"/>
      <c r="G114" s="2"/>
      <c r="J114">
        <f>H114-VLOOKUP(I114,'Bag weights'!A:B,2,FALSE)</f>
        <v>0</v>
      </c>
      <c r="K114" s="16"/>
      <c r="L114" s="16"/>
      <c r="M114">
        <f>K114-VLOOKUP(L114,'Bag weights'!A$1:B$20,2,FALSE)</f>
        <v>0</v>
      </c>
      <c r="N114" s="16">
        <v>3.24</v>
      </c>
      <c r="O114" s="119" t="s">
        <v>296</v>
      </c>
      <c r="P114">
        <f>N114-VLOOKUP(O114,'Bag weights'!A$1:B$20,2,FALSE)</f>
        <v>0.75</v>
      </c>
      <c r="S114">
        <f>Q114-VLOOKUP(R114,'Bag weights'!A$1:B$20,2,FALSE)</f>
        <v>0</v>
      </c>
      <c r="T114" s="16">
        <v>2.78</v>
      </c>
      <c r="U114" s="16" t="s">
        <v>296</v>
      </c>
      <c r="V114">
        <f>T114-VLOOKUP(U114,'Bag weights'!A$1:B$20,2,FALSE)</f>
        <v>0.28999999999999959</v>
      </c>
      <c r="W114" s="16">
        <v>0</v>
      </c>
      <c r="X114" s="16"/>
      <c r="Y114">
        <f>W114-VLOOKUP(X114,'Bag weights'!A$1:B$20,2,FALSE)</f>
        <v>0</v>
      </c>
      <c r="Z114" s="16">
        <v>9.1300000000000008</v>
      </c>
      <c r="AA114" s="16" t="s">
        <v>295</v>
      </c>
      <c r="AB114">
        <f>Z114-VLOOKUP(AA114,'Bag weights'!A$1:B$20,2,FALSE)</f>
        <v>1.3000000000000007</v>
      </c>
      <c r="AC114" s="16">
        <v>40.630000000000003</v>
      </c>
      <c r="AD114" s="16" t="s">
        <v>276</v>
      </c>
      <c r="AE114">
        <f>AC114-VLOOKUP(AD114,'Bag weights'!A$1:B$20,2,FALSE)</f>
        <v>19.680000000000003</v>
      </c>
      <c r="AH114">
        <f>AF114-VLOOKUP(AG114,'Bag weights'!A$1:B$20,2,FALSE)</f>
        <v>0</v>
      </c>
      <c r="AI114" s="16">
        <v>44.74</v>
      </c>
      <c r="AJ114" s="16" t="s">
        <v>276</v>
      </c>
      <c r="AK114">
        <f>AI114-VLOOKUP(AJ114,'Bag weights'!A$1:B$20,2,FALSE)</f>
        <v>23.790000000000003</v>
      </c>
      <c r="AL114" s="16">
        <v>34.5</v>
      </c>
      <c r="AM114" s="16" t="s">
        <v>276</v>
      </c>
      <c r="AN114">
        <f>AL114-VLOOKUP(AM114,'Bag weights'!A$1:B$20,2,FALSE)</f>
        <v>13.55</v>
      </c>
      <c r="AO114" s="16">
        <v>13.76</v>
      </c>
      <c r="AP114" s="16" t="s">
        <v>295</v>
      </c>
      <c r="AQ114">
        <f>AO114-VLOOKUP(AP114,'Bag weights'!A$1:B$20,2,FALSE)</f>
        <v>5.93</v>
      </c>
      <c r="AT114">
        <f>AR114-VLOOKUP(AS114,'Bag weights'!A$1:B$20,2,FALSE)</f>
        <v>0</v>
      </c>
      <c r="AW114">
        <f>AU114-VLOOKUP(AV114,'Bag weights'!A$1:B$20,2,FALSE)</f>
        <v>0</v>
      </c>
      <c r="AX114">
        <f t="shared" si="0"/>
        <v>65.290000000000006</v>
      </c>
    </row>
    <row r="115" spans="1:50">
      <c r="A115" s="87"/>
      <c r="B115" s="87"/>
      <c r="C115" s="87">
        <v>1</v>
      </c>
      <c r="D115" s="86" t="s">
        <v>287</v>
      </c>
      <c r="E115" s="21"/>
      <c r="F115" s="21"/>
      <c r="G115" s="21"/>
      <c r="J115">
        <f>H115-VLOOKUP(I115,'Bag weights'!A:B,2,FALSE)</f>
        <v>0</v>
      </c>
      <c r="K115" s="16"/>
      <c r="L115" s="16"/>
      <c r="M115">
        <f>K115-VLOOKUP(L115,'Bag weights'!A$1:B$20,2,FALSE)</f>
        <v>0</v>
      </c>
      <c r="N115" s="16">
        <v>3</v>
      </c>
      <c r="O115" s="119" t="s">
        <v>296</v>
      </c>
      <c r="P115">
        <f>N115-VLOOKUP(O115,'Bag weights'!A$1:B$20,2,FALSE)</f>
        <v>0.50999999999999979</v>
      </c>
      <c r="S115">
        <f>Q115-VLOOKUP(R115,'Bag weights'!A$1:B$20,2,FALSE)</f>
        <v>0</v>
      </c>
      <c r="T115" s="16">
        <v>9.56</v>
      </c>
      <c r="U115" s="16" t="s">
        <v>295</v>
      </c>
      <c r="V115">
        <f>T115-VLOOKUP(U115,'Bag weights'!A$1:B$20,2,FALSE)</f>
        <v>1.7300000000000004</v>
      </c>
      <c r="W115" s="16">
        <v>2.87</v>
      </c>
      <c r="X115" s="16" t="s">
        <v>296</v>
      </c>
      <c r="Y115">
        <f>W115-VLOOKUP(X115,'Bag weights'!A$1:B$20,2,FALSE)</f>
        <v>0.37999999999999989</v>
      </c>
      <c r="AB115">
        <f>Z115-VLOOKUP(AA115,'Bag weights'!A$1:B$20,2,FALSE)</f>
        <v>0</v>
      </c>
      <c r="AC115" s="16">
        <v>20.100000000000001</v>
      </c>
      <c r="AD115" s="16" t="s">
        <v>302</v>
      </c>
      <c r="AE115">
        <f>AC115-VLOOKUP(AD115,'Bag weights'!A$1:B$20,2,FALSE)</f>
        <v>20.100000000000001</v>
      </c>
      <c r="AF115" s="16">
        <v>2.89</v>
      </c>
      <c r="AG115" s="16" t="s">
        <v>296</v>
      </c>
      <c r="AH115">
        <f>AF115-VLOOKUP(AG115,'Bag weights'!A$1:B$20,2,FALSE)</f>
        <v>0.39999999999999991</v>
      </c>
      <c r="AI115" s="16">
        <v>31.19</v>
      </c>
      <c r="AJ115" s="16" t="s">
        <v>276</v>
      </c>
      <c r="AK115">
        <f>AI115-VLOOKUP(AJ115,'Bag weights'!A$1:B$20,2,FALSE)</f>
        <v>10.240000000000002</v>
      </c>
      <c r="AL115" s="16">
        <v>46.07</v>
      </c>
      <c r="AM115" s="16" t="s">
        <v>276</v>
      </c>
      <c r="AN115">
        <f>AL115-VLOOKUP(AM115,'Bag weights'!A$1:B$20,2,FALSE)</f>
        <v>25.12</v>
      </c>
      <c r="AO115" s="16">
        <v>12.08</v>
      </c>
      <c r="AP115" s="16" t="s">
        <v>295</v>
      </c>
      <c r="AQ115">
        <f>AO115-VLOOKUP(AP115,'Bag weights'!A$1:B$20,2,FALSE)</f>
        <v>4.25</v>
      </c>
      <c r="AT115">
        <f>AR115-VLOOKUP(AS115,'Bag weights'!A$1:B$20,2,FALSE)</f>
        <v>0</v>
      </c>
      <c r="AU115" s="16">
        <v>1.52</v>
      </c>
      <c r="AV115" s="16" t="s">
        <v>298</v>
      </c>
      <c r="AW115">
        <f>AU115-VLOOKUP(AV115,'Bag weights'!A$1:B$20,2,FALSE)</f>
        <v>0.12000000000000011</v>
      </c>
      <c r="AX115">
        <f t="shared" si="0"/>
        <v>62.73</v>
      </c>
    </row>
    <row r="116" spans="1:50">
      <c r="A116" s="87"/>
      <c r="B116" s="87"/>
      <c r="C116" s="87">
        <v>1</v>
      </c>
      <c r="D116" s="86" t="s">
        <v>109</v>
      </c>
      <c r="E116" s="21"/>
      <c r="F116" s="21"/>
      <c r="G116" s="21"/>
      <c r="J116">
        <f>H116-VLOOKUP(I116,'Bag weights'!A:B,2,FALSE)</f>
        <v>0</v>
      </c>
      <c r="K116" s="16"/>
      <c r="L116" s="16"/>
      <c r="M116">
        <f>K116-VLOOKUP(L116,'Bag weights'!A$1:B$20,2,FALSE)</f>
        <v>0</v>
      </c>
      <c r="N116" s="16">
        <v>1.47</v>
      </c>
      <c r="O116" s="119" t="s">
        <v>298</v>
      </c>
      <c r="P116">
        <f>N116-VLOOKUP(O116,'Bag weights'!A$1:B$20,2,FALSE)</f>
        <v>7.0000000000000062E-2</v>
      </c>
      <c r="S116">
        <f>Q116-VLOOKUP(R116,'Bag weights'!A$1:B$20,2,FALSE)</f>
        <v>0</v>
      </c>
      <c r="T116" s="16">
        <v>1.59</v>
      </c>
      <c r="U116" s="16" t="s">
        <v>298</v>
      </c>
      <c r="V116">
        <f>T116-VLOOKUP(U116,'Bag weights'!A$1:B$20,2,FALSE)</f>
        <v>0.19000000000000017</v>
      </c>
      <c r="Y116">
        <f>W116-VLOOKUP(X116,'Bag weights'!A$1:B$20,2,FALSE)</f>
        <v>0</v>
      </c>
      <c r="AB116">
        <f>Z116-VLOOKUP(AA116,'Bag weights'!A$1:B$20,2,FALSE)</f>
        <v>0</v>
      </c>
      <c r="AC116" s="16">
        <v>4.7300000000000004</v>
      </c>
      <c r="AD116" s="16" t="s">
        <v>302</v>
      </c>
      <c r="AE116">
        <f>AC116-VLOOKUP(AD116,'Bag weights'!A$1:B$20,2,FALSE)</f>
        <v>4.7300000000000004</v>
      </c>
      <c r="AF116" s="16">
        <v>1.96</v>
      </c>
      <c r="AG116" s="16" t="s">
        <v>298</v>
      </c>
      <c r="AH116">
        <f>AF116-VLOOKUP(AG116,'Bag weights'!A$1:B$20,2,FALSE)</f>
        <v>0.56000000000000005</v>
      </c>
      <c r="AI116" s="16">
        <v>23.51</v>
      </c>
      <c r="AJ116" s="16" t="s">
        <v>295</v>
      </c>
      <c r="AK116">
        <f>AI116-VLOOKUP(AJ116,'Bag weights'!A$1:B$20,2,FALSE)</f>
        <v>15.680000000000001</v>
      </c>
      <c r="AL116" s="16">
        <v>23.39</v>
      </c>
      <c r="AM116" s="16" t="s">
        <v>295</v>
      </c>
      <c r="AN116">
        <f>AL116-VLOOKUP(AM116,'Bag weights'!A$1:B$20,2,FALSE)</f>
        <v>15.56</v>
      </c>
      <c r="AO116" s="16">
        <v>17.809999999999999</v>
      </c>
      <c r="AP116" s="16" t="s">
        <v>295</v>
      </c>
      <c r="AQ116">
        <f>AO116-VLOOKUP(AP116,'Bag weights'!A$1:B$20,2,FALSE)</f>
        <v>9.9799999999999986</v>
      </c>
      <c r="AT116">
        <f>AR116-VLOOKUP(AS116,'Bag weights'!A$1:B$20,2,FALSE)</f>
        <v>0</v>
      </c>
      <c r="AW116">
        <f>AU116-VLOOKUP(AV116,'Bag weights'!A$1:B$20,2,FALSE)</f>
        <v>0</v>
      </c>
      <c r="AX116">
        <f t="shared" si="0"/>
        <v>46.77</v>
      </c>
    </row>
    <row r="117" spans="1:50">
      <c r="A117" s="87"/>
      <c r="B117" s="87"/>
      <c r="C117" s="87">
        <v>1</v>
      </c>
      <c r="D117" s="86" t="s">
        <v>87</v>
      </c>
      <c r="E117" s="21"/>
      <c r="F117" s="21"/>
      <c r="G117" s="21"/>
      <c r="J117">
        <f>H117-VLOOKUP(I117,'Bag weights'!A:B,2,FALSE)</f>
        <v>0</v>
      </c>
      <c r="K117" s="16"/>
      <c r="L117" s="16"/>
      <c r="M117">
        <f>K117-VLOOKUP(L117,'Bag weights'!A$1:B$20,2,FALSE)</f>
        <v>0</v>
      </c>
      <c r="N117" s="16">
        <v>2.61</v>
      </c>
      <c r="O117" s="119" t="s">
        <v>296</v>
      </c>
      <c r="P117">
        <f>N117-VLOOKUP(O117,'Bag weights'!A$1:B$20,2,FALSE)</f>
        <v>0.11999999999999966</v>
      </c>
      <c r="S117">
        <f>Q117-VLOOKUP(R117,'Bag weights'!A$1:B$20,2,FALSE)</f>
        <v>0</v>
      </c>
      <c r="T117" s="16">
        <v>3.31</v>
      </c>
      <c r="U117" s="16" t="s">
        <v>296</v>
      </c>
      <c r="V117">
        <f>T117-VLOOKUP(U117,'Bag weights'!A$1:B$20,2,FALSE)</f>
        <v>0.81999999999999984</v>
      </c>
      <c r="X117" s="16"/>
      <c r="Y117">
        <f>W117-VLOOKUP(X117,'Bag weights'!A$1:B$20,2,FALSE)</f>
        <v>0</v>
      </c>
      <c r="AB117">
        <f>Z117-VLOOKUP(AA117,'Bag weights'!A$1:B$20,2,FALSE)</f>
        <v>0</v>
      </c>
      <c r="AC117" s="16">
        <v>35.340000000000003</v>
      </c>
      <c r="AD117" s="16" t="s">
        <v>276</v>
      </c>
      <c r="AE117">
        <f>AC117-VLOOKUP(AD117,'Bag weights'!A$1:B$20,2,FALSE)</f>
        <v>14.390000000000004</v>
      </c>
      <c r="AF117" s="16">
        <v>4.2</v>
      </c>
      <c r="AG117" s="16" t="s">
        <v>295</v>
      </c>
      <c r="AH117">
        <f>AF117-VLOOKUP(AG117,'Bag weights'!A$1:B$20,2,FALSE)</f>
        <v>-3.63</v>
      </c>
      <c r="AI117" s="16">
        <v>45.94</v>
      </c>
      <c r="AJ117" s="16" t="s">
        <v>276</v>
      </c>
      <c r="AK117">
        <f>AI117-VLOOKUP(AJ117,'Bag weights'!A$1:B$20,2,FALSE)</f>
        <v>24.99</v>
      </c>
      <c r="AL117" s="16">
        <v>34.799999999999997</v>
      </c>
      <c r="AM117" s="16" t="s">
        <v>276</v>
      </c>
      <c r="AN117">
        <f>AL117-VLOOKUP(AM117,'Bag weights'!A$1:B$20,2,FALSE)</f>
        <v>13.849999999999998</v>
      </c>
      <c r="AO117" s="16">
        <v>12.07</v>
      </c>
      <c r="AP117" s="16" t="s">
        <v>295</v>
      </c>
      <c r="AQ117">
        <f>AO117-VLOOKUP(AP117,'Bag weights'!A$1:B$20,2,FALSE)</f>
        <v>4.24</v>
      </c>
      <c r="AT117">
        <f>AR117-VLOOKUP(AS117,'Bag weights'!A$1:B$20,2,FALSE)</f>
        <v>0</v>
      </c>
      <c r="AU117" s="16">
        <v>2.96</v>
      </c>
      <c r="AV117" s="16" t="s">
        <v>296</v>
      </c>
      <c r="AW117">
        <f>AU117-VLOOKUP(AV117,'Bag weights'!A$1:B$20,2,FALSE)</f>
        <v>0.46999999999999975</v>
      </c>
      <c r="AX117">
        <f t="shared" si="0"/>
        <v>54.78</v>
      </c>
    </row>
    <row r="118" spans="1:50">
      <c r="A118" s="87"/>
      <c r="B118" s="87"/>
      <c r="C118" s="87">
        <v>2</v>
      </c>
      <c r="D118" s="87" t="s">
        <v>83</v>
      </c>
      <c r="E118" s="2"/>
      <c r="F118" s="2"/>
      <c r="G118" s="2"/>
      <c r="H118" s="16"/>
      <c r="I118" s="16"/>
      <c r="J118">
        <f>H118-VLOOKUP(I118,'Bag weights'!A:B,2,FALSE)</f>
        <v>0</v>
      </c>
      <c r="K118" s="16"/>
      <c r="L118" s="16"/>
      <c r="M118">
        <f>K118-VLOOKUP(L118,'Bag weights'!A$1:B$20,2,FALSE)</f>
        <v>0</v>
      </c>
      <c r="N118" s="16">
        <v>0.54</v>
      </c>
      <c r="O118" s="16"/>
      <c r="P118">
        <f>N118-VLOOKUP(O118,'Bag weights'!A$1:B$20,2,FALSE)</f>
        <v>0.54</v>
      </c>
      <c r="Q118" s="16"/>
      <c r="R118" s="16"/>
      <c r="S118">
        <f>Q118-VLOOKUP(R118,'Bag weights'!A$1:B$20,2,FALSE)</f>
        <v>0</v>
      </c>
      <c r="T118" s="16">
        <v>0.13</v>
      </c>
      <c r="U118" s="16"/>
      <c r="V118">
        <f>T118-VLOOKUP(U118,'Bag weights'!A$1:B$20,2,FALSE)</f>
        <v>0.13</v>
      </c>
      <c r="W118" s="16">
        <v>0.28999999999999998</v>
      </c>
      <c r="X118" s="16"/>
      <c r="Y118">
        <f>W118-VLOOKUP(X118,'Bag weights'!A$1:B$20,2,FALSE)</f>
        <v>0.28999999999999998</v>
      </c>
      <c r="Z118" s="16"/>
      <c r="AA118" s="16"/>
      <c r="AB118">
        <f>Z118-VLOOKUP(AA118,'Bag weights'!A$1:B$20,2,FALSE)</f>
        <v>0</v>
      </c>
      <c r="AC118" s="16">
        <v>12.79</v>
      </c>
      <c r="AD118" s="16"/>
      <c r="AE118">
        <f>AC118-VLOOKUP(AD118,'Bag weights'!A$1:B$20,2,FALSE)</f>
        <v>12.79</v>
      </c>
      <c r="AF118" s="16">
        <v>0.12</v>
      </c>
      <c r="AG118" s="16"/>
      <c r="AH118">
        <f>AF118-VLOOKUP(AG118,'Bag weights'!A$1:B$20,2,FALSE)</f>
        <v>0.12</v>
      </c>
      <c r="AI118" s="16">
        <v>9.8800000000000008</v>
      </c>
      <c r="AJ118" s="16"/>
      <c r="AK118">
        <f>AI118-VLOOKUP(AJ118,'Bag weights'!A$1:B$20,2,FALSE)</f>
        <v>9.8800000000000008</v>
      </c>
      <c r="AL118" s="16">
        <v>58.49</v>
      </c>
      <c r="AM118" s="16"/>
      <c r="AN118">
        <f>AL118-VLOOKUP(AM118,'Bag weights'!A$1:B$20,2,FALSE)</f>
        <v>58.49</v>
      </c>
      <c r="AO118" s="16">
        <v>3.92</v>
      </c>
      <c r="AP118" s="16"/>
      <c r="AQ118">
        <f>AO118-VLOOKUP(AP118,'Bag weights'!A$1:B$20,2,FALSE)</f>
        <v>3.92</v>
      </c>
      <c r="AR118" s="16"/>
      <c r="AS118" s="16"/>
      <c r="AT118">
        <f>AR118-VLOOKUP(AS118,'Bag weights'!A$1:B$20,2,FALSE)</f>
        <v>0</v>
      </c>
      <c r="AU118" s="16">
        <v>0.33</v>
      </c>
      <c r="AV118" s="16"/>
      <c r="AW118">
        <f>AU118-VLOOKUP(AV118,'Bag weights'!A$1:B$20,2,FALSE)</f>
        <v>0.33</v>
      </c>
      <c r="AX118">
        <f t="shared" si="0"/>
        <v>86.160000000000025</v>
      </c>
    </row>
    <row r="119" spans="1:50">
      <c r="A119" s="87"/>
      <c r="B119" s="87"/>
      <c r="C119" s="87">
        <v>2</v>
      </c>
      <c r="D119" s="87" t="s">
        <v>108</v>
      </c>
      <c r="E119" s="2"/>
      <c r="F119" s="2"/>
      <c r="G119" s="2"/>
      <c r="J119">
        <f>H119-VLOOKUP(I119,'Bag weights'!A:B,2,FALSE)</f>
        <v>0</v>
      </c>
      <c r="K119" s="16"/>
      <c r="L119" s="16"/>
      <c r="M119">
        <f>K119-VLOOKUP(L119,'Bag weights'!A$1:B$20,2,FALSE)</f>
        <v>0</v>
      </c>
      <c r="N119" s="16">
        <v>2.92</v>
      </c>
      <c r="O119" s="119" t="s">
        <v>296</v>
      </c>
      <c r="P119">
        <f>N119-VLOOKUP(O119,'Bag weights'!A$1:B$20,2,FALSE)</f>
        <v>0.42999999999999972</v>
      </c>
      <c r="S119">
        <f>Q119-VLOOKUP(R119,'Bag weights'!A$1:B$20,2,FALSE)</f>
        <v>0</v>
      </c>
      <c r="T119" s="16">
        <v>2.75</v>
      </c>
      <c r="U119" s="16" t="s">
        <v>296</v>
      </c>
      <c r="V119">
        <f>T119-VLOOKUP(U119,'Bag weights'!A$1:B$20,2,FALSE)</f>
        <v>0.25999999999999979</v>
      </c>
      <c r="W119" s="16">
        <v>2.65</v>
      </c>
      <c r="X119" s="16" t="s">
        <v>296</v>
      </c>
      <c r="Y119">
        <f>W119-VLOOKUP(X119,'Bag weights'!A$1:B$20,2,FALSE)</f>
        <v>0.1599999999999997</v>
      </c>
      <c r="AB119">
        <f>Z119-VLOOKUP(AA119,'Bag weights'!A$1:B$20,2,FALSE)</f>
        <v>0</v>
      </c>
      <c r="AC119" s="16">
        <v>11.57</v>
      </c>
      <c r="AD119" s="16" t="s">
        <v>295</v>
      </c>
      <c r="AE119">
        <f>AC119-VLOOKUP(AD119,'Bag weights'!A$1:B$20,2,FALSE)</f>
        <v>3.74</v>
      </c>
      <c r="AF119" s="16">
        <v>3.56</v>
      </c>
      <c r="AG119" s="16" t="s">
        <v>296</v>
      </c>
      <c r="AH119">
        <f>AF119-VLOOKUP(AG119,'Bag weights'!A$1:B$20,2,FALSE)</f>
        <v>1.0699999999999998</v>
      </c>
      <c r="AI119" s="16">
        <v>45.35</v>
      </c>
      <c r="AJ119" s="16" t="s">
        <v>276</v>
      </c>
      <c r="AK119">
        <f>AI119-VLOOKUP(AJ119,'Bag weights'!A$1:B$20,2,FALSE)</f>
        <v>24.400000000000002</v>
      </c>
      <c r="AL119" s="16">
        <v>46.12</v>
      </c>
      <c r="AM119" s="16" t="s">
        <v>276</v>
      </c>
      <c r="AN119">
        <f>AL119-VLOOKUP(AM119,'Bag weights'!A$1:B$20,2,FALSE)</f>
        <v>25.169999999999998</v>
      </c>
      <c r="AO119" s="16">
        <v>6.22</v>
      </c>
      <c r="AP119" s="16" t="s">
        <v>296</v>
      </c>
      <c r="AQ119">
        <f>AO119-VLOOKUP(AP119,'Bag weights'!A$1:B$20,2,FALSE)</f>
        <v>3.7299999999999995</v>
      </c>
      <c r="AT119">
        <f>AR119-VLOOKUP(AS119,'Bag weights'!A$1:B$20,2,FALSE)</f>
        <v>0</v>
      </c>
      <c r="AU119" s="16">
        <v>1.85</v>
      </c>
      <c r="AV119" s="16" t="s">
        <v>298</v>
      </c>
      <c r="AW119">
        <f>AU119-VLOOKUP(AV119,'Bag weights'!A$1:B$20,2,FALSE)</f>
        <v>0.45000000000000018</v>
      </c>
      <c r="AX119">
        <f t="shared" si="0"/>
        <v>58.959999999999994</v>
      </c>
    </row>
    <row r="120" spans="1:50">
      <c r="A120" s="87"/>
      <c r="B120" s="87"/>
      <c r="C120" s="87">
        <v>2</v>
      </c>
      <c r="D120" s="86" t="s">
        <v>287</v>
      </c>
      <c r="E120" s="21"/>
      <c r="F120" s="21"/>
      <c r="G120" s="21"/>
      <c r="J120">
        <f>H120-VLOOKUP(I120,'Bag weights'!A:B,2,FALSE)</f>
        <v>0</v>
      </c>
      <c r="K120" s="16"/>
      <c r="L120" s="16"/>
      <c r="M120">
        <f>K120-VLOOKUP(L120,'Bag weights'!A$1:B$20,2,FALSE)</f>
        <v>0</v>
      </c>
      <c r="N120" s="16">
        <v>2.92</v>
      </c>
      <c r="O120" s="119" t="s">
        <v>296</v>
      </c>
      <c r="P120">
        <f>N120-VLOOKUP(O120,'Bag weights'!A$1:B$20,2,FALSE)</f>
        <v>0.42999999999999972</v>
      </c>
      <c r="S120">
        <f>Q120-VLOOKUP(R120,'Bag weights'!A$1:B$20,2,FALSE)</f>
        <v>0</v>
      </c>
      <c r="T120" s="16">
        <v>2.72</v>
      </c>
      <c r="U120" s="16" t="s">
        <v>296</v>
      </c>
      <c r="V120">
        <f>T120-VLOOKUP(U120,'Bag weights'!A$1:B$20,2,FALSE)</f>
        <v>0.22999999999999998</v>
      </c>
      <c r="Y120">
        <f>W120-VLOOKUP(X120,'Bag weights'!A$1:B$20,2,FALSE)</f>
        <v>0</v>
      </c>
      <c r="AB120">
        <f>Z120-VLOOKUP(AA120,'Bag weights'!A$1:B$20,2,FALSE)</f>
        <v>0</v>
      </c>
      <c r="AC120" s="16">
        <v>15.64</v>
      </c>
      <c r="AD120" s="16" t="s">
        <v>295</v>
      </c>
      <c r="AE120">
        <f>AC120-VLOOKUP(AD120,'Bag weights'!A$1:B$20,2,FALSE)</f>
        <v>7.8100000000000005</v>
      </c>
      <c r="AF120" s="16">
        <v>9.19</v>
      </c>
      <c r="AG120" s="16" t="s">
        <v>295</v>
      </c>
      <c r="AH120">
        <f>AF120-VLOOKUP(AG120,'Bag weights'!A$1:B$20,2,FALSE)</f>
        <v>1.3599999999999994</v>
      </c>
      <c r="AI120" s="16">
        <v>47.99</v>
      </c>
      <c r="AJ120" s="16" t="s">
        <v>276</v>
      </c>
      <c r="AK120">
        <f>AI120-VLOOKUP(AJ120,'Bag weights'!A$1:B$20,2,FALSE)</f>
        <v>27.040000000000003</v>
      </c>
      <c r="AL120" s="16">
        <v>35.299999999999997</v>
      </c>
      <c r="AM120" s="16" t="s">
        <v>276</v>
      </c>
      <c r="AN120">
        <f>AL120-VLOOKUP(AM120,'Bag weights'!A$1:B$20,2,FALSE)</f>
        <v>14.349999999999998</v>
      </c>
      <c r="AO120" s="16">
        <v>14.08</v>
      </c>
      <c r="AP120" s="16" t="s">
        <v>295</v>
      </c>
      <c r="AQ120">
        <f>AO120-VLOOKUP(AP120,'Bag weights'!A$1:B$20,2,FALSE)</f>
        <v>6.25</v>
      </c>
      <c r="AT120">
        <f>AR120-VLOOKUP(AS120,'Bag weights'!A$1:B$20,2,FALSE)</f>
        <v>0</v>
      </c>
      <c r="AU120" s="16">
        <v>3.52</v>
      </c>
      <c r="AV120" s="16" t="s">
        <v>296</v>
      </c>
      <c r="AW120">
        <f>AU120-VLOOKUP(AV120,'Bag weights'!A$1:B$20,2,FALSE)</f>
        <v>1.0299999999999998</v>
      </c>
      <c r="AX120">
        <f t="shared" si="0"/>
        <v>57.47</v>
      </c>
    </row>
    <row r="121" spans="1:50">
      <c r="A121" s="87"/>
      <c r="B121" s="87"/>
      <c r="C121" s="86">
        <v>2</v>
      </c>
      <c r="D121" s="86" t="s">
        <v>109</v>
      </c>
      <c r="E121" s="21"/>
      <c r="F121" s="21"/>
      <c r="G121" s="21"/>
      <c r="J121">
        <f>H121-VLOOKUP(I121,'Bag weights'!A:B,2,FALSE)</f>
        <v>0</v>
      </c>
      <c r="K121" s="16"/>
      <c r="L121" s="16"/>
      <c r="M121">
        <f>K121-VLOOKUP(L121,'Bag weights'!A$1:B$20,2,FALSE)</f>
        <v>0</v>
      </c>
      <c r="N121" s="16">
        <v>3.01</v>
      </c>
      <c r="O121" s="119" t="s">
        <v>296</v>
      </c>
      <c r="P121">
        <f>N121-VLOOKUP(O121,'Bag weights'!A$1:B$20,2,FALSE)</f>
        <v>0.51999999999999957</v>
      </c>
      <c r="S121">
        <f>Q121-VLOOKUP(R121,'Bag weights'!A$1:B$20,2,FALSE)</f>
        <v>0</v>
      </c>
      <c r="T121" s="16">
        <v>2.64</v>
      </c>
      <c r="U121" s="16" t="s">
        <v>296</v>
      </c>
      <c r="V121">
        <f>T121-VLOOKUP(U121,'Bag weights'!A$1:B$20,2,FALSE)</f>
        <v>0.14999999999999991</v>
      </c>
      <c r="W121" s="16">
        <v>1.45</v>
      </c>
      <c r="X121" s="16" t="s">
        <v>298</v>
      </c>
      <c r="Y121">
        <f>W121-VLOOKUP(X121,'Bag weights'!A$1:B$20,2,FALSE)</f>
        <v>5.0000000000000044E-2</v>
      </c>
      <c r="AB121">
        <f>Z121-VLOOKUP(AA121,'Bag weights'!A$1:B$20,2,FALSE)</f>
        <v>0</v>
      </c>
      <c r="AC121" s="16">
        <v>36.520000000000003</v>
      </c>
      <c r="AD121" s="16" t="s">
        <v>276</v>
      </c>
      <c r="AE121">
        <f>AC121-VLOOKUP(AD121,'Bag weights'!A$1:B$20,2,FALSE)</f>
        <v>15.570000000000004</v>
      </c>
      <c r="AF121" s="16">
        <v>10.6</v>
      </c>
      <c r="AG121" s="16" t="s">
        <v>295</v>
      </c>
      <c r="AH121">
        <f>AF121-VLOOKUP(AG121,'Bag weights'!A$1:B$20,2,FALSE)</f>
        <v>2.7699999999999996</v>
      </c>
      <c r="AI121" s="16">
        <v>45.44</v>
      </c>
      <c r="AJ121" s="16" t="s">
        <v>276</v>
      </c>
      <c r="AK121">
        <f>AI121-VLOOKUP(AJ121,'Bag weights'!A$1:B$20,2,FALSE)</f>
        <v>24.49</v>
      </c>
      <c r="AL121" s="16">
        <v>39.450000000000003</v>
      </c>
      <c r="AM121" s="16" t="s">
        <v>276</v>
      </c>
      <c r="AN121">
        <f>AL121-VLOOKUP(AM121,'Bag weights'!A$1:B$20,2,FALSE)</f>
        <v>18.500000000000004</v>
      </c>
      <c r="AO121" s="16">
        <v>5.04</v>
      </c>
      <c r="AP121" s="16" t="s">
        <v>296</v>
      </c>
      <c r="AQ121">
        <f>AO121-VLOOKUP(AP121,'Bag weights'!A$1:B$20,2,FALSE)</f>
        <v>2.5499999999999998</v>
      </c>
      <c r="AT121">
        <f>AR121-VLOOKUP(AS121,'Bag weights'!A$1:B$20,2,FALSE)</f>
        <v>0</v>
      </c>
      <c r="AU121" s="16">
        <v>1.71</v>
      </c>
      <c r="AV121" s="16" t="s">
        <v>298</v>
      </c>
      <c r="AW121">
        <f>AU121-VLOOKUP(AV121,'Bag weights'!A$1:B$20,2,FALSE)</f>
        <v>0.31000000000000005</v>
      </c>
      <c r="AX121">
        <f t="shared" si="0"/>
        <v>64.600000000000009</v>
      </c>
    </row>
    <row r="122" spans="1:50">
      <c r="A122" s="87"/>
      <c r="B122" s="87"/>
      <c r="C122" s="87">
        <v>2</v>
      </c>
      <c r="D122" s="86" t="s">
        <v>87</v>
      </c>
      <c r="E122" s="21"/>
      <c r="F122" s="21"/>
      <c r="G122" s="21"/>
      <c r="H122" s="16"/>
      <c r="I122" s="16"/>
      <c r="J122">
        <f>H122-VLOOKUP(I122,'Bag weights'!A:B,2,FALSE)</f>
        <v>0</v>
      </c>
      <c r="K122" s="16"/>
      <c r="L122" s="16"/>
      <c r="M122">
        <f>K122-VLOOKUP(L122,'Bag weights'!A$1:B$20,2,FALSE)</f>
        <v>0</v>
      </c>
      <c r="N122" s="16"/>
      <c r="O122" s="16"/>
      <c r="P122">
        <f>N122-VLOOKUP(O122,'Bag weights'!A$1:B$20,2,FALSE)</f>
        <v>0</v>
      </c>
      <c r="Q122" s="16"/>
      <c r="R122" s="16"/>
      <c r="S122">
        <f>Q122-VLOOKUP(R122,'Bag weights'!A$1:B$20,2,FALSE)</f>
        <v>0</v>
      </c>
      <c r="T122" s="16">
        <v>8.4700000000000006</v>
      </c>
      <c r="U122" s="16"/>
      <c r="V122">
        <f>T122-VLOOKUP(U122,'Bag weights'!A$1:B$20,2,FALSE)</f>
        <v>8.4700000000000006</v>
      </c>
      <c r="W122" s="16">
        <v>1.58</v>
      </c>
      <c r="X122" s="16"/>
      <c r="Y122">
        <f>W122-VLOOKUP(X122,'Bag weights'!A$1:B$20,2,FALSE)</f>
        <v>1.58</v>
      </c>
      <c r="Z122" s="16"/>
      <c r="AA122" s="16"/>
      <c r="AB122">
        <f>Z122-VLOOKUP(AA122,'Bag weights'!A$1:B$20,2,FALSE)</f>
        <v>0</v>
      </c>
      <c r="AC122" s="16">
        <v>17.41</v>
      </c>
      <c r="AD122" s="16"/>
      <c r="AE122">
        <f>AC122-VLOOKUP(AD122,'Bag weights'!A$1:B$20,2,FALSE)</f>
        <v>17.41</v>
      </c>
      <c r="AF122" s="16">
        <v>11.16</v>
      </c>
      <c r="AG122" s="16"/>
      <c r="AH122">
        <f>AF122-VLOOKUP(AG122,'Bag weights'!A$1:B$20,2,FALSE)</f>
        <v>11.16</v>
      </c>
      <c r="AI122" s="16">
        <v>23.69</v>
      </c>
      <c r="AJ122" s="16"/>
      <c r="AK122">
        <f>AI122-VLOOKUP(AJ122,'Bag weights'!A$1:B$20,2,FALSE)</f>
        <v>23.69</v>
      </c>
      <c r="AL122" s="16">
        <v>52.3</v>
      </c>
      <c r="AM122" s="16"/>
      <c r="AN122">
        <f>AL122-VLOOKUP(AM122,'Bag weights'!A$1:B$20,2,FALSE)</f>
        <v>52.3</v>
      </c>
      <c r="AO122" s="16">
        <v>12.76</v>
      </c>
      <c r="AP122" s="16"/>
      <c r="AQ122">
        <f>AO122-VLOOKUP(AP122,'Bag weights'!A$1:B$20,2,FALSE)</f>
        <v>12.76</v>
      </c>
      <c r="AR122" s="16"/>
      <c r="AS122" s="16"/>
      <c r="AT122">
        <f>AR122-VLOOKUP(AS122,'Bag weights'!A$1:B$20,2,FALSE)</f>
        <v>0</v>
      </c>
      <c r="AU122" s="16">
        <v>1.62</v>
      </c>
      <c r="AV122" s="16"/>
      <c r="AW122">
        <f>AU122-VLOOKUP(AV122,'Bag weights'!A$1:B$20,2,FALSE)</f>
        <v>1.62</v>
      </c>
      <c r="AX122">
        <f t="shared" si="0"/>
        <v>127.36999999999999</v>
      </c>
    </row>
    <row r="123" spans="1:50">
      <c r="A123" s="87"/>
      <c r="B123" s="87"/>
      <c r="C123" s="87">
        <v>3</v>
      </c>
      <c r="D123" s="87" t="s">
        <v>83</v>
      </c>
      <c r="E123" s="2"/>
      <c r="F123" s="2"/>
      <c r="G123" s="2"/>
      <c r="J123">
        <f>H123-VLOOKUP(I123,'Bag weights'!A:B,2,FALSE)</f>
        <v>0</v>
      </c>
      <c r="K123" s="16"/>
      <c r="L123" s="16"/>
      <c r="M123">
        <f>K123-VLOOKUP(L123,'Bag weights'!A$1:B$20,2,FALSE)</f>
        <v>0</v>
      </c>
      <c r="N123" s="16">
        <v>14.05</v>
      </c>
      <c r="O123" s="119" t="s">
        <v>295</v>
      </c>
      <c r="P123">
        <f>N123-VLOOKUP(O123,'Bag weights'!A$1:B$20,2,FALSE)</f>
        <v>6.2200000000000006</v>
      </c>
      <c r="S123">
        <f>Q123-VLOOKUP(R123,'Bag weights'!A$1:B$20,2,FALSE)</f>
        <v>0</v>
      </c>
      <c r="T123" s="16">
        <v>10.54</v>
      </c>
      <c r="U123" s="16" t="s">
        <v>295</v>
      </c>
      <c r="V123">
        <f>T123-VLOOKUP(U123,'Bag weights'!A$1:B$20,2,FALSE)</f>
        <v>2.7099999999999991</v>
      </c>
      <c r="W123" s="16">
        <v>1.57</v>
      </c>
      <c r="X123" s="16" t="s">
        <v>298</v>
      </c>
      <c r="Y123">
        <f>W123-VLOOKUP(X123,'Bag weights'!A$1:B$20,2,FALSE)</f>
        <v>0.17000000000000015</v>
      </c>
      <c r="AB123">
        <f>Z123-VLOOKUP(AA123,'Bag weights'!A$1:B$20,2,FALSE)</f>
        <v>0</v>
      </c>
      <c r="AC123" s="16">
        <v>21.06</v>
      </c>
      <c r="AD123" s="16" t="s">
        <v>295</v>
      </c>
      <c r="AE123">
        <f>AC123-VLOOKUP(AD123,'Bag weights'!A$1:B$20,2,FALSE)</f>
        <v>13.229999999999999</v>
      </c>
      <c r="AH123">
        <f>AF123-VLOOKUP(AG123,'Bag weights'!A$1:B$20,2,FALSE)</f>
        <v>0</v>
      </c>
      <c r="AI123" s="16">
        <v>11.03</v>
      </c>
      <c r="AJ123" s="16" t="s">
        <v>295</v>
      </c>
      <c r="AK123">
        <f>AI123-VLOOKUP(AJ123,'Bag weights'!A$1:B$20,2,FALSE)</f>
        <v>3.1999999999999993</v>
      </c>
      <c r="AL123" s="16">
        <v>31.73</v>
      </c>
      <c r="AM123" s="16" t="s">
        <v>295</v>
      </c>
      <c r="AN123">
        <f>AL123-VLOOKUP(AM123,'Bag weights'!A$1:B$20,2,FALSE)</f>
        <v>23.9</v>
      </c>
      <c r="AQ123">
        <f>AO123-VLOOKUP(AP123,'Bag weights'!A$1:B$20,2,FALSE)</f>
        <v>0</v>
      </c>
      <c r="AT123">
        <f>AR123-VLOOKUP(AS123,'Bag weights'!A$1:B$20,2,FALSE)</f>
        <v>0</v>
      </c>
      <c r="AU123" s="16">
        <v>2.74</v>
      </c>
      <c r="AV123" s="16" t="s">
        <v>298</v>
      </c>
      <c r="AW123">
        <f>AU123-VLOOKUP(AV123,'Bag weights'!A$1:B$20,2,FALSE)</f>
        <v>1.3400000000000003</v>
      </c>
      <c r="AX123">
        <f t="shared" si="0"/>
        <v>49.43</v>
      </c>
    </row>
    <row r="124" spans="1:50">
      <c r="A124" s="87"/>
      <c r="B124" s="87"/>
      <c r="C124" s="87">
        <v>3</v>
      </c>
      <c r="D124" s="87" t="s">
        <v>108</v>
      </c>
      <c r="E124" s="2"/>
      <c r="F124" s="2"/>
      <c r="G124" s="2"/>
      <c r="J124">
        <f>H124-VLOOKUP(I124,'Bag weights'!A:B,2,FALSE)</f>
        <v>0</v>
      </c>
      <c r="K124" s="16"/>
      <c r="L124" s="16"/>
      <c r="M124">
        <f>K124-VLOOKUP(L124,'Bag weights'!A$1:B$20,2,FALSE)</f>
        <v>0</v>
      </c>
      <c r="N124" s="16">
        <v>21.97</v>
      </c>
      <c r="O124" s="119" t="s">
        <v>295</v>
      </c>
      <c r="P124">
        <f>N124-VLOOKUP(O124,'Bag weights'!A$1:B$20,2,FALSE)</f>
        <v>14.139999999999999</v>
      </c>
      <c r="S124">
        <f>Q124-VLOOKUP(R124,'Bag weights'!A$1:B$20,2,FALSE)</f>
        <v>0</v>
      </c>
      <c r="T124" s="16">
        <v>1.85</v>
      </c>
      <c r="U124" s="16" t="s">
        <v>298</v>
      </c>
      <c r="V124">
        <f>T124-VLOOKUP(U124,'Bag weights'!A$1:B$20,2,FALSE)</f>
        <v>0.45000000000000018</v>
      </c>
      <c r="W124" s="16">
        <v>1.5</v>
      </c>
      <c r="X124" s="16" t="s">
        <v>298</v>
      </c>
      <c r="Y124">
        <f>W124-VLOOKUP(X124,'Bag weights'!A$1:B$20,2,FALSE)</f>
        <v>0.10000000000000009</v>
      </c>
      <c r="AB124">
        <f>Z124-VLOOKUP(AA124,'Bag weights'!A$1:B$20,2,FALSE)</f>
        <v>0</v>
      </c>
      <c r="AC124" s="16">
        <v>34.630000000000003</v>
      </c>
      <c r="AD124" s="16" t="s">
        <v>295</v>
      </c>
      <c r="AE124">
        <f>AC124-VLOOKUP(AD124,'Bag weights'!A$1:B$20,2,FALSE)</f>
        <v>26.800000000000004</v>
      </c>
      <c r="AH124">
        <f>AF124-VLOOKUP(AG124,'Bag weights'!A$1:B$20,2,FALSE)</f>
        <v>0</v>
      </c>
      <c r="AI124" s="16">
        <v>15.05</v>
      </c>
      <c r="AJ124" s="16" t="s">
        <v>295</v>
      </c>
      <c r="AK124">
        <f>AI124-VLOOKUP(AJ124,'Bag weights'!A$1:B$20,2,FALSE)</f>
        <v>7.2200000000000006</v>
      </c>
      <c r="AL124" s="16">
        <v>23.59</v>
      </c>
      <c r="AM124" s="16" t="s">
        <v>295</v>
      </c>
      <c r="AN124">
        <f>AL124-VLOOKUP(AM124,'Bag weights'!A$1:B$20,2,FALSE)</f>
        <v>15.76</v>
      </c>
      <c r="AO124" s="16">
        <v>7.16</v>
      </c>
      <c r="AP124" s="16" t="s">
        <v>296</v>
      </c>
      <c r="AQ124">
        <f>AO124-VLOOKUP(AP124,'Bag weights'!A$1:B$20,2,FALSE)</f>
        <v>4.67</v>
      </c>
      <c r="AT124">
        <f>AR124-VLOOKUP(AS124,'Bag weights'!A$1:B$20,2,FALSE)</f>
        <v>0</v>
      </c>
      <c r="AU124" s="16">
        <v>3.42</v>
      </c>
      <c r="AV124" s="16" t="s">
        <v>298</v>
      </c>
      <c r="AW124">
        <f>AU124-VLOOKUP(AV124,'Bag weights'!A$1:B$20,2,FALSE)</f>
        <v>2.02</v>
      </c>
      <c r="AX124">
        <f t="shared" si="0"/>
        <v>69.14</v>
      </c>
    </row>
    <row r="125" spans="1:50">
      <c r="A125" s="87"/>
      <c r="B125" s="87"/>
      <c r="C125" s="87">
        <v>3</v>
      </c>
      <c r="D125" s="86" t="s">
        <v>287</v>
      </c>
      <c r="E125" s="21"/>
      <c r="F125" s="21"/>
      <c r="G125" s="21"/>
      <c r="J125">
        <f>H125-VLOOKUP(I125,'Bag weights'!A:B,2,FALSE)</f>
        <v>0</v>
      </c>
      <c r="K125" s="16"/>
      <c r="L125" s="16"/>
      <c r="M125">
        <f>K125-VLOOKUP(L125,'Bag weights'!A$1:B$20,2,FALSE)</f>
        <v>0</v>
      </c>
      <c r="N125" s="16">
        <v>19.36</v>
      </c>
      <c r="O125" s="119" t="s">
        <v>295</v>
      </c>
      <c r="P125">
        <f>N125-VLOOKUP(O125,'Bag weights'!A$1:B$20,2,FALSE)</f>
        <v>11.53</v>
      </c>
      <c r="S125">
        <f>Q125-VLOOKUP(R125,'Bag weights'!A$1:B$20,2,FALSE)</f>
        <v>0</v>
      </c>
      <c r="T125" s="16">
        <v>2.74</v>
      </c>
      <c r="U125" s="16"/>
      <c r="V125">
        <f>T125-VLOOKUP(U125,'Bag weights'!A$1:B$20,2,FALSE)</f>
        <v>2.74</v>
      </c>
      <c r="Y125">
        <f>W125-VLOOKUP(X125,'Bag weights'!A$1:B$20,2,FALSE)</f>
        <v>0</v>
      </c>
      <c r="AB125">
        <f>Z125-VLOOKUP(AA125,'Bag weights'!A$1:B$20,2,FALSE)</f>
        <v>0</v>
      </c>
      <c r="AC125" s="16">
        <v>27.98</v>
      </c>
      <c r="AD125" s="16" t="s">
        <v>295</v>
      </c>
      <c r="AE125">
        <f>AC125-VLOOKUP(AD125,'Bag weights'!A$1:B$20,2,FALSE)</f>
        <v>20.149999999999999</v>
      </c>
      <c r="AH125">
        <f>AF125-VLOOKUP(AG125,'Bag weights'!A$1:B$20,2,FALSE)</f>
        <v>0</v>
      </c>
      <c r="AI125" s="16">
        <v>20.98</v>
      </c>
      <c r="AJ125" s="16" t="s">
        <v>295</v>
      </c>
      <c r="AK125">
        <f>AI125-VLOOKUP(AJ125,'Bag weights'!A$1:B$20,2,FALSE)</f>
        <v>13.15</v>
      </c>
      <c r="AL125" s="16">
        <v>19.68</v>
      </c>
      <c r="AM125" s="16" t="s">
        <v>295</v>
      </c>
      <c r="AN125">
        <f>AL125-VLOOKUP(AM125,'Bag weights'!A$1:B$20,2,FALSE)</f>
        <v>11.85</v>
      </c>
      <c r="AO125" s="16">
        <v>5.25</v>
      </c>
      <c r="AP125" s="16" t="s">
        <v>296</v>
      </c>
      <c r="AQ125">
        <f>AO125-VLOOKUP(AP125,'Bag weights'!A$1:B$20,2,FALSE)</f>
        <v>2.76</v>
      </c>
      <c r="AT125">
        <f>AR125-VLOOKUP(AS125,'Bag weights'!A$1:B$20,2,FALSE)</f>
        <v>0</v>
      </c>
      <c r="AU125" s="16">
        <v>3.16</v>
      </c>
      <c r="AV125" s="16" t="s">
        <v>295</v>
      </c>
      <c r="AW125">
        <f>AU125-VLOOKUP(AV125,'Bag weights'!A$1:B$20,2,FALSE)</f>
        <v>-4.67</v>
      </c>
      <c r="AX125">
        <f t="shared" si="0"/>
        <v>62.18</v>
      </c>
    </row>
    <row r="126" spans="1:50">
      <c r="A126" s="87"/>
      <c r="B126" s="87"/>
      <c r="C126" s="87">
        <v>3</v>
      </c>
      <c r="D126" s="86" t="s">
        <v>109</v>
      </c>
      <c r="E126" s="21"/>
      <c r="F126" s="21"/>
      <c r="G126" s="21"/>
      <c r="J126">
        <f>H126-VLOOKUP(I126,'Bag weights'!A:B,2,FALSE)</f>
        <v>0</v>
      </c>
      <c r="K126" s="16"/>
      <c r="L126" s="16"/>
      <c r="M126">
        <f>K126-VLOOKUP(L126,'Bag weights'!A$1:B$20,2,FALSE)</f>
        <v>0</v>
      </c>
      <c r="N126" s="16">
        <v>11.16</v>
      </c>
      <c r="O126" s="119" t="s">
        <v>295</v>
      </c>
      <c r="P126">
        <f>N126-VLOOKUP(O126,'Bag weights'!A$1:B$20,2,FALSE)</f>
        <v>3.33</v>
      </c>
      <c r="S126">
        <f>Q126-VLOOKUP(R126,'Bag weights'!A$1:B$20,2,FALSE)</f>
        <v>0</v>
      </c>
      <c r="T126" s="16">
        <v>1.44</v>
      </c>
      <c r="U126" s="16" t="s">
        <v>298</v>
      </c>
      <c r="V126">
        <f>T126-VLOOKUP(U126,'Bag weights'!A$1:B$20,2,FALSE)</f>
        <v>4.0000000000000036E-2</v>
      </c>
      <c r="Y126">
        <f>W126-VLOOKUP(X126,'Bag weights'!A$1:B$20,2,FALSE)</f>
        <v>0</v>
      </c>
      <c r="AB126">
        <f>Z126-VLOOKUP(AA126,'Bag weights'!A$1:B$20,2,FALSE)</f>
        <v>0</v>
      </c>
      <c r="AC126" s="16">
        <v>37.69</v>
      </c>
      <c r="AD126" s="16" t="s">
        <v>276</v>
      </c>
      <c r="AE126">
        <f>AC126-VLOOKUP(AD126,'Bag weights'!A$1:B$20,2,FALSE)</f>
        <v>16.739999999999998</v>
      </c>
      <c r="AF126" s="16">
        <v>2.71</v>
      </c>
      <c r="AG126" s="16" t="s">
        <v>296</v>
      </c>
      <c r="AH126">
        <f>AF126-VLOOKUP(AG126,'Bag weights'!A$1:B$20,2,FALSE)</f>
        <v>0.21999999999999975</v>
      </c>
      <c r="AI126" s="16">
        <v>40.36</v>
      </c>
      <c r="AJ126" s="16" t="s">
        <v>276</v>
      </c>
      <c r="AK126">
        <f>AI126-VLOOKUP(AJ126,'Bag weights'!A$1:B$20,2,FALSE)</f>
        <v>19.41</v>
      </c>
      <c r="AL126" s="16">
        <v>34.32</v>
      </c>
      <c r="AM126" s="16" t="s">
        <v>276</v>
      </c>
      <c r="AN126">
        <f>AL126-VLOOKUP(AM126,'Bag weights'!A$1:B$20,2,FALSE)</f>
        <v>13.370000000000001</v>
      </c>
      <c r="AO126" s="16">
        <v>11.32</v>
      </c>
      <c r="AP126" s="16" t="s">
        <v>295</v>
      </c>
      <c r="AQ126">
        <f>AO126-VLOOKUP(AP126,'Bag weights'!A$1:B$20,2,FALSE)</f>
        <v>3.49</v>
      </c>
      <c r="AT126">
        <f>AR126-VLOOKUP(AS126,'Bag weights'!A$1:B$20,2,FALSE)</f>
        <v>0</v>
      </c>
      <c r="AW126">
        <f>AU126-VLOOKUP(AV126,'Bag weights'!A$1:B$20,2,FALSE)</f>
        <v>0</v>
      </c>
      <c r="AX126">
        <f t="shared" si="0"/>
        <v>56.599999999999987</v>
      </c>
    </row>
    <row r="127" spans="1:50">
      <c r="A127" s="87"/>
      <c r="B127" s="87"/>
      <c r="C127" s="87">
        <v>3</v>
      </c>
      <c r="D127" s="86" t="s">
        <v>87</v>
      </c>
      <c r="E127" s="21"/>
      <c r="F127" s="21"/>
      <c r="G127" s="21"/>
      <c r="J127">
        <f>H127-VLOOKUP(I127,'Bag weights'!A:B,2,FALSE)</f>
        <v>0</v>
      </c>
      <c r="K127" s="16"/>
      <c r="L127" s="16"/>
      <c r="M127">
        <f>K127-VLOOKUP(L127,'Bag weights'!A$1:B$20,2,FALSE)</f>
        <v>0</v>
      </c>
      <c r="N127" s="16">
        <v>9.3800000000000008</v>
      </c>
      <c r="O127" s="119" t="s">
        <v>295</v>
      </c>
      <c r="P127">
        <f>N127-VLOOKUP(O127,'Bag weights'!A$1:B$20,2,FALSE)</f>
        <v>1.5500000000000007</v>
      </c>
      <c r="S127">
        <f>Q127-VLOOKUP(R127,'Bag weights'!A$1:B$20,2,FALSE)</f>
        <v>0</v>
      </c>
      <c r="T127" s="16">
        <v>2.81</v>
      </c>
      <c r="U127" s="16" t="s">
        <v>296</v>
      </c>
      <c r="V127">
        <f>T127-VLOOKUP(U127,'Bag weights'!A$1:B$20,2,FALSE)</f>
        <v>0.31999999999999984</v>
      </c>
      <c r="Y127">
        <f>W127-VLOOKUP(X127,'Bag weights'!A$1:B$20,2,FALSE)</f>
        <v>0</v>
      </c>
      <c r="AB127">
        <f>Z127-VLOOKUP(AA127,'Bag weights'!A$1:B$20,2,FALSE)</f>
        <v>0</v>
      </c>
      <c r="AC127" s="16">
        <v>47.09</v>
      </c>
      <c r="AD127" s="16" t="s">
        <v>276</v>
      </c>
      <c r="AE127">
        <f>AC127-VLOOKUP(AD127,'Bag weights'!A$1:B$20,2,FALSE)</f>
        <v>26.140000000000004</v>
      </c>
      <c r="AH127">
        <f>AF127-VLOOKUP(AG127,'Bag weights'!A$1:B$20,2,FALSE)</f>
        <v>0</v>
      </c>
      <c r="AI127" s="16">
        <v>24.54</v>
      </c>
      <c r="AJ127" s="16" t="s">
        <v>295</v>
      </c>
      <c r="AK127">
        <f>AI127-VLOOKUP(AJ127,'Bag weights'!A$1:B$20,2,FALSE)</f>
        <v>16.71</v>
      </c>
      <c r="AL127" s="16">
        <v>20.420000000000002</v>
      </c>
      <c r="AM127" s="16" t="s">
        <v>295</v>
      </c>
      <c r="AN127">
        <f>AL127-VLOOKUP(AM127,'Bag weights'!A$1:B$20,2,FALSE)</f>
        <v>12.590000000000002</v>
      </c>
      <c r="AO127" s="16">
        <v>6.54</v>
      </c>
      <c r="AP127" s="16" t="s">
        <v>296</v>
      </c>
      <c r="AQ127">
        <f>AO127-VLOOKUP(AP127,'Bag weights'!A$1:B$20,2,FALSE)</f>
        <v>4.05</v>
      </c>
      <c r="AT127">
        <f>AR127-VLOOKUP(AS127,'Bag weights'!A$1:B$20,2,FALSE)</f>
        <v>0</v>
      </c>
      <c r="AU127" s="16">
        <v>2.2000000000000002</v>
      </c>
      <c r="AV127" s="16" t="s">
        <v>298</v>
      </c>
      <c r="AW127">
        <f>AU127-VLOOKUP(AV127,'Bag weights'!A$1:B$20,2,FALSE)</f>
        <v>0.80000000000000027</v>
      </c>
      <c r="AX127">
        <f t="shared" si="0"/>
        <v>61.360000000000014</v>
      </c>
    </row>
    <row r="128" spans="1:50">
      <c r="A128" s="87"/>
      <c r="B128" s="87"/>
      <c r="C128" s="87">
        <v>4</v>
      </c>
      <c r="D128" s="87" t="s">
        <v>83</v>
      </c>
      <c r="E128" s="2"/>
      <c r="F128" s="2"/>
      <c r="G128" s="2"/>
      <c r="J128">
        <f>H128-VLOOKUP(I128,'Bag weights'!A:B,2,FALSE)</f>
        <v>0</v>
      </c>
      <c r="K128" s="16"/>
      <c r="L128" s="16"/>
      <c r="M128">
        <f>K128-VLOOKUP(L128,'Bag weights'!A$1:B$20,2,FALSE)</f>
        <v>0</v>
      </c>
      <c r="N128" s="16">
        <v>5.25</v>
      </c>
      <c r="O128" s="119" t="s">
        <v>296</v>
      </c>
      <c r="P128">
        <f>N128-VLOOKUP(O128,'Bag weights'!A$1:B$20,2,FALSE)</f>
        <v>2.76</v>
      </c>
      <c r="S128">
        <f>Q128-VLOOKUP(R128,'Bag weights'!A$1:B$20,2,FALSE)</f>
        <v>0</v>
      </c>
      <c r="T128" s="16">
        <v>2.67</v>
      </c>
      <c r="U128" s="16" t="s">
        <v>296</v>
      </c>
      <c r="V128">
        <f>T128-VLOOKUP(U128,'Bag weights'!A$1:B$20,2,FALSE)</f>
        <v>0.17999999999999972</v>
      </c>
      <c r="W128" s="16">
        <v>3.05</v>
      </c>
      <c r="X128" s="16" t="s">
        <v>296</v>
      </c>
      <c r="Y128">
        <f>W128-VLOOKUP(X128,'Bag weights'!A$1:B$20,2,FALSE)</f>
        <v>0.55999999999999961</v>
      </c>
      <c r="AB128">
        <f>Z128-VLOOKUP(AA128,'Bag weights'!A$1:B$20,2,FALSE)</f>
        <v>0</v>
      </c>
      <c r="AC128" s="16">
        <v>17.3</v>
      </c>
      <c r="AD128" s="16" t="s">
        <v>295</v>
      </c>
      <c r="AE128">
        <f>AC128-VLOOKUP(AD128,'Bag weights'!A$1:B$20,2,FALSE)</f>
        <v>9.4700000000000006</v>
      </c>
      <c r="AF128" s="16">
        <v>2.67</v>
      </c>
      <c r="AG128" s="16" t="s">
        <v>296</v>
      </c>
      <c r="AH128">
        <f>AF128-VLOOKUP(AG128,'Bag weights'!A$1:B$20,2,FALSE)</f>
        <v>0.17999999999999972</v>
      </c>
      <c r="AI128" s="16">
        <v>15.51</v>
      </c>
      <c r="AJ128" s="16" t="s">
        <v>295</v>
      </c>
      <c r="AK128">
        <f>AI128-VLOOKUP(AJ128,'Bag weights'!A$1:B$20,2,FALSE)</f>
        <v>7.68</v>
      </c>
      <c r="AL128" s="16">
        <v>23.37</v>
      </c>
      <c r="AM128" s="16" t="s">
        <v>295</v>
      </c>
      <c r="AN128">
        <f>AL128-VLOOKUP(AM128,'Bag weights'!A$1:B$20,2,FALSE)</f>
        <v>15.540000000000001</v>
      </c>
      <c r="AO128" s="16">
        <v>18.63</v>
      </c>
      <c r="AP128" s="16" t="s">
        <v>295</v>
      </c>
      <c r="AQ128">
        <f>AO128-VLOOKUP(AP128,'Bag weights'!A$1:B$20,2,FALSE)</f>
        <v>10.799999999999999</v>
      </c>
      <c r="AT128">
        <f>AR128-VLOOKUP(AS128,'Bag weights'!A$1:B$20,2,FALSE)</f>
        <v>0</v>
      </c>
      <c r="AW128">
        <f>AU128-VLOOKUP(AV128,'Bag weights'!A$1:B$20,2,FALSE)</f>
        <v>0</v>
      </c>
      <c r="AX128">
        <f t="shared" si="0"/>
        <v>47.169999999999995</v>
      </c>
    </row>
    <row r="129" spans="1:50">
      <c r="A129" s="87"/>
      <c r="B129" s="87"/>
      <c r="C129" s="87">
        <v>4</v>
      </c>
      <c r="D129" s="87" t="s">
        <v>108</v>
      </c>
      <c r="E129" s="2"/>
      <c r="F129" s="2"/>
      <c r="G129" s="2"/>
      <c r="J129">
        <f>H129-VLOOKUP(I129,'Bag weights'!A:B,2,FALSE)</f>
        <v>0</v>
      </c>
      <c r="K129" s="16"/>
      <c r="L129" s="16"/>
      <c r="M129">
        <f>K129-VLOOKUP(L129,'Bag weights'!A$1:B$20,2,FALSE)</f>
        <v>0</v>
      </c>
      <c r="N129" s="16">
        <v>3.5</v>
      </c>
      <c r="O129" s="119" t="s">
        <v>296</v>
      </c>
      <c r="P129">
        <f>N129-VLOOKUP(O129,'Bag weights'!A$1:B$20,2,FALSE)</f>
        <v>1.0099999999999998</v>
      </c>
      <c r="S129">
        <f>Q129-VLOOKUP(R129,'Bag weights'!A$1:B$20,2,FALSE)</f>
        <v>0</v>
      </c>
      <c r="T129" s="16">
        <v>3.25</v>
      </c>
      <c r="U129" s="16" t="s">
        <v>296</v>
      </c>
      <c r="V129">
        <f>T129-VLOOKUP(U129,'Bag weights'!A$1:B$20,2,FALSE)</f>
        <v>0.75999999999999979</v>
      </c>
      <c r="W129" s="16">
        <v>2.5</v>
      </c>
      <c r="X129" s="16" t="s">
        <v>298</v>
      </c>
      <c r="Y129">
        <f>W129-VLOOKUP(X129,'Bag weights'!A$1:B$20,2,FALSE)</f>
        <v>1.1000000000000001</v>
      </c>
      <c r="AB129">
        <f>Z129-VLOOKUP(AA129,'Bag weights'!A$1:B$20,2,FALSE)</f>
        <v>0</v>
      </c>
      <c r="AC129" s="16">
        <v>14.64</v>
      </c>
      <c r="AD129" s="16" t="s">
        <v>295</v>
      </c>
      <c r="AE129">
        <f>AC129-VLOOKUP(AD129,'Bag weights'!A$1:B$20,2,FALSE)</f>
        <v>6.8100000000000005</v>
      </c>
      <c r="AF129" s="16">
        <v>1.58</v>
      </c>
      <c r="AG129" s="16" t="s">
        <v>298</v>
      </c>
      <c r="AH129">
        <f>AF129-VLOOKUP(AG129,'Bag weights'!A$1:B$20,2,FALSE)</f>
        <v>0.18000000000000016</v>
      </c>
      <c r="AI129" s="16">
        <v>22.45</v>
      </c>
      <c r="AJ129" s="16" t="s">
        <v>295</v>
      </c>
      <c r="AK129">
        <f>AI129-VLOOKUP(AJ129,'Bag weights'!A$1:B$20,2,FALSE)</f>
        <v>14.62</v>
      </c>
      <c r="AL129" s="16">
        <v>22.42</v>
      </c>
      <c r="AM129" s="16" t="s">
        <v>295</v>
      </c>
      <c r="AN129">
        <f>AL129-VLOOKUP(AM129,'Bag weights'!A$1:B$20,2,FALSE)</f>
        <v>14.590000000000002</v>
      </c>
      <c r="AO129" s="16">
        <v>16.39</v>
      </c>
      <c r="AP129" s="16" t="s">
        <v>295</v>
      </c>
      <c r="AQ129">
        <f>AO129-VLOOKUP(AP129,'Bag weights'!A$1:B$20,2,FALSE)</f>
        <v>8.56</v>
      </c>
      <c r="AT129">
        <f>AR129-VLOOKUP(AS129,'Bag weights'!A$1:B$20,2,FALSE)</f>
        <v>0</v>
      </c>
      <c r="AU129" s="16">
        <v>2.09</v>
      </c>
      <c r="AV129" s="16" t="s">
        <v>298</v>
      </c>
      <c r="AW129">
        <f>AU129-VLOOKUP(AV129,'Bag weights'!A$1:B$20,2,FALSE)</f>
        <v>0.69</v>
      </c>
      <c r="AX129">
        <f t="shared" si="0"/>
        <v>47.63</v>
      </c>
    </row>
    <row r="130" spans="1:50">
      <c r="A130" s="87"/>
      <c r="B130" s="87"/>
      <c r="C130" s="87">
        <v>4</v>
      </c>
      <c r="D130" s="86" t="s">
        <v>287</v>
      </c>
      <c r="E130" s="21"/>
      <c r="F130" s="21"/>
      <c r="G130" s="21"/>
      <c r="J130">
        <f>H130-VLOOKUP(I130,'Bag weights'!A:B,2,FALSE)</f>
        <v>0</v>
      </c>
      <c r="K130" s="16"/>
      <c r="L130" s="16"/>
      <c r="M130">
        <f>K130-VLOOKUP(L130,'Bag weights'!A$1:B$20,2,FALSE)</f>
        <v>0</v>
      </c>
      <c r="N130" s="16">
        <v>12.6</v>
      </c>
      <c r="O130" s="119" t="s">
        <v>295</v>
      </c>
      <c r="P130">
        <f>N130-VLOOKUP(O130,'Bag weights'!A$1:B$20,2,FALSE)</f>
        <v>4.7699999999999996</v>
      </c>
      <c r="S130">
        <f>Q130-VLOOKUP(R130,'Bag weights'!A$1:B$20,2,FALSE)</f>
        <v>0</v>
      </c>
      <c r="T130" s="16">
        <v>9.3699999999999992</v>
      </c>
      <c r="U130" s="16" t="s">
        <v>295</v>
      </c>
      <c r="V130">
        <f>T130-VLOOKUP(U130,'Bag weights'!A$1:B$20,2,FALSE)</f>
        <v>1.5399999999999991</v>
      </c>
      <c r="Y130">
        <f>W130-VLOOKUP(X130,'Bag weights'!A$1:B$20,2,FALSE)</f>
        <v>0</v>
      </c>
      <c r="AB130">
        <f>Z130-VLOOKUP(AA130,'Bag weights'!A$1:B$20,2,FALSE)</f>
        <v>0</v>
      </c>
      <c r="AC130" s="16">
        <v>11.53</v>
      </c>
      <c r="AD130" s="16" t="s">
        <v>295</v>
      </c>
      <c r="AE130">
        <f>AC130-VLOOKUP(AD130,'Bag weights'!A$1:B$20,2,FALSE)</f>
        <v>3.6999999999999993</v>
      </c>
      <c r="AF130" s="16">
        <v>10.08</v>
      </c>
      <c r="AG130" s="16" t="s">
        <v>295</v>
      </c>
      <c r="AH130">
        <f>AF130-VLOOKUP(AG130,'Bag weights'!A$1:B$20,2,FALSE)</f>
        <v>2.25</v>
      </c>
      <c r="AI130" s="16">
        <v>12.87</v>
      </c>
      <c r="AJ130" s="16" t="s">
        <v>295</v>
      </c>
      <c r="AK130">
        <f>AI130-VLOOKUP(AJ130,'Bag weights'!A$1:B$20,2,FALSE)</f>
        <v>5.0399999999999991</v>
      </c>
      <c r="AL130" s="16">
        <v>44.24</v>
      </c>
      <c r="AM130" s="16" t="s">
        <v>295</v>
      </c>
      <c r="AN130">
        <f>AL130-VLOOKUP(AM130,'Bag weights'!A$1:B$20,2,FALSE)</f>
        <v>36.410000000000004</v>
      </c>
      <c r="AQ130">
        <f>AO130-VLOOKUP(AP130,'Bag weights'!A$1:B$20,2,FALSE)</f>
        <v>0</v>
      </c>
      <c r="AT130">
        <f>AR130-VLOOKUP(AS130,'Bag weights'!A$1:B$20,2,FALSE)</f>
        <v>0</v>
      </c>
      <c r="AU130" s="16">
        <v>4.68</v>
      </c>
      <c r="AV130" s="16" t="s">
        <v>298</v>
      </c>
      <c r="AW130">
        <f>AU130-VLOOKUP(AV130,'Bag weights'!A$1:B$20,2,FALSE)</f>
        <v>3.28</v>
      </c>
      <c r="AX130">
        <f t="shared" si="0"/>
        <v>53.710000000000008</v>
      </c>
    </row>
    <row r="131" spans="1:50">
      <c r="A131" s="121"/>
      <c r="B131" s="121"/>
      <c r="C131" s="121">
        <v>4</v>
      </c>
      <c r="D131" s="139" t="s">
        <v>109</v>
      </c>
      <c r="E131" s="147"/>
      <c r="F131" s="147"/>
      <c r="G131" s="147"/>
      <c r="J131">
        <f>H131-VLOOKUP(I131,'Bag weights'!A:B,2,FALSE)</f>
        <v>0</v>
      </c>
      <c r="K131" s="16"/>
      <c r="L131" s="16"/>
      <c r="M131">
        <f>K131-VLOOKUP(L131,'Bag weights'!A$1:B$20,2,FALSE)</f>
        <v>0</v>
      </c>
      <c r="N131" s="16">
        <v>15.9</v>
      </c>
      <c r="O131" s="119" t="s">
        <v>295</v>
      </c>
      <c r="P131">
        <f>N131-VLOOKUP(O131,'Bag weights'!A$1:B$20,2,FALSE)</f>
        <v>8.07</v>
      </c>
      <c r="R131" s="16"/>
      <c r="S131">
        <f>Q131-VLOOKUP(R131,'Bag weights'!A$1:B$20,2,FALSE)</f>
        <v>0</v>
      </c>
      <c r="T131" s="16">
        <v>9.74</v>
      </c>
      <c r="U131" s="16" t="s">
        <v>295</v>
      </c>
      <c r="V131">
        <f>T131-VLOOKUP(U131,'Bag weights'!A$1:B$20,2,FALSE)</f>
        <v>1.9100000000000001</v>
      </c>
      <c r="Y131">
        <f>W131-VLOOKUP(X131,'Bag weights'!A$1:B$20,2,FALSE)</f>
        <v>0</v>
      </c>
      <c r="AB131">
        <f>Z131-VLOOKUP(AA131,'Bag weights'!A$1:B$20,2,FALSE)</f>
        <v>0</v>
      </c>
      <c r="AC131" s="16">
        <v>23.41</v>
      </c>
      <c r="AD131" s="16" t="s">
        <v>295</v>
      </c>
      <c r="AE131">
        <f>AC131-VLOOKUP(AD131,'Bag weights'!A$1:B$20,2,FALSE)</f>
        <v>15.58</v>
      </c>
      <c r="AF131" s="16">
        <v>2.93</v>
      </c>
      <c r="AG131" s="16" t="s">
        <v>296</v>
      </c>
      <c r="AH131">
        <f>AF131-VLOOKUP(AG131,'Bag weights'!A$1:B$20,2,FALSE)</f>
        <v>0.43999999999999995</v>
      </c>
      <c r="AI131" s="16">
        <v>37.130000000000003</v>
      </c>
      <c r="AJ131" s="16" t="s">
        <v>295</v>
      </c>
      <c r="AK131">
        <f>AI131-VLOOKUP(AJ131,'Bag weights'!A$1:B$20,2,FALSE)</f>
        <v>29.300000000000004</v>
      </c>
      <c r="AL131" s="16">
        <v>18.77</v>
      </c>
      <c r="AM131" s="16" t="s">
        <v>295</v>
      </c>
      <c r="AN131">
        <f>AL131-VLOOKUP(AM131,'Bag weights'!A$1:B$20,2,FALSE)</f>
        <v>10.94</v>
      </c>
      <c r="AO131" s="16">
        <v>6.74</v>
      </c>
      <c r="AP131" s="16" t="s">
        <v>296</v>
      </c>
      <c r="AQ131">
        <f>AO131-VLOOKUP(AP131,'Bag weights'!A$1:B$20,2,FALSE)</f>
        <v>4.25</v>
      </c>
      <c r="AT131">
        <f>AR131-VLOOKUP(AS131,'Bag weights'!A$1:B$20,2,FALSE)</f>
        <v>0</v>
      </c>
      <c r="AU131" s="16">
        <v>3.89</v>
      </c>
      <c r="AV131" s="16" t="s">
        <v>298</v>
      </c>
      <c r="AW131">
        <f>AU131-VLOOKUP(AV131,'Bag weights'!A$1:B$20,2,FALSE)</f>
        <v>2.4900000000000002</v>
      </c>
      <c r="AX131">
        <f t="shared" si="0"/>
        <v>70.490000000000009</v>
      </c>
    </row>
    <row r="132" spans="1:50">
      <c r="A132" s="87"/>
      <c r="B132" s="87"/>
      <c r="C132" s="87">
        <v>4</v>
      </c>
      <c r="D132" s="86" t="s">
        <v>87</v>
      </c>
      <c r="E132" s="21"/>
      <c r="F132" s="21"/>
      <c r="G132" s="21"/>
      <c r="J132">
        <f>H132-VLOOKUP(I132,'Bag weights'!A:B,2,FALSE)</f>
        <v>0</v>
      </c>
      <c r="K132" s="16"/>
      <c r="L132" s="16"/>
      <c r="M132">
        <f>K132-VLOOKUP(L132,'Bag weights'!A$1:B$20,2,FALSE)</f>
        <v>0</v>
      </c>
      <c r="N132" s="16">
        <v>14.78</v>
      </c>
      <c r="O132" s="119" t="s">
        <v>295</v>
      </c>
      <c r="P132">
        <f>N132-VLOOKUP(O132,'Bag weights'!A$1:B$20,2,FALSE)</f>
        <v>6.9499999999999993</v>
      </c>
      <c r="S132">
        <f>Q132-VLOOKUP(R132,'Bag weights'!A$1:B$20,2,FALSE)</f>
        <v>0</v>
      </c>
      <c r="T132" s="16">
        <v>9.11</v>
      </c>
      <c r="U132" s="16" t="s">
        <v>295</v>
      </c>
      <c r="V132">
        <f>T132-VLOOKUP(U132,'Bag weights'!A$1:B$20,2,FALSE)</f>
        <v>1.2799999999999994</v>
      </c>
      <c r="W132" s="16">
        <v>1.86</v>
      </c>
      <c r="X132" s="16" t="s">
        <v>298</v>
      </c>
      <c r="Y132">
        <f>W132-VLOOKUP(X132,'Bag weights'!A$1:B$20,2,FALSE)</f>
        <v>0.46000000000000019</v>
      </c>
      <c r="AB132">
        <f>Z132-VLOOKUP(AA132,'Bag weights'!A$1:B$20,2,FALSE)</f>
        <v>0</v>
      </c>
      <c r="AC132" s="16">
        <v>18.649999999999999</v>
      </c>
      <c r="AD132" s="16" t="s">
        <v>295</v>
      </c>
      <c r="AE132">
        <f>AC132-VLOOKUP(AD132,'Bag weights'!A$1:B$20,2,FALSE)</f>
        <v>10.819999999999999</v>
      </c>
      <c r="AF132" s="16">
        <v>9.4499999999999993</v>
      </c>
      <c r="AG132" s="16" t="s">
        <v>295</v>
      </c>
      <c r="AH132">
        <f>AF132-VLOOKUP(AG132,'Bag weights'!A$1:B$20,2,FALSE)</f>
        <v>1.6199999999999992</v>
      </c>
      <c r="AI132" s="16">
        <v>20.41</v>
      </c>
      <c r="AJ132" s="16" t="s">
        <v>295</v>
      </c>
      <c r="AK132">
        <f>AI132-VLOOKUP(AJ132,'Bag weights'!A$1:B$20,2,FALSE)</f>
        <v>12.58</v>
      </c>
      <c r="AL132" s="16">
        <v>38.799999999999997</v>
      </c>
      <c r="AM132" s="16" t="s">
        <v>295</v>
      </c>
      <c r="AN132">
        <f>AL132-VLOOKUP(AM132,'Bag weights'!A$1:B$20,2,FALSE)</f>
        <v>30.97</v>
      </c>
      <c r="AQ132">
        <f>AO132-VLOOKUP(AP132,'Bag weights'!A$1:B$20,2,FALSE)</f>
        <v>0</v>
      </c>
      <c r="AT132">
        <f>AR132-VLOOKUP(AS132,'Bag weights'!A$1:B$20,2,FALSE)</f>
        <v>0</v>
      </c>
      <c r="AU132" s="16">
        <v>3.41</v>
      </c>
      <c r="AV132" s="16" t="s">
        <v>298</v>
      </c>
      <c r="AW132">
        <f>AU132-VLOOKUP(AV132,'Bag weights'!A$1:B$20,2,FALSE)</f>
        <v>2.0100000000000002</v>
      </c>
      <c r="AX132">
        <f t="shared" si="0"/>
        <v>64.679999999999993</v>
      </c>
    </row>
    <row r="133" spans="1:50">
      <c r="A133" s="87" t="s">
        <v>112</v>
      </c>
      <c r="B133" s="87" t="s">
        <v>115</v>
      </c>
      <c r="C133" s="87">
        <v>1</v>
      </c>
      <c r="D133" s="87" t="s">
        <v>83</v>
      </c>
      <c r="E133" s="2"/>
      <c r="F133" s="2"/>
      <c r="G133" s="2"/>
      <c r="H133" s="148"/>
      <c r="I133" s="148"/>
      <c r="J133">
        <f>H133-VLOOKUP(I133,'Bag weights'!A:B,2,FALSE)</f>
        <v>0</v>
      </c>
      <c r="K133" s="148"/>
      <c r="L133" s="148"/>
      <c r="M133">
        <f>K133-VLOOKUP(L133,'Bag weights'!A$1:B$20,2,FALSE)</f>
        <v>0</v>
      </c>
      <c r="N133" s="148"/>
      <c r="O133" s="149"/>
      <c r="P133">
        <f>N133-VLOOKUP(O133,'Bag weights'!A$1:B$20,2,FALSE)</f>
        <v>0</v>
      </c>
      <c r="Q133" s="148"/>
      <c r="R133" s="148"/>
      <c r="S133">
        <f>Q133-VLOOKUP(R133,'Bag weights'!A$1:B$20,2,FALSE)</f>
        <v>0</v>
      </c>
      <c r="T133" s="16">
        <v>3.06</v>
      </c>
      <c r="U133" s="16" t="s">
        <v>296</v>
      </c>
      <c r="V133">
        <f>T133-VLOOKUP(U133,'Bag weights'!A$1:B$20,2,FALSE)</f>
        <v>0.56999999999999984</v>
      </c>
      <c r="W133" s="150">
        <f t="shared" ref="W133:W135" si="1">Q133</f>
        <v>0</v>
      </c>
      <c r="X133" s="150"/>
      <c r="Y133">
        <f>W133-VLOOKUP(X133,'Bag weights'!A$1:B$20,2,FALSE)</f>
        <v>0</v>
      </c>
      <c r="Z133" s="150">
        <f t="shared" ref="Z133:Z135" si="2">W133</f>
        <v>0</v>
      </c>
      <c r="AA133" s="150"/>
      <c r="AB133">
        <f>Z133-VLOOKUP(AA133,'Bag weights'!A$1:B$20,2,FALSE)</f>
        <v>0</v>
      </c>
      <c r="AC133" s="16">
        <v>83.04</v>
      </c>
      <c r="AD133" s="16" t="s">
        <v>276</v>
      </c>
      <c r="AE133">
        <f>AC133-VLOOKUP(AD133,'Bag weights'!A$1:B$20,2,FALSE)</f>
        <v>62.09</v>
      </c>
      <c r="AF133" s="16"/>
      <c r="AH133">
        <f>AF133-VLOOKUP(AG133,'Bag weights'!A$1:B$20,2,FALSE)</f>
        <v>0</v>
      </c>
      <c r="AI133" s="16">
        <v>9.67</v>
      </c>
      <c r="AJ133" s="16" t="s">
        <v>295</v>
      </c>
      <c r="AK133">
        <f>AI133-VLOOKUP(AJ133,'Bag weights'!A$1:B$20,2,FALSE)</f>
        <v>1.8399999999999999</v>
      </c>
      <c r="AL133" s="16">
        <v>9.89</v>
      </c>
      <c r="AM133" s="16" t="s">
        <v>295</v>
      </c>
      <c r="AN133">
        <f>AL133-VLOOKUP(AM133,'Bag weights'!A$1:B$20,2,FALSE)</f>
        <v>2.0600000000000005</v>
      </c>
      <c r="AO133" s="16"/>
      <c r="AQ133">
        <f>AO133-VLOOKUP(AP133,'Bag weights'!A$1:B$20,2,FALSE)</f>
        <v>0</v>
      </c>
      <c r="AT133">
        <f>AR133-VLOOKUP(AS133,'Bag weights'!A$1:B$20,2,FALSE)</f>
        <v>0</v>
      </c>
      <c r="AU133" s="16">
        <v>11.64</v>
      </c>
      <c r="AV133" s="16" t="s">
        <v>296</v>
      </c>
      <c r="AW133">
        <f>AU133-VLOOKUP(AV133,'Bag weights'!A$1:B$20,2,FALSE)</f>
        <v>9.15</v>
      </c>
      <c r="AX133">
        <f t="shared" si="0"/>
        <v>66.56</v>
      </c>
    </row>
    <row r="134" spans="1:50">
      <c r="A134" s="87"/>
      <c r="B134" s="87"/>
      <c r="C134" s="87">
        <v>1</v>
      </c>
      <c r="D134" s="87" t="s">
        <v>85</v>
      </c>
      <c r="E134" s="2"/>
      <c r="F134" s="2"/>
      <c r="G134" s="2"/>
      <c r="H134" s="148"/>
      <c r="I134" s="148"/>
      <c r="J134">
        <f>H134-VLOOKUP(I134,'Bag weights'!A:B,2,FALSE)</f>
        <v>0</v>
      </c>
      <c r="K134" s="148"/>
      <c r="L134" s="148"/>
      <c r="M134">
        <f>K134-VLOOKUP(L134,'Bag weights'!A$1:B$20,2,FALSE)</f>
        <v>0</v>
      </c>
      <c r="N134" s="148"/>
      <c r="O134" s="149"/>
      <c r="P134">
        <f>N134-VLOOKUP(O134,'Bag weights'!A$1:B$20,2,FALSE)</f>
        <v>0</v>
      </c>
      <c r="Q134" s="148"/>
      <c r="R134" s="148"/>
      <c r="S134">
        <f>Q134-VLOOKUP(R134,'Bag weights'!A$1:B$20,2,FALSE)</f>
        <v>0</v>
      </c>
      <c r="T134" s="16">
        <v>1.34</v>
      </c>
      <c r="U134" s="16" t="s">
        <v>302</v>
      </c>
      <c r="V134">
        <f>T134-VLOOKUP(U134,'Bag weights'!A$1:B$20,2,FALSE)</f>
        <v>1.34</v>
      </c>
      <c r="W134" s="150">
        <f t="shared" si="1"/>
        <v>0</v>
      </c>
      <c r="X134" s="150"/>
      <c r="Y134">
        <f>W134-VLOOKUP(X134,'Bag weights'!A$1:B$20,2,FALSE)</f>
        <v>0</v>
      </c>
      <c r="Z134" s="150">
        <f t="shared" si="2"/>
        <v>0</v>
      </c>
      <c r="AA134" s="150"/>
      <c r="AB134">
        <f>Z134-VLOOKUP(AA134,'Bag weights'!A$1:B$20,2,FALSE)</f>
        <v>0</v>
      </c>
      <c r="AC134" s="16">
        <v>64.66</v>
      </c>
      <c r="AD134" s="16" t="s">
        <v>276</v>
      </c>
      <c r="AE134">
        <f>AC134-VLOOKUP(AD134,'Bag weights'!A$1:B$20,2,FALSE)</f>
        <v>43.709999999999994</v>
      </c>
      <c r="AF134" s="16">
        <v>12.94</v>
      </c>
      <c r="AG134" s="16" t="s">
        <v>295</v>
      </c>
      <c r="AH134">
        <f>AF134-VLOOKUP(AG134,'Bag weights'!A$1:B$20,2,FALSE)</f>
        <v>5.1099999999999994</v>
      </c>
      <c r="AI134" s="16">
        <v>10.72</v>
      </c>
      <c r="AJ134" s="16" t="s">
        <v>295</v>
      </c>
      <c r="AK134">
        <f>AI134-VLOOKUP(AJ134,'Bag weights'!A$1:B$20,2,FALSE)</f>
        <v>2.8900000000000006</v>
      </c>
      <c r="AL134" s="16">
        <v>24.28</v>
      </c>
      <c r="AM134" s="16" t="s">
        <v>295</v>
      </c>
      <c r="AN134">
        <f>AL134-VLOOKUP(AM134,'Bag weights'!A$1:B$20,2,FALSE)</f>
        <v>16.450000000000003</v>
      </c>
      <c r="AO134" s="16">
        <v>5.1100000000000003</v>
      </c>
      <c r="AP134" s="16" t="s">
        <v>296</v>
      </c>
      <c r="AQ134">
        <f>AO134-VLOOKUP(AP134,'Bag weights'!A$1:B$20,2,FALSE)</f>
        <v>2.62</v>
      </c>
      <c r="AT134">
        <f>AR134-VLOOKUP(AS134,'Bag weights'!A$1:B$20,2,FALSE)</f>
        <v>0</v>
      </c>
      <c r="AU134" s="16">
        <v>4.8099999999999996</v>
      </c>
      <c r="AV134" s="16" t="s">
        <v>296</v>
      </c>
      <c r="AW134">
        <f>AU134-VLOOKUP(AV134,'Bag weights'!A$1:B$20,2,FALSE)</f>
        <v>2.3199999999999994</v>
      </c>
      <c r="AX134">
        <f t="shared" si="0"/>
        <v>72.12</v>
      </c>
    </row>
    <row r="135" spans="1:50">
      <c r="A135" s="87"/>
      <c r="B135" s="87"/>
      <c r="C135" s="87">
        <v>1</v>
      </c>
      <c r="D135" s="87" t="s">
        <v>87</v>
      </c>
      <c r="E135" s="2"/>
      <c r="F135" s="2"/>
      <c r="G135" s="2"/>
      <c r="H135" s="148"/>
      <c r="I135" s="148"/>
      <c r="J135">
        <f>H135-VLOOKUP(I135,'Bag weights'!A:B,2,FALSE)</f>
        <v>0</v>
      </c>
      <c r="K135" s="148"/>
      <c r="L135" s="148"/>
      <c r="M135">
        <f>K135-VLOOKUP(L135,'Bag weights'!A$1:B$20,2,FALSE)</f>
        <v>0</v>
      </c>
      <c r="N135" s="148"/>
      <c r="O135" s="149"/>
      <c r="P135">
        <f>N135-VLOOKUP(O135,'Bag weights'!A$1:B$20,2,FALSE)</f>
        <v>0</v>
      </c>
      <c r="Q135" s="148"/>
      <c r="R135" s="148"/>
      <c r="S135">
        <f>Q135-VLOOKUP(R135,'Bag weights'!A$1:B$20,2,FALSE)</f>
        <v>0</v>
      </c>
      <c r="T135" s="16">
        <v>8.94</v>
      </c>
      <c r="U135" s="16" t="s">
        <v>295</v>
      </c>
      <c r="V135">
        <f>T135-VLOOKUP(U135,'Bag weights'!A$1:B$20,2,FALSE)</f>
        <v>1.1099999999999994</v>
      </c>
      <c r="W135" s="150">
        <f t="shared" si="1"/>
        <v>0</v>
      </c>
      <c r="X135" s="150"/>
      <c r="Y135">
        <f>W135-VLOOKUP(X135,'Bag weights'!A$1:B$20,2,FALSE)</f>
        <v>0</v>
      </c>
      <c r="Z135" s="150">
        <f t="shared" si="2"/>
        <v>0</v>
      </c>
      <c r="AA135" s="150"/>
      <c r="AB135">
        <f>Z135-VLOOKUP(AA135,'Bag weights'!A$1:B$20,2,FALSE)</f>
        <v>0</v>
      </c>
      <c r="AC135" s="16">
        <v>69.37</v>
      </c>
      <c r="AD135" s="16" t="s">
        <v>276</v>
      </c>
      <c r="AE135">
        <f>AC135-VLOOKUP(AD135,'Bag weights'!A$1:B$20,2,FALSE)</f>
        <v>48.42</v>
      </c>
      <c r="AF135" s="16">
        <v>2.5099999999999998</v>
      </c>
      <c r="AG135" s="16" t="s">
        <v>296</v>
      </c>
      <c r="AH135">
        <f>AF135-VLOOKUP(AG135,'Bag weights'!A$1:B$20,2,FALSE)</f>
        <v>1.9999999999999574E-2</v>
      </c>
      <c r="AI135" s="16"/>
      <c r="AK135">
        <f>AI135-VLOOKUP(AJ135,'Bag weights'!A$1:B$20,2,FALSE)</f>
        <v>0</v>
      </c>
      <c r="AL135" s="16">
        <v>25.06</v>
      </c>
      <c r="AM135" s="16" t="s">
        <v>295</v>
      </c>
      <c r="AN135">
        <f>AL135-VLOOKUP(AM135,'Bag weights'!A$1:B$20,2,FALSE)</f>
        <v>17.229999999999997</v>
      </c>
      <c r="AO135" s="16"/>
      <c r="AQ135">
        <f>AO135-VLOOKUP(AP135,'Bag weights'!A$1:B$20,2,FALSE)</f>
        <v>0</v>
      </c>
      <c r="AT135">
        <f>AR135-VLOOKUP(AS135,'Bag weights'!A$1:B$20,2,FALSE)</f>
        <v>0</v>
      </c>
      <c r="AU135" s="16">
        <v>2.52</v>
      </c>
      <c r="AV135" s="16" t="s">
        <v>298</v>
      </c>
      <c r="AW135">
        <f>AU135-VLOOKUP(AV135,'Bag weights'!A$1:B$20,2,FALSE)</f>
        <v>1.1200000000000001</v>
      </c>
      <c r="AX135">
        <f t="shared" si="0"/>
        <v>66.78</v>
      </c>
    </row>
    <row r="136" spans="1:50">
      <c r="A136" s="87"/>
      <c r="B136" s="87"/>
      <c r="C136" s="87">
        <v>1</v>
      </c>
      <c r="D136" s="87" t="s">
        <v>79</v>
      </c>
      <c r="E136" s="2"/>
      <c r="F136" s="2"/>
      <c r="G136" s="2"/>
      <c r="H136" s="148"/>
      <c r="I136" s="148"/>
      <c r="J136">
        <f>H136-VLOOKUP(I136,'Bag weights'!A:B,2,FALSE)</f>
        <v>0</v>
      </c>
      <c r="K136" s="148"/>
      <c r="L136" s="148"/>
      <c r="M136">
        <f>K136-VLOOKUP(L136,'Bag weights'!A$1:B$20,2,FALSE)</f>
        <v>0</v>
      </c>
      <c r="N136" s="148"/>
      <c r="O136" s="149"/>
      <c r="P136">
        <f>N136-VLOOKUP(O136,'Bag weights'!A$1:B$20,2,FALSE)</f>
        <v>0</v>
      </c>
      <c r="Q136" s="148"/>
      <c r="R136" s="148"/>
      <c r="S136">
        <f>Q136-VLOOKUP(R136,'Bag weights'!A$1:B$20,2,FALSE)</f>
        <v>0</v>
      </c>
      <c r="T136" s="16">
        <v>8.56</v>
      </c>
      <c r="U136" s="16" t="s">
        <v>295</v>
      </c>
      <c r="V136">
        <f>T136-VLOOKUP(U136,'Bag weights'!A$1:B$20,2,FALSE)</f>
        <v>0.73000000000000043</v>
      </c>
      <c r="W136" s="148"/>
      <c r="X136" s="150"/>
      <c r="Y136">
        <f>W136-VLOOKUP(X136,'Bag weights'!A$1:B$20,2,FALSE)</f>
        <v>0</v>
      </c>
      <c r="Z136" s="16"/>
      <c r="AB136">
        <f>Z136-VLOOKUP(AA136,'Bag weights'!A$1:B$20,2,FALSE)</f>
        <v>0</v>
      </c>
      <c r="AC136" s="16">
        <v>73.41</v>
      </c>
      <c r="AD136" s="16" t="s">
        <v>276</v>
      </c>
      <c r="AE136">
        <f>AC136-VLOOKUP(AD136,'Bag weights'!A$1:B$20,2,FALSE)</f>
        <v>52.459999999999994</v>
      </c>
      <c r="AF136" s="16">
        <v>3.27</v>
      </c>
      <c r="AG136" s="16" t="s">
        <v>296</v>
      </c>
      <c r="AH136">
        <f>AF136-VLOOKUP(AG136,'Bag weights'!A$1:B$20,2,FALSE)</f>
        <v>0.7799999999999998</v>
      </c>
      <c r="AI136" s="16">
        <v>3.04</v>
      </c>
      <c r="AJ136" s="16" t="s">
        <v>296</v>
      </c>
      <c r="AK136">
        <f>AI136-VLOOKUP(AJ136,'Bag weights'!A$1:B$20,2,FALSE)</f>
        <v>0.54999999999999982</v>
      </c>
      <c r="AL136" s="16">
        <v>10.29</v>
      </c>
      <c r="AM136" s="16" t="s">
        <v>295</v>
      </c>
      <c r="AN136">
        <f>AL136-VLOOKUP(AM136,'Bag weights'!A$1:B$20,2,FALSE)</f>
        <v>2.4599999999999991</v>
      </c>
      <c r="AO136" s="16">
        <v>8.84</v>
      </c>
      <c r="AP136" s="16" t="s">
        <v>295</v>
      </c>
      <c r="AQ136">
        <f>AO136-VLOOKUP(AP136,'Bag weights'!A$1:B$20,2,FALSE)</f>
        <v>1.0099999999999998</v>
      </c>
      <c r="AR136" s="16">
        <v>9.8800000000000008</v>
      </c>
      <c r="AS136" s="16" t="s">
        <v>295</v>
      </c>
      <c r="AT136">
        <f>AR136-VLOOKUP(AS136,'Bag weights'!A$1:B$20,2,FALSE)</f>
        <v>2.0500000000000007</v>
      </c>
      <c r="AU136" s="16">
        <v>3.24</v>
      </c>
      <c r="AV136" s="16" t="s">
        <v>296</v>
      </c>
      <c r="AW136">
        <f>AU136-VLOOKUP(AV136,'Bag weights'!A$1:B$20,2,FALSE)</f>
        <v>0.75</v>
      </c>
      <c r="AX136">
        <f t="shared" si="0"/>
        <v>60.039999999999992</v>
      </c>
    </row>
    <row r="137" spans="1:50">
      <c r="A137" s="87"/>
      <c r="B137" s="87"/>
      <c r="C137" s="87">
        <v>1</v>
      </c>
      <c r="D137" s="87" t="s">
        <v>88</v>
      </c>
      <c r="E137" s="2"/>
      <c r="F137" s="2"/>
      <c r="G137" s="2"/>
      <c r="H137" s="148"/>
      <c r="I137" s="148"/>
      <c r="J137">
        <f>H137-VLOOKUP(I137,'Bag weights'!A:B,2,FALSE)</f>
        <v>0</v>
      </c>
      <c r="K137" s="148"/>
      <c r="L137" s="148"/>
      <c r="M137">
        <f>K137-VLOOKUP(L137,'Bag weights'!A$1:B$20,2,FALSE)</f>
        <v>0</v>
      </c>
      <c r="N137" s="148"/>
      <c r="O137" s="149"/>
      <c r="P137">
        <f>N137-VLOOKUP(O137,'Bag weights'!A$1:B$20,2,FALSE)</f>
        <v>0</v>
      </c>
      <c r="Q137" s="148"/>
      <c r="R137" s="148"/>
      <c r="S137">
        <f>Q137-VLOOKUP(R137,'Bag weights'!A$1:B$20,2,FALSE)</f>
        <v>0</v>
      </c>
      <c r="T137" s="16">
        <v>9.1999999999999993</v>
      </c>
      <c r="U137" s="16" t="s">
        <v>295</v>
      </c>
      <c r="V137">
        <f>T137-VLOOKUP(U137,'Bag weights'!A$1:B$20,2,FALSE)</f>
        <v>1.3699999999999992</v>
      </c>
      <c r="W137" s="150">
        <f t="shared" ref="W137:W152" si="3">Q137</f>
        <v>0</v>
      </c>
      <c r="X137" s="150"/>
      <c r="Y137">
        <f>W137-VLOOKUP(X137,'Bag weights'!A$1:B$20,2,FALSE)</f>
        <v>0</v>
      </c>
      <c r="Z137" s="150">
        <f t="shared" ref="Z137:Z139" si="4">W133</f>
        <v>0</v>
      </c>
      <c r="AA137" s="150"/>
      <c r="AB137">
        <f>Z137-VLOOKUP(AA137,'Bag weights'!A$1:B$20,2,FALSE)</f>
        <v>0</v>
      </c>
      <c r="AC137" s="16">
        <v>71.650000000000006</v>
      </c>
      <c r="AD137" s="16" t="s">
        <v>276</v>
      </c>
      <c r="AE137">
        <f>AC137-VLOOKUP(AD137,'Bag weights'!A$1:B$20,2,FALSE)</f>
        <v>50.7</v>
      </c>
      <c r="AF137" s="16"/>
      <c r="AH137">
        <f>AF137-VLOOKUP(AG137,'Bag weights'!A$1:B$20,2,FALSE)</f>
        <v>0</v>
      </c>
      <c r="AI137" s="16"/>
      <c r="AK137">
        <f>AI137-VLOOKUP(AJ137,'Bag weights'!A$1:B$20,2,FALSE)</f>
        <v>0</v>
      </c>
      <c r="AL137" s="16">
        <v>15.4</v>
      </c>
      <c r="AM137" s="16" t="s">
        <v>295</v>
      </c>
      <c r="AN137">
        <f>AL137-VLOOKUP(AM137,'Bag weights'!A$1:B$20,2,FALSE)</f>
        <v>7.57</v>
      </c>
      <c r="AO137" s="16"/>
      <c r="AQ137">
        <f>AO137-VLOOKUP(AP137,'Bag weights'!A$1:B$20,2,FALSE)</f>
        <v>0</v>
      </c>
      <c r="AT137">
        <f>AR137-VLOOKUP(AS137,'Bag weights'!A$1:B$20,2,FALSE)</f>
        <v>0</v>
      </c>
      <c r="AU137" s="16">
        <v>3.98</v>
      </c>
      <c r="AV137" s="16" t="s">
        <v>296</v>
      </c>
      <c r="AW137">
        <f>AU137-VLOOKUP(AV137,'Bag weights'!A$1:B$20,2,FALSE)</f>
        <v>1.4899999999999998</v>
      </c>
      <c r="AX137">
        <f t="shared" si="0"/>
        <v>59.64</v>
      </c>
    </row>
    <row r="138" spans="1:50">
      <c r="A138" s="87"/>
      <c r="B138" s="87"/>
      <c r="C138" s="87">
        <v>2</v>
      </c>
      <c r="D138" s="87" t="s">
        <v>83</v>
      </c>
      <c r="E138" s="2"/>
      <c r="F138" s="2"/>
      <c r="G138" s="2"/>
      <c r="H138" s="148"/>
      <c r="I138" s="148"/>
      <c r="J138">
        <f>H138-VLOOKUP(I138,'Bag weights'!A:B,2,FALSE)</f>
        <v>0</v>
      </c>
      <c r="K138" s="148"/>
      <c r="L138" s="148"/>
      <c r="M138">
        <f>K138-VLOOKUP(L138,'Bag weights'!A$1:B$20,2,FALSE)</f>
        <v>0</v>
      </c>
      <c r="N138" s="148"/>
      <c r="O138" s="149"/>
      <c r="P138">
        <f>N138-VLOOKUP(O138,'Bag weights'!A$1:B$20,2,FALSE)</f>
        <v>0</v>
      </c>
      <c r="Q138" s="148"/>
      <c r="R138" s="148"/>
      <c r="S138">
        <f>Q138-VLOOKUP(R138,'Bag weights'!A$1:B$20,2,FALSE)</f>
        <v>0</v>
      </c>
      <c r="T138" s="16">
        <v>2.92</v>
      </c>
      <c r="U138" s="16" t="s">
        <v>296</v>
      </c>
      <c r="V138">
        <f>T138-VLOOKUP(U138,'Bag weights'!A$1:B$20,2,FALSE)</f>
        <v>0.42999999999999972</v>
      </c>
      <c r="W138" s="150">
        <f t="shared" si="3"/>
        <v>0</v>
      </c>
      <c r="X138" s="150"/>
      <c r="Y138">
        <f>W138-VLOOKUP(X138,'Bag weights'!A$1:B$20,2,FALSE)</f>
        <v>0</v>
      </c>
      <c r="Z138" s="150">
        <f t="shared" si="4"/>
        <v>0</v>
      </c>
      <c r="AA138" s="150"/>
      <c r="AB138">
        <f>Z138-VLOOKUP(AA138,'Bag weights'!A$1:B$20,2,FALSE)</f>
        <v>0</v>
      </c>
      <c r="AC138" s="16">
        <v>65.7</v>
      </c>
      <c r="AD138" s="16" t="s">
        <v>276</v>
      </c>
      <c r="AE138">
        <f>AC138-VLOOKUP(AD138,'Bag weights'!A$1:B$20,2,FALSE)</f>
        <v>44.75</v>
      </c>
      <c r="AF138" s="16">
        <v>12.42</v>
      </c>
      <c r="AG138" s="16" t="s">
        <v>295</v>
      </c>
      <c r="AH138">
        <f>AF138-VLOOKUP(AG138,'Bag weights'!A$1:B$20,2,FALSE)</f>
        <v>4.59</v>
      </c>
      <c r="AI138" s="16">
        <v>2.61</v>
      </c>
      <c r="AJ138" s="16" t="s">
        <v>296</v>
      </c>
      <c r="AK138">
        <f>AI138-VLOOKUP(AJ138,'Bag weights'!A$1:B$20,2,FALSE)</f>
        <v>0.11999999999999966</v>
      </c>
      <c r="AL138" s="16">
        <v>21.33</v>
      </c>
      <c r="AM138" s="16" t="s">
        <v>295</v>
      </c>
      <c r="AN138">
        <f>AL138-VLOOKUP(AM138,'Bag weights'!A$1:B$20,2,FALSE)</f>
        <v>13.499999999999998</v>
      </c>
      <c r="AO138" s="16">
        <v>0.84</v>
      </c>
      <c r="AP138" s="16" t="s">
        <v>302</v>
      </c>
      <c r="AQ138">
        <f>AO138-VLOOKUP(AP138,'Bag weights'!A$1:B$20,2,FALSE)</f>
        <v>0.84</v>
      </c>
      <c r="AT138">
        <f>AR138-VLOOKUP(AS138,'Bag weights'!A$1:B$20,2,FALSE)</f>
        <v>0</v>
      </c>
      <c r="AU138" s="16">
        <v>3.91</v>
      </c>
      <c r="AV138" s="16" t="s">
        <v>296</v>
      </c>
      <c r="AW138">
        <f>AU138-VLOOKUP(AV138,'Bag weights'!A$1:B$20,2,FALSE)</f>
        <v>1.42</v>
      </c>
      <c r="AX138">
        <f t="shared" si="0"/>
        <v>64.22999999999999</v>
      </c>
    </row>
    <row r="139" spans="1:50">
      <c r="A139" s="87"/>
      <c r="B139" s="87"/>
      <c r="C139" s="87">
        <v>2</v>
      </c>
      <c r="D139" s="87" t="s">
        <v>85</v>
      </c>
      <c r="E139" s="2"/>
      <c r="F139" s="2"/>
      <c r="G139" s="2"/>
      <c r="H139" s="148"/>
      <c r="I139" s="148"/>
      <c r="J139">
        <f>H139-VLOOKUP(I139,'Bag weights'!A:B,2,FALSE)</f>
        <v>0</v>
      </c>
      <c r="K139" s="148"/>
      <c r="L139" s="148"/>
      <c r="M139">
        <f>K139-VLOOKUP(L139,'Bag weights'!A$1:B$20,2,FALSE)</f>
        <v>0</v>
      </c>
      <c r="N139" s="148"/>
      <c r="O139" s="149"/>
      <c r="P139">
        <f>N139-VLOOKUP(O139,'Bag weights'!A$1:B$20,2,FALSE)</f>
        <v>0</v>
      </c>
      <c r="Q139" s="148"/>
      <c r="R139" s="148"/>
      <c r="S139">
        <f>Q139-VLOOKUP(R139,'Bag weights'!A$1:B$20,2,FALSE)</f>
        <v>0</v>
      </c>
      <c r="T139" s="16">
        <v>2.77</v>
      </c>
      <c r="U139" s="16" t="s">
        <v>296</v>
      </c>
      <c r="V139">
        <f>T139-VLOOKUP(U139,'Bag weights'!A$1:B$20,2,FALSE)</f>
        <v>0.2799999999999998</v>
      </c>
      <c r="W139" s="150">
        <f t="shared" si="3"/>
        <v>0</v>
      </c>
      <c r="X139" s="150"/>
      <c r="Y139">
        <f>W139-VLOOKUP(X139,'Bag weights'!A$1:B$20,2,FALSE)</f>
        <v>0</v>
      </c>
      <c r="Z139" s="150">
        <f t="shared" si="4"/>
        <v>0</v>
      </c>
      <c r="AA139" s="150"/>
      <c r="AB139">
        <f>Z139-VLOOKUP(AA139,'Bag weights'!A$1:B$20,2,FALSE)</f>
        <v>0</v>
      </c>
      <c r="AC139" s="16">
        <v>78.87</v>
      </c>
      <c r="AD139" s="16" t="s">
        <v>276</v>
      </c>
      <c r="AE139">
        <f>AC139-VLOOKUP(AD139,'Bag weights'!A$1:B$20,2,FALSE)</f>
        <v>57.92</v>
      </c>
      <c r="AF139" s="16"/>
      <c r="AH139">
        <f>AF139-VLOOKUP(AG139,'Bag weights'!A$1:B$20,2,FALSE)</f>
        <v>0</v>
      </c>
      <c r="AI139" s="16"/>
      <c r="AK139">
        <f>AI139-VLOOKUP(AJ139,'Bag weights'!A$1:B$20,2,FALSE)</f>
        <v>0</v>
      </c>
      <c r="AL139" s="16">
        <v>11.62</v>
      </c>
      <c r="AM139" s="16" t="s">
        <v>295</v>
      </c>
      <c r="AN139">
        <f>AL139-VLOOKUP(AM139,'Bag weights'!A$1:B$20,2,FALSE)</f>
        <v>3.7899999999999991</v>
      </c>
      <c r="AO139" s="16">
        <v>2.5</v>
      </c>
      <c r="AP139" s="16" t="s">
        <v>296</v>
      </c>
      <c r="AQ139">
        <f>AO139-VLOOKUP(AP139,'Bag weights'!A$1:B$20,2,FALSE)</f>
        <v>9.9999999999997868E-3</v>
      </c>
      <c r="AT139">
        <f>AR139-VLOOKUP(AS139,'Bag weights'!A$1:B$20,2,FALSE)</f>
        <v>0</v>
      </c>
      <c r="AU139" s="16">
        <v>3.98</v>
      </c>
      <c r="AV139" s="16" t="s">
        <v>296</v>
      </c>
      <c r="AW139">
        <f>AU139-VLOOKUP(AV139,'Bag weights'!A$1:B$20,2,FALSE)</f>
        <v>1.4899999999999998</v>
      </c>
      <c r="AX139">
        <f t="shared" si="0"/>
        <v>62</v>
      </c>
    </row>
    <row r="140" spans="1:50">
      <c r="A140" s="87"/>
      <c r="B140" s="87"/>
      <c r="C140" s="87">
        <v>2</v>
      </c>
      <c r="D140" s="87" t="s">
        <v>87</v>
      </c>
      <c r="E140" s="2"/>
      <c r="F140" s="2"/>
      <c r="G140" s="2"/>
      <c r="H140" s="148"/>
      <c r="I140" s="148"/>
      <c r="J140">
        <f>H140-VLOOKUP(I140,'Bag weights'!A:B,2,FALSE)</f>
        <v>0</v>
      </c>
      <c r="K140" s="148"/>
      <c r="L140" s="148"/>
      <c r="M140">
        <f>K140-VLOOKUP(L140,'Bag weights'!A$1:B$20,2,FALSE)</f>
        <v>0</v>
      </c>
      <c r="N140" s="148"/>
      <c r="O140" s="149"/>
      <c r="P140">
        <f>N140-VLOOKUP(O140,'Bag weights'!A$1:B$20,2,FALSE)</f>
        <v>0</v>
      </c>
      <c r="Q140" s="148"/>
      <c r="R140" s="148"/>
      <c r="S140">
        <f>Q140-VLOOKUP(R140,'Bag weights'!A$1:B$20,2,FALSE)</f>
        <v>0</v>
      </c>
      <c r="T140" s="16">
        <v>3.21</v>
      </c>
      <c r="U140" s="16" t="s">
        <v>296</v>
      </c>
      <c r="V140">
        <f>T140-VLOOKUP(U140,'Bag weights'!A$1:B$20,2,FALSE)</f>
        <v>0.71999999999999975</v>
      </c>
      <c r="W140" s="150">
        <f t="shared" si="3"/>
        <v>0</v>
      </c>
      <c r="X140" s="150"/>
      <c r="Y140">
        <f>W140-VLOOKUP(X140,'Bag weights'!A$1:B$20,2,FALSE)</f>
        <v>0</v>
      </c>
      <c r="Z140" s="16">
        <v>2.81</v>
      </c>
      <c r="AA140" s="16" t="s">
        <v>296</v>
      </c>
      <c r="AB140">
        <f>Z140-VLOOKUP(AA140,'Bag weights'!A$1:B$20,2,FALSE)</f>
        <v>0.31999999999999984</v>
      </c>
      <c r="AC140" s="16">
        <v>70.040000000000006</v>
      </c>
      <c r="AD140" s="16" t="s">
        <v>276</v>
      </c>
      <c r="AE140">
        <f>AC140-VLOOKUP(AD140,'Bag weights'!A$1:B$20,2,FALSE)</f>
        <v>49.09</v>
      </c>
      <c r="AF140" s="16">
        <v>8.4</v>
      </c>
      <c r="AG140" s="16" t="s">
        <v>295</v>
      </c>
      <c r="AH140">
        <f>AF140-VLOOKUP(AG140,'Bag weights'!A$1:B$20,2,FALSE)</f>
        <v>0.57000000000000028</v>
      </c>
      <c r="AI140" s="16"/>
      <c r="AK140">
        <f>AI140-VLOOKUP(AJ140,'Bag weights'!A$1:B$20,2,FALSE)</f>
        <v>0</v>
      </c>
      <c r="AL140" s="16">
        <v>14.64</v>
      </c>
      <c r="AM140" s="16" t="s">
        <v>295</v>
      </c>
      <c r="AN140">
        <f>AL140-VLOOKUP(AM140,'Bag weights'!A$1:B$20,2,FALSE)</f>
        <v>6.8100000000000005</v>
      </c>
      <c r="AO140" s="16">
        <v>2.78</v>
      </c>
      <c r="AP140" s="16" t="s">
        <v>296</v>
      </c>
      <c r="AQ140">
        <f>AO140-VLOOKUP(AP140,'Bag weights'!A$1:B$20,2,FALSE)</f>
        <v>0.28999999999999959</v>
      </c>
      <c r="AT140">
        <f>AR140-VLOOKUP(AS140,'Bag weights'!A$1:B$20,2,FALSE)</f>
        <v>0</v>
      </c>
      <c r="AU140" s="16">
        <v>2.92</v>
      </c>
      <c r="AV140" s="16" t="s">
        <v>296</v>
      </c>
      <c r="AW140">
        <f>AU140-VLOOKUP(AV140,'Bag weights'!A$1:B$20,2,FALSE)</f>
        <v>0.42999999999999972</v>
      </c>
      <c r="AX140">
        <f t="shared" si="0"/>
        <v>57.800000000000004</v>
      </c>
    </row>
    <row r="141" spans="1:50">
      <c r="A141" s="87"/>
      <c r="B141" s="87"/>
      <c r="C141" s="87">
        <v>2</v>
      </c>
      <c r="D141" s="87" t="s">
        <v>79</v>
      </c>
      <c r="E141" s="2"/>
      <c r="F141" s="2"/>
      <c r="G141" s="2"/>
      <c r="H141" s="148"/>
      <c r="I141" s="148"/>
      <c r="J141">
        <f>H141-VLOOKUP(I141,'Bag weights'!A:B,2,FALSE)</f>
        <v>0</v>
      </c>
      <c r="K141" s="148"/>
      <c r="L141" s="148"/>
      <c r="M141">
        <f>K141-VLOOKUP(L141,'Bag weights'!A$1:B$20,2,FALSE)</f>
        <v>0</v>
      </c>
      <c r="N141" s="148"/>
      <c r="O141" s="149"/>
      <c r="P141">
        <f>N141-VLOOKUP(O141,'Bag weights'!A$1:B$20,2,FALSE)</f>
        <v>0</v>
      </c>
      <c r="Q141" s="148"/>
      <c r="R141" s="148"/>
      <c r="S141">
        <f>Q141-VLOOKUP(R141,'Bag weights'!A$1:B$20,2,FALSE)</f>
        <v>0</v>
      </c>
      <c r="T141" s="150">
        <f>N141</f>
        <v>0</v>
      </c>
      <c r="U141" s="150"/>
      <c r="V141">
        <f>T141-VLOOKUP(U141,'Bag weights'!A$1:B$20,2,FALSE)</f>
        <v>0</v>
      </c>
      <c r="W141" s="150">
        <f t="shared" si="3"/>
        <v>0</v>
      </c>
      <c r="X141" s="150"/>
      <c r="Y141">
        <f>W141-VLOOKUP(X141,'Bag weights'!A$1:B$20,2,FALSE)</f>
        <v>0</v>
      </c>
      <c r="Z141" s="150">
        <f>Z139</f>
        <v>0</v>
      </c>
      <c r="AA141" s="150"/>
      <c r="AB141">
        <f>Z141-VLOOKUP(AA141,'Bag weights'!A$1:B$20,2,FALSE)</f>
        <v>0</v>
      </c>
      <c r="AC141" s="16">
        <v>60.75</v>
      </c>
      <c r="AD141" s="16" t="s">
        <v>276</v>
      </c>
      <c r="AE141">
        <f>AC141-VLOOKUP(AD141,'Bag weights'!A$1:B$20,2,FALSE)</f>
        <v>39.799999999999997</v>
      </c>
      <c r="AF141" s="16">
        <v>3.01</v>
      </c>
      <c r="AG141" s="16" t="s">
        <v>296</v>
      </c>
      <c r="AH141">
        <f>AF141-VLOOKUP(AG141,'Bag weights'!A$1:B$20,2,FALSE)</f>
        <v>0.51999999999999957</v>
      </c>
      <c r="AI141" s="16"/>
      <c r="AK141">
        <f>AI141-VLOOKUP(AJ141,'Bag weights'!A$1:B$20,2,FALSE)</f>
        <v>0</v>
      </c>
      <c r="AL141" s="16">
        <v>45.1</v>
      </c>
      <c r="AM141" s="16" t="s">
        <v>276</v>
      </c>
      <c r="AN141">
        <f>AL141-VLOOKUP(AM141,'Bag weights'!A$1:B$20,2,FALSE)</f>
        <v>24.150000000000002</v>
      </c>
      <c r="AO141" s="16">
        <v>2.65</v>
      </c>
      <c r="AP141" s="16" t="s">
        <v>296</v>
      </c>
      <c r="AQ141">
        <f>AO141-VLOOKUP(AP141,'Bag weights'!A$1:B$20,2,FALSE)</f>
        <v>0.1599999999999997</v>
      </c>
      <c r="AT141">
        <f>AR141-VLOOKUP(AS141,'Bag weights'!A$1:B$20,2,FALSE)</f>
        <v>0</v>
      </c>
      <c r="AU141" s="16">
        <v>3.46</v>
      </c>
      <c r="AV141" s="16" t="s">
        <v>296</v>
      </c>
      <c r="AW141">
        <f>AU141-VLOOKUP(AV141,'Bag weights'!A$1:B$20,2,FALSE)</f>
        <v>0.96999999999999975</v>
      </c>
      <c r="AX141">
        <f t="shared" si="0"/>
        <v>64.63</v>
      </c>
    </row>
    <row r="142" spans="1:50">
      <c r="A142" s="87"/>
      <c r="B142" s="87"/>
      <c r="C142" s="87">
        <v>2</v>
      </c>
      <c r="D142" s="87" t="s">
        <v>88</v>
      </c>
      <c r="E142" s="2"/>
      <c r="F142" s="2"/>
      <c r="G142" s="2"/>
      <c r="H142" s="148"/>
      <c r="I142" s="148"/>
      <c r="J142">
        <f>H142-VLOOKUP(I142,'Bag weights'!A:B,2,FALSE)</f>
        <v>0</v>
      </c>
      <c r="K142" s="148"/>
      <c r="L142" s="148"/>
      <c r="M142">
        <f>K142-VLOOKUP(L142,'Bag weights'!A$1:B$20,2,FALSE)</f>
        <v>0</v>
      </c>
      <c r="N142" s="148"/>
      <c r="O142" s="149"/>
      <c r="P142">
        <f>N142-VLOOKUP(O142,'Bag weights'!A$1:B$20,2,FALSE)</f>
        <v>0</v>
      </c>
      <c r="Q142" s="148"/>
      <c r="R142" s="148"/>
      <c r="S142">
        <f>Q142-VLOOKUP(R142,'Bag weights'!A$1:B$20,2,FALSE)</f>
        <v>0</v>
      </c>
      <c r="T142" s="16">
        <v>4.25</v>
      </c>
      <c r="U142" s="16" t="s">
        <v>296</v>
      </c>
      <c r="V142">
        <f>T142-VLOOKUP(U142,'Bag weights'!A$1:B$20,2,FALSE)</f>
        <v>1.7599999999999998</v>
      </c>
      <c r="W142" s="150">
        <f t="shared" si="3"/>
        <v>0</v>
      </c>
      <c r="X142" s="150"/>
      <c r="Y142">
        <f>W142-VLOOKUP(X142,'Bag weights'!A$1:B$20,2,FALSE)</f>
        <v>0</v>
      </c>
      <c r="Z142" s="150">
        <f t="shared" ref="Z142:Z145" si="5">Z141</f>
        <v>0</v>
      </c>
      <c r="AA142" s="150"/>
      <c r="AB142">
        <f>Z142-VLOOKUP(AA142,'Bag weights'!A$1:B$20,2,FALSE)</f>
        <v>0</v>
      </c>
      <c r="AC142" s="16">
        <v>72.3</v>
      </c>
      <c r="AD142" s="16" t="s">
        <v>276</v>
      </c>
      <c r="AE142">
        <f>AC142-VLOOKUP(AD142,'Bag weights'!A$1:B$20,2,FALSE)</f>
        <v>51.349999999999994</v>
      </c>
      <c r="AF142" s="16"/>
      <c r="AH142">
        <f>AF142-VLOOKUP(AG142,'Bag weights'!A$1:B$20,2,FALSE)</f>
        <v>0</v>
      </c>
      <c r="AI142" s="16"/>
      <c r="AK142">
        <f>AI142-VLOOKUP(AJ142,'Bag weights'!A$1:B$20,2,FALSE)</f>
        <v>0</v>
      </c>
      <c r="AL142" s="16">
        <v>29.78</v>
      </c>
      <c r="AM142" s="16" t="s">
        <v>295</v>
      </c>
      <c r="AN142">
        <f>AL142-VLOOKUP(AM142,'Bag weights'!A$1:B$20,2,FALSE)</f>
        <v>21.950000000000003</v>
      </c>
      <c r="AO142" s="16">
        <v>3.45</v>
      </c>
      <c r="AP142" s="16" t="s">
        <v>296</v>
      </c>
      <c r="AQ142">
        <f>AO142-VLOOKUP(AP142,'Bag weights'!A$1:B$20,2,FALSE)</f>
        <v>0.96</v>
      </c>
      <c r="AT142">
        <f>AR142-VLOOKUP(AS142,'Bag weights'!A$1:B$20,2,FALSE)</f>
        <v>0</v>
      </c>
      <c r="AU142" s="16">
        <v>4.2300000000000004</v>
      </c>
      <c r="AV142" s="16" t="s">
        <v>296</v>
      </c>
      <c r="AW142">
        <f>AU142-VLOOKUP(AV142,'Bag weights'!A$1:B$20,2,FALSE)</f>
        <v>1.7400000000000002</v>
      </c>
      <c r="AX142">
        <f t="shared" si="0"/>
        <v>76.02</v>
      </c>
    </row>
    <row r="143" spans="1:50">
      <c r="A143" s="87"/>
      <c r="B143" s="87"/>
      <c r="C143" s="87">
        <v>3</v>
      </c>
      <c r="D143" s="87" t="s">
        <v>83</v>
      </c>
      <c r="E143" s="2"/>
      <c r="F143" s="2"/>
      <c r="G143" s="2"/>
      <c r="H143" s="148"/>
      <c r="I143" s="148"/>
      <c r="J143">
        <f>H143-VLOOKUP(I143,'Bag weights'!A:B,2,FALSE)</f>
        <v>0</v>
      </c>
      <c r="K143" s="148"/>
      <c r="L143" s="148"/>
      <c r="M143">
        <f>K143-VLOOKUP(L143,'Bag weights'!A$1:B$20,2,FALSE)</f>
        <v>0</v>
      </c>
      <c r="N143" s="148"/>
      <c r="O143" s="149"/>
      <c r="P143">
        <f>N143-VLOOKUP(O143,'Bag weights'!A$1:B$20,2,FALSE)</f>
        <v>0</v>
      </c>
      <c r="Q143" s="148"/>
      <c r="R143" s="148"/>
      <c r="S143">
        <f>Q143-VLOOKUP(R143,'Bag weights'!A$1:B$20,2,FALSE)</f>
        <v>0</v>
      </c>
      <c r="T143" s="16">
        <v>11.91</v>
      </c>
      <c r="U143" s="16" t="s">
        <v>295</v>
      </c>
      <c r="V143">
        <f>T143-VLOOKUP(U143,'Bag weights'!A$1:B$20,2,FALSE)</f>
        <v>4.08</v>
      </c>
      <c r="W143" s="150">
        <f t="shared" si="3"/>
        <v>0</v>
      </c>
      <c r="X143" s="150"/>
      <c r="Y143">
        <f>W143-VLOOKUP(X143,'Bag weights'!A$1:B$20,2,FALSE)</f>
        <v>0</v>
      </c>
      <c r="Z143" s="150">
        <f t="shared" si="5"/>
        <v>0</v>
      </c>
      <c r="AA143" s="150"/>
      <c r="AB143">
        <f>Z143-VLOOKUP(AA143,'Bag weights'!A$1:B$20,2,FALSE)</f>
        <v>0</v>
      </c>
      <c r="AC143" s="16">
        <v>42.28</v>
      </c>
      <c r="AD143" s="16" t="s">
        <v>276</v>
      </c>
      <c r="AE143">
        <f>AC143-VLOOKUP(AD143,'Bag weights'!A$1:B$20,2,FALSE)</f>
        <v>21.330000000000002</v>
      </c>
      <c r="AF143" s="16"/>
      <c r="AH143">
        <f>AF143-VLOOKUP(AG143,'Bag weights'!A$1:B$20,2,FALSE)</f>
        <v>0</v>
      </c>
      <c r="AI143" s="16"/>
      <c r="AK143">
        <f>AI143-VLOOKUP(AJ143,'Bag weights'!A$1:B$20,2,FALSE)</f>
        <v>0</v>
      </c>
      <c r="AL143" s="16">
        <v>44.55</v>
      </c>
      <c r="AM143" s="16" t="s">
        <v>276</v>
      </c>
      <c r="AN143">
        <f>AL143-VLOOKUP(AM143,'Bag weights'!A$1:B$20,2,FALSE)</f>
        <v>23.599999999999998</v>
      </c>
      <c r="AO143" s="16">
        <v>2.5099999999999998</v>
      </c>
      <c r="AP143" s="16" t="s">
        <v>296</v>
      </c>
      <c r="AQ143">
        <f>AO143-VLOOKUP(AP143,'Bag weights'!A$1:B$20,2,FALSE)</f>
        <v>1.9999999999999574E-2</v>
      </c>
      <c r="AT143">
        <f>AR143-VLOOKUP(AS143,'Bag weights'!A$1:B$20,2,FALSE)</f>
        <v>0</v>
      </c>
      <c r="AU143" s="16">
        <v>2.96</v>
      </c>
      <c r="AV143" s="16" t="s">
        <v>296</v>
      </c>
      <c r="AW143">
        <f>AU143-VLOOKUP(AV143,'Bag weights'!A$1:B$20,2,FALSE)</f>
        <v>0.46999999999999975</v>
      </c>
      <c r="AX143">
        <f t="shared" si="0"/>
        <v>49.03</v>
      </c>
    </row>
    <row r="144" spans="1:50">
      <c r="A144" s="87"/>
      <c r="B144" s="87"/>
      <c r="C144" s="87">
        <v>3</v>
      </c>
      <c r="D144" s="87" t="s">
        <v>85</v>
      </c>
      <c r="E144" s="2"/>
      <c r="F144" s="2"/>
      <c r="G144" s="2"/>
      <c r="H144" s="148"/>
      <c r="I144" s="148"/>
      <c r="J144">
        <f>H144-VLOOKUP(I144,'Bag weights'!A:B,2,FALSE)</f>
        <v>0</v>
      </c>
      <c r="K144" s="148"/>
      <c r="L144" s="148"/>
      <c r="M144">
        <f>K144-VLOOKUP(L144,'Bag weights'!A$1:B$20,2,FALSE)</f>
        <v>0</v>
      </c>
      <c r="N144" s="148"/>
      <c r="O144" s="149"/>
      <c r="P144">
        <f>N144-VLOOKUP(O144,'Bag weights'!A$1:B$20,2,FALSE)</f>
        <v>0</v>
      </c>
      <c r="Q144" s="148"/>
      <c r="R144" s="148"/>
      <c r="S144">
        <f>Q144-VLOOKUP(R144,'Bag weights'!A$1:B$20,2,FALSE)</f>
        <v>0</v>
      </c>
      <c r="T144" s="16">
        <v>13.02</v>
      </c>
      <c r="U144" s="16" t="s">
        <v>295</v>
      </c>
      <c r="V144">
        <f>T144-VLOOKUP(U144,'Bag weights'!A$1:B$20,2,FALSE)</f>
        <v>5.1899999999999995</v>
      </c>
      <c r="W144" s="150">
        <f t="shared" si="3"/>
        <v>0</v>
      </c>
      <c r="X144" s="150"/>
      <c r="Y144">
        <f>W144-VLOOKUP(X144,'Bag weights'!A$1:B$20,2,FALSE)</f>
        <v>0</v>
      </c>
      <c r="Z144" s="150">
        <f t="shared" si="5"/>
        <v>0</v>
      </c>
      <c r="AA144" s="150"/>
      <c r="AB144">
        <f>Z144-VLOOKUP(AA144,'Bag weights'!A$1:B$20,2,FALSE)</f>
        <v>0</v>
      </c>
      <c r="AC144" s="16">
        <v>76.17</v>
      </c>
      <c r="AD144" s="16" t="s">
        <v>276</v>
      </c>
      <c r="AE144">
        <f>AC144-VLOOKUP(AD144,'Bag weights'!A$1:B$20,2,FALSE)</f>
        <v>55.22</v>
      </c>
      <c r="AF144" s="16">
        <v>2.6</v>
      </c>
      <c r="AG144" s="16" t="s">
        <v>296</v>
      </c>
      <c r="AH144">
        <f>AF144-VLOOKUP(AG144,'Bag weights'!A$1:B$20,2,FALSE)</f>
        <v>0.10999999999999988</v>
      </c>
      <c r="AI144" s="16"/>
      <c r="AK144">
        <f>AI144-VLOOKUP(AJ144,'Bag weights'!A$1:B$20,2,FALSE)</f>
        <v>0</v>
      </c>
      <c r="AL144" s="16">
        <v>14.35</v>
      </c>
      <c r="AM144" s="16" t="s">
        <v>295</v>
      </c>
      <c r="AN144">
        <f>AL144-VLOOKUP(AM144,'Bag weights'!A$1:B$20,2,FALSE)</f>
        <v>6.52</v>
      </c>
      <c r="AO144" s="16"/>
      <c r="AQ144">
        <f>AO144-VLOOKUP(AP144,'Bag weights'!A$1:B$20,2,FALSE)</f>
        <v>0</v>
      </c>
      <c r="AT144">
        <f>AR144-VLOOKUP(AS144,'Bag weights'!A$1:B$20,2,FALSE)</f>
        <v>0</v>
      </c>
      <c r="AU144" s="16">
        <v>2.89</v>
      </c>
      <c r="AV144" s="16" t="s">
        <v>296</v>
      </c>
      <c r="AW144">
        <f>AU144-VLOOKUP(AV144,'Bag weights'!A$1:B$20,2,FALSE)</f>
        <v>0.39999999999999991</v>
      </c>
      <c r="AX144">
        <f t="shared" si="0"/>
        <v>67.039999999999992</v>
      </c>
    </row>
    <row r="145" spans="1:50">
      <c r="A145" s="87"/>
      <c r="B145" s="87"/>
      <c r="C145" s="87">
        <v>3</v>
      </c>
      <c r="D145" s="87" t="s">
        <v>87</v>
      </c>
      <c r="E145" s="2"/>
      <c r="F145" s="2"/>
      <c r="G145" s="2"/>
      <c r="H145" s="148"/>
      <c r="I145" s="148"/>
      <c r="J145">
        <f>H145-VLOOKUP(I145,'Bag weights'!A:B,2,FALSE)</f>
        <v>0</v>
      </c>
      <c r="K145" s="148"/>
      <c r="L145" s="148"/>
      <c r="M145">
        <f>K145-VLOOKUP(L145,'Bag weights'!A$1:B$20,2,FALSE)</f>
        <v>0</v>
      </c>
      <c r="N145" s="148"/>
      <c r="O145" s="149"/>
      <c r="P145">
        <f>N145-VLOOKUP(O145,'Bag weights'!A$1:B$20,2,FALSE)</f>
        <v>0</v>
      </c>
      <c r="Q145" s="148"/>
      <c r="R145" s="148"/>
      <c r="S145">
        <f>Q145-VLOOKUP(R145,'Bag weights'!A$1:B$20,2,FALSE)</f>
        <v>0</v>
      </c>
      <c r="T145" s="16">
        <v>10.33</v>
      </c>
      <c r="U145" s="16" t="s">
        <v>295</v>
      </c>
      <c r="V145">
        <f>T145-VLOOKUP(U145,'Bag weights'!A$1:B$20,2,FALSE)</f>
        <v>2.5</v>
      </c>
      <c r="W145" s="150">
        <f t="shared" si="3"/>
        <v>0</v>
      </c>
      <c r="X145" s="150"/>
      <c r="Y145">
        <f>W145-VLOOKUP(X145,'Bag weights'!A$1:B$20,2,FALSE)</f>
        <v>0</v>
      </c>
      <c r="Z145" s="150">
        <f t="shared" si="5"/>
        <v>0</v>
      </c>
      <c r="AA145" s="150"/>
      <c r="AB145">
        <f>Z145-VLOOKUP(AA145,'Bag weights'!A$1:B$20,2,FALSE)</f>
        <v>0</v>
      </c>
      <c r="AC145" s="16">
        <v>60.68</v>
      </c>
      <c r="AD145" s="16" t="s">
        <v>276</v>
      </c>
      <c r="AE145">
        <f>AC145-VLOOKUP(AD145,'Bag weights'!A$1:B$20,2,FALSE)</f>
        <v>39.730000000000004</v>
      </c>
      <c r="AF145" s="16">
        <v>4.01</v>
      </c>
      <c r="AG145" s="16" t="s">
        <v>296</v>
      </c>
      <c r="AH145">
        <f>AF145-VLOOKUP(AG145,'Bag weights'!A$1:B$20,2,FALSE)</f>
        <v>1.5199999999999996</v>
      </c>
      <c r="AI145" s="16"/>
      <c r="AK145">
        <f>AI145-VLOOKUP(AJ145,'Bag weights'!A$1:B$20,2,FALSE)</f>
        <v>0</v>
      </c>
      <c r="AL145" s="16">
        <v>27.29</v>
      </c>
      <c r="AM145" s="16" t="s">
        <v>295</v>
      </c>
      <c r="AN145">
        <f>AL145-VLOOKUP(AM145,'Bag weights'!A$1:B$20,2,FALSE)</f>
        <v>19.46</v>
      </c>
      <c r="AO145" s="16">
        <v>2.84</v>
      </c>
      <c r="AP145" s="16" t="s">
        <v>296</v>
      </c>
      <c r="AQ145">
        <f>AO145-VLOOKUP(AP145,'Bag weights'!A$1:B$20,2,FALSE)</f>
        <v>0.34999999999999964</v>
      </c>
      <c r="AT145">
        <f>AR145-VLOOKUP(AS145,'Bag weights'!A$1:B$20,2,FALSE)</f>
        <v>0</v>
      </c>
      <c r="AU145" s="16">
        <v>4.34</v>
      </c>
      <c r="AV145" s="16" t="s">
        <v>296</v>
      </c>
      <c r="AW145">
        <f>AU145-VLOOKUP(AV145,'Bag weights'!A$1:B$20,2,FALSE)</f>
        <v>1.8499999999999996</v>
      </c>
      <c r="AX145">
        <f t="shared" si="0"/>
        <v>63.56</v>
      </c>
    </row>
    <row r="146" spans="1:50">
      <c r="A146" s="87"/>
      <c r="B146" s="87"/>
      <c r="C146" s="87">
        <v>3</v>
      </c>
      <c r="D146" s="87" t="s">
        <v>79</v>
      </c>
      <c r="E146" s="2"/>
      <c r="F146" s="2"/>
      <c r="G146" s="2"/>
      <c r="H146" s="148"/>
      <c r="I146" s="148"/>
      <c r="J146">
        <f>H146-VLOOKUP(I146,'Bag weights'!A:B,2,FALSE)</f>
        <v>0</v>
      </c>
      <c r="K146" s="148"/>
      <c r="L146" s="148"/>
      <c r="M146">
        <f>K146-VLOOKUP(L146,'Bag weights'!A$1:B$20,2,FALSE)</f>
        <v>0</v>
      </c>
      <c r="N146" s="148"/>
      <c r="O146" s="149"/>
      <c r="P146">
        <f>N146-VLOOKUP(O146,'Bag weights'!A$1:B$20,2,FALSE)</f>
        <v>0</v>
      </c>
      <c r="Q146" s="148"/>
      <c r="R146" s="148"/>
      <c r="S146">
        <f>Q146-VLOOKUP(R146,'Bag weights'!A$1:B$20,2,FALSE)</f>
        <v>0</v>
      </c>
      <c r="T146" s="16">
        <v>9.33</v>
      </c>
      <c r="U146" s="16" t="s">
        <v>295</v>
      </c>
      <c r="V146">
        <f>T146-VLOOKUP(U146,'Bag weights'!A$1:B$20,2,FALSE)</f>
        <v>1.5</v>
      </c>
      <c r="W146" s="150">
        <f t="shared" si="3"/>
        <v>0</v>
      </c>
      <c r="X146" s="150"/>
      <c r="Y146">
        <f>W146-VLOOKUP(X146,'Bag weights'!A$1:B$20,2,FALSE)</f>
        <v>0</v>
      </c>
      <c r="Z146" s="150">
        <f t="shared" ref="Z146:Z147" si="6">Z144</f>
        <v>0</v>
      </c>
      <c r="AA146" s="150"/>
      <c r="AB146">
        <f>Z146-VLOOKUP(AA146,'Bag weights'!A$1:B$20,2,FALSE)</f>
        <v>0</v>
      </c>
      <c r="AC146" s="16">
        <v>69.02</v>
      </c>
      <c r="AD146" s="16" t="s">
        <v>276</v>
      </c>
      <c r="AE146">
        <f>AC146-VLOOKUP(AD146,'Bag weights'!A$1:B$20,2,FALSE)</f>
        <v>48.069999999999993</v>
      </c>
      <c r="AF146" s="16">
        <v>3.41</v>
      </c>
      <c r="AG146" s="16" t="s">
        <v>296</v>
      </c>
      <c r="AH146">
        <f>AF146-VLOOKUP(AG146,'Bag weights'!A$1:B$20,2,FALSE)</f>
        <v>0.91999999999999993</v>
      </c>
      <c r="AI146" s="16"/>
      <c r="AK146">
        <f>AI146-VLOOKUP(AJ146,'Bag weights'!A$1:B$20,2,FALSE)</f>
        <v>0</v>
      </c>
      <c r="AL146" s="16">
        <v>23.38</v>
      </c>
      <c r="AM146" s="16" t="s">
        <v>295</v>
      </c>
      <c r="AN146">
        <f>AL146-VLOOKUP(AM146,'Bag weights'!A$1:B$20,2,FALSE)</f>
        <v>15.549999999999999</v>
      </c>
      <c r="AO146" s="16">
        <v>2.5299999999999998</v>
      </c>
      <c r="AP146" s="16" t="s">
        <v>296</v>
      </c>
      <c r="AQ146">
        <f>AO146-VLOOKUP(AP146,'Bag weights'!A$1:B$20,2,FALSE)</f>
        <v>3.9999999999999591E-2</v>
      </c>
      <c r="AT146">
        <f>AR146-VLOOKUP(AS146,'Bag weights'!A$1:B$20,2,FALSE)</f>
        <v>0</v>
      </c>
      <c r="AU146" s="16">
        <v>3.02</v>
      </c>
      <c r="AV146" s="16" t="s">
        <v>296</v>
      </c>
      <c r="AW146">
        <f>AU146-VLOOKUP(AV146,'Bag weights'!A$1:B$20,2,FALSE)</f>
        <v>0.5299999999999998</v>
      </c>
      <c r="AX146">
        <f t="shared" si="0"/>
        <v>66.079999999999984</v>
      </c>
    </row>
    <row r="147" spans="1:50">
      <c r="A147" s="87"/>
      <c r="B147" s="87"/>
      <c r="C147" s="87">
        <v>3</v>
      </c>
      <c r="D147" s="87" t="s">
        <v>88</v>
      </c>
      <c r="E147" s="2"/>
      <c r="F147" s="2"/>
      <c r="G147" s="2"/>
      <c r="H147" s="148"/>
      <c r="I147" s="148"/>
      <c r="J147">
        <f>H147-VLOOKUP(I147,'Bag weights'!A:B,2,FALSE)</f>
        <v>0</v>
      </c>
      <c r="K147" s="148"/>
      <c r="L147" s="148"/>
      <c r="M147">
        <f>K147-VLOOKUP(L147,'Bag weights'!A$1:B$20,2,FALSE)</f>
        <v>0</v>
      </c>
      <c r="N147" s="148"/>
      <c r="O147" s="149"/>
      <c r="P147">
        <f>N147-VLOOKUP(O147,'Bag weights'!A$1:B$20,2,FALSE)</f>
        <v>0</v>
      </c>
      <c r="Q147" s="148"/>
      <c r="R147" s="148"/>
      <c r="S147">
        <f>Q147-VLOOKUP(R147,'Bag weights'!A$1:B$20,2,FALSE)</f>
        <v>0</v>
      </c>
      <c r="T147" s="16">
        <v>8.83</v>
      </c>
      <c r="U147" s="16" t="s">
        <v>295</v>
      </c>
      <c r="V147">
        <f>T147-VLOOKUP(U147,'Bag weights'!A$1:B$20,2,FALSE)</f>
        <v>1</v>
      </c>
      <c r="W147" s="150">
        <f t="shared" si="3"/>
        <v>0</v>
      </c>
      <c r="X147" s="150"/>
      <c r="Y147">
        <f>W147-VLOOKUP(X147,'Bag weights'!A$1:B$20,2,FALSE)</f>
        <v>0</v>
      </c>
      <c r="Z147" s="150">
        <f t="shared" si="6"/>
        <v>0</v>
      </c>
      <c r="AA147" s="150"/>
      <c r="AB147">
        <f>Z147-VLOOKUP(AA147,'Bag weights'!A$1:B$20,2,FALSE)</f>
        <v>0</v>
      </c>
      <c r="AC147" s="16">
        <v>71.84</v>
      </c>
      <c r="AD147" s="16" t="s">
        <v>276</v>
      </c>
      <c r="AE147">
        <f>AC147-VLOOKUP(AD147,'Bag weights'!A$1:B$20,2,FALSE)</f>
        <v>50.89</v>
      </c>
      <c r="AF147" s="16"/>
      <c r="AH147">
        <f>AF147-VLOOKUP(AG147,'Bag weights'!A$1:B$20,2,FALSE)</f>
        <v>0</v>
      </c>
      <c r="AI147" s="16"/>
      <c r="AK147">
        <f>AI147-VLOOKUP(AJ147,'Bag weights'!A$1:B$20,2,FALSE)</f>
        <v>0</v>
      </c>
      <c r="AL147" s="16">
        <v>10.119999999999999</v>
      </c>
      <c r="AM147" s="16" t="s">
        <v>295</v>
      </c>
      <c r="AN147">
        <f>AL147-VLOOKUP(AM147,'Bag weights'!A$1:B$20,2,FALSE)</f>
        <v>2.2899999999999991</v>
      </c>
      <c r="AO147" s="16"/>
      <c r="AQ147">
        <f>AO147-VLOOKUP(AP147,'Bag weights'!A$1:B$20,2,FALSE)</f>
        <v>0</v>
      </c>
      <c r="AT147">
        <f>AR147-VLOOKUP(AS147,'Bag weights'!A$1:B$20,2,FALSE)</f>
        <v>0</v>
      </c>
      <c r="AU147" s="16">
        <v>3.07</v>
      </c>
      <c r="AV147" s="16" t="s">
        <v>296</v>
      </c>
      <c r="AW147">
        <f>AU147-VLOOKUP(AV147,'Bag weights'!A$1:B$20,2,FALSE)</f>
        <v>0.57999999999999963</v>
      </c>
      <c r="AX147">
        <f t="shared" si="0"/>
        <v>54.18</v>
      </c>
    </row>
    <row r="148" spans="1:50">
      <c r="A148" s="87"/>
      <c r="B148" s="87"/>
      <c r="C148" s="87">
        <v>4</v>
      </c>
      <c r="D148" s="87" t="s">
        <v>83</v>
      </c>
      <c r="E148" s="2"/>
      <c r="F148" s="2"/>
      <c r="G148" s="2"/>
      <c r="H148" s="148"/>
      <c r="I148" s="148"/>
      <c r="J148">
        <f>H148-VLOOKUP(I148,'Bag weights'!A:B,2,FALSE)</f>
        <v>0</v>
      </c>
      <c r="K148" s="148"/>
      <c r="L148" s="148"/>
      <c r="M148">
        <f>K148-VLOOKUP(L148,'Bag weights'!A$1:B$20,2,FALSE)</f>
        <v>0</v>
      </c>
      <c r="N148" s="148"/>
      <c r="O148" s="149"/>
      <c r="P148">
        <f>N148-VLOOKUP(O148,'Bag weights'!A$1:B$20,2,FALSE)</f>
        <v>0</v>
      </c>
      <c r="Q148" s="148"/>
      <c r="R148" s="148"/>
      <c r="S148">
        <f>Q148-VLOOKUP(R148,'Bag weights'!A$1:B$20,2,FALSE)</f>
        <v>0</v>
      </c>
      <c r="T148" s="16">
        <v>2.78</v>
      </c>
      <c r="U148" s="16" t="s">
        <v>296</v>
      </c>
      <c r="V148">
        <f>T148-VLOOKUP(U148,'Bag weights'!A$1:B$20,2,FALSE)</f>
        <v>0.28999999999999959</v>
      </c>
      <c r="W148" s="150">
        <f t="shared" si="3"/>
        <v>0</v>
      </c>
      <c r="X148" s="150"/>
      <c r="Y148">
        <f>W148-VLOOKUP(X148,'Bag weights'!A$1:B$20,2,FALSE)</f>
        <v>0</v>
      </c>
      <c r="Z148" s="150">
        <f>Z145</f>
        <v>0</v>
      </c>
      <c r="AA148" s="150"/>
      <c r="AB148">
        <f>Z148-VLOOKUP(AA148,'Bag weights'!A$1:B$20,2,FALSE)</f>
        <v>0</v>
      </c>
      <c r="AC148" s="16">
        <v>79.37</v>
      </c>
      <c r="AD148" s="16" t="s">
        <v>276</v>
      </c>
      <c r="AE148">
        <f>AC148-VLOOKUP(AD148,'Bag weights'!A$1:B$20,2,FALSE)</f>
        <v>58.42</v>
      </c>
      <c r="AF148" s="16"/>
      <c r="AH148">
        <f>AF148-VLOOKUP(AG148,'Bag weights'!A$1:B$20,2,FALSE)</f>
        <v>0</v>
      </c>
      <c r="AI148" s="16"/>
      <c r="AK148">
        <f>AI148-VLOOKUP(AJ148,'Bag weights'!A$1:B$20,2,FALSE)</f>
        <v>0</v>
      </c>
      <c r="AL148" s="16">
        <v>12.62</v>
      </c>
      <c r="AM148" s="16" t="s">
        <v>295</v>
      </c>
      <c r="AN148">
        <f>AL148-VLOOKUP(AM148,'Bag weights'!A$1:B$20,2,FALSE)</f>
        <v>4.7899999999999991</v>
      </c>
      <c r="AO148" s="16"/>
      <c r="AQ148">
        <f>AO148-VLOOKUP(AP148,'Bag weights'!A$1:B$20,2,FALSE)</f>
        <v>0</v>
      </c>
      <c r="AS148" s="16"/>
      <c r="AT148">
        <f>AR148-VLOOKUP(AS148,'Bag weights'!A$1:B$20,2,FALSE)</f>
        <v>0</v>
      </c>
      <c r="AU148" s="16">
        <v>3.39</v>
      </c>
      <c r="AV148" s="16" t="s">
        <v>298</v>
      </c>
      <c r="AW148">
        <f>AU148-VLOOKUP(AV148,'Bag weights'!A$1:B$20,2,FALSE)</f>
        <v>1.9900000000000002</v>
      </c>
      <c r="AX148">
        <f t="shared" si="0"/>
        <v>63.5</v>
      </c>
    </row>
    <row r="149" spans="1:50">
      <c r="A149" s="87"/>
      <c r="B149" s="87"/>
      <c r="C149" s="87">
        <v>4</v>
      </c>
      <c r="D149" s="87" t="s">
        <v>85</v>
      </c>
      <c r="E149" s="2"/>
      <c r="F149" s="2"/>
      <c r="G149" s="2"/>
      <c r="H149" s="148"/>
      <c r="I149" s="148"/>
      <c r="J149">
        <f>H149-VLOOKUP(I149,'Bag weights'!A:B,2,FALSE)</f>
        <v>0</v>
      </c>
      <c r="K149" s="148"/>
      <c r="L149" s="148"/>
      <c r="M149">
        <f>K149-VLOOKUP(L149,'Bag weights'!A$1:B$20,2,FALSE)</f>
        <v>0</v>
      </c>
      <c r="N149" s="148"/>
      <c r="O149" s="149"/>
      <c r="P149">
        <f>N149-VLOOKUP(O149,'Bag weights'!A$1:B$20,2,FALSE)</f>
        <v>0</v>
      </c>
      <c r="Q149" s="148"/>
      <c r="R149" s="148"/>
      <c r="S149">
        <f>Q149-VLOOKUP(R149,'Bag weights'!A$1:B$20,2,FALSE)</f>
        <v>0</v>
      </c>
      <c r="T149" s="16">
        <v>0.08</v>
      </c>
      <c r="U149" s="16" t="s">
        <v>302</v>
      </c>
      <c r="V149">
        <f>T149-VLOOKUP(U149,'Bag weights'!A$1:B$20,2,FALSE)</f>
        <v>0.08</v>
      </c>
      <c r="W149" s="150">
        <f t="shared" si="3"/>
        <v>0</v>
      </c>
      <c r="X149" s="150"/>
      <c r="Y149">
        <f>W149-VLOOKUP(X149,'Bag weights'!A$1:B$20,2,FALSE)</f>
        <v>0</v>
      </c>
      <c r="Z149" s="150">
        <f>Z145</f>
        <v>0</v>
      </c>
      <c r="AA149" s="150"/>
      <c r="AB149">
        <f>Z149-VLOOKUP(AA149,'Bag weights'!A$1:B$20,2,FALSE)</f>
        <v>0</v>
      </c>
      <c r="AC149" s="16">
        <v>89.18</v>
      </c>
      <c r="AD149" s="16" t="s">
        <v>276</v>
      </c>
      <c r="AE149">
        <f>AC149-VLOOKUP(AD149,'Bag weights'!A$1:B$20,2,FALSE)</f>
        <v>68.23</v>
      </c>
      <c r="AF149" s="16">
        <v>2.56</v>
      </c>
      <c r="AG149" s="16" t="s">
        <v>296</v>
      </c>
      <c r="AH149">
        <f>AF149-VLOOKUP(AG149,'Bag weights'!A$1:B$20,2,FALSE)</f>
        <v>6.999999999999984E-2</v>
      </c>
      <c r="AI149" s="16"/>
      <c r="AK149">
        <f>AI149-VLOOKUP(AJ149,'Bag weights'!A$1:B$20,2,FALSE)</f>
        <v>0</v>
      </c>
      <c r="AL149" s="16">
        <v>10.37</v>
      </c>
      <c r="AM149" s="16" t="s">
        <v>295</v>
      </c>
      <c r="AN149">
        <f>AL149-VLOOKUP(AM149,'Bag weights'!A$1:B$20,2,FALSE)</f>
        <v>2.5399999999999991</v>
      </c>
      <c r="AO149" s="16"/>
      <c r="AQ149">
        <f>AO149-VLOOKUP(AP149,'Bag weights'!A$1:B$20,2,FALSE)</f>
        <v>0</v>
      </c>
      <c r="AT149">
        <f>AR149-VLOOKUP(AS149,'Bag weights'!A$1:B$20,2,FALSE)</f>
        <v>0</v>
      </c>
      <c r="AU149" s="16">
        <v>1.83</v>
      </c>
      <c r="AV149" s="16" t="s">
        <v>298</v>
      </c>
      <c r="AW149">
        <f>AU149-VLOOKUP(AV149,'Bag weights'!A$1:B$20,2,FALSE)</f>
        <v>0.43000000000000016</v>
      </c>
      <c r="AX149">
        <f t="shared" si="0"/>
        <v>70.92</v>
      </c>
    </row>
    <row r="150" spans="1:50">
      <c r="A150" s="87"/>
      <c r="B150" s="87"/>
      <c r="C150" s="87">
        <v>4</v>
      </c>
      <c r="D150" s="87" t="s">
        <v>87</v>
      </c>
      <c r="E150" s="2"/>
      <c r="F150" s="2"/>
      <c r="G150" s="2"/>
      <c r="H150" s="148"/>
      <c r="I150" s="148"/>
      <c r="J150">
        <f>H150-VLOOKUP(I150,'Bag weights'!A:B,2,FALSE)</f>
        <v>0</v>
      </c>
      <c r="K150" s="148"/>
      <c r="L150" s="148"/>
      <c r="M150">
        <f>K150-VLOOKUP(L150,'Bag weights'!A$1:B$20,2,FALSE)</f>
        <v>0</v>
      </c>
      <c r="N150" s="148"/>
      <c r="O150" s="149"/>
      <c r="P150">
        <f>N150-VLOOKUP(O150,'Bag weights'!A$1:B$20,2,FALSE)</f>
        <v>0</v>
      </c>
      <c r="Q150" s="148"/>
      <c r="R150" s="148"/>
      <c r="S150">
        <f>Q150-VLOOKUP(R150,'Bag weights'!A$1:B$20,2,FALSE)</f>
        <v>0</v>
      </c>
      <c r="T150" s="16">
        <v>3.35</v>
      </c>
      <c r="U150" s="16" t="s">
        <v>296</v>
      </c>
      <c r="V150">
        <f>T150-VLOOKUP(U150,'Bag weights'!A$1:B$20,2,FALSE)</f>
        <v>0.85999999999999988</v>
      </c>
      <c r="W150" s="150">
        <f t="shared" si="3"/>
        <v>0</v>
      </c>
      <c r="X150" s="150"/>
      <c r="Y150">
        <f>W150-VLOOKUP(X150,'Bag weights'!A$1:B$20,2,FALSE)</f>
        <v>0</v>
      </c>
      <c r="Z150" s="150">
        <f t="shared" ref="Z150:Z151" si="7">Z145</f>
        <v>0</v>
      </c>
      <c r="AA150" s="150"/>
      <c r="AB150">
        <f>Z150-VLOOKUP(AA150,'Bag weights'!A$1:B$20,2,FALSE)</f>
        <v>0</v>
      </c>
      <c r="AC150" s="16">
        <v>80.09</v>
      </c>
      <c r="AD150" s="16" t="s">
        <v>276</v>
      </c>
      <c r="AE150">
        <f>AC150-VLOOKUP(AD150,'Bag weights'!A$1:B$20,2,FALSE)</f>
        <v>59.14</v>
      </c>
      <c r="AF150" s="16"/>
      <c r="AH150">
        <f>AF150-VLOOKUP(AG150,'Bag weights'!A$1:B$20,2,FALSE)</f>
        <v>0</v>
      </c>
      <c r="AI150" s="16"/>
      <c r="AK150">
        <f>AI150-VLOOKUP(AJ150,'Bag weights'!A$1:B$20,2,FALSE)</f>
        <v>0</v>
      </c>
      <c r="AL150" s="16">
        <v>4.08</v>
      </c>
      <c r="AM150" s="16" t="s">
        <v>296</v>
      </c>
      <c r="AN150">
        <f>AL150-VLOOKUP(AM150,'Bag weights'!A$1:B$20,2,FALSE)</f>
        <v>1.5899999999999999</v>
      </c>
      <c r="AO150" s="16">
        <v>2.84</v>
      </c>
      <c r="AP150" s="16" t="s">
        <v>296</v>
      </c>
      <c r="AQ150">
        <f>AO150-VLOOKUP(AP150,'Bag weights'!A$1:B$20,2,FALSE)</f>
        <v>0.34999999999999964</v>
      </c>
      <c r="AT150">
        <f>AR150-VLOOKUP(AS150,'Bag weights'!A$1:B$20,2,FALSE)</f>
        <v>0</v>
      </c>
      <c r="AU150" s="16">
        <v>3.78</v>
      </c>
      <c r="AV150" s="16" t="s">
        <v>296</v>
      </c>
      <c r="AW150">
        <f>AU150-VLOOKUP(AV150,'Bag weights'!A$1:B$20,2,FALSE)</f>
        <v>1.2899999999999996</v>
      </c>
      <c r="AX150">
        <f t="shared" si="0"/>
        <v>61.94</v>
      </c>
    </row>
    <row r="151" spans="1:50">
      <c r="A151" s="87"/>
      <c r="B151" s="87"/>
      <c r="C151" s="87">
        <v>4</v>
      </c>
      <c r="D151" s="87" t="s">
        <v>79</v>
      </c>
      <c r="E151" s="2"/>
      <c r="F151" s="2"/>
      <c r="G151" s="2"/>
      <c r="H151" s="148"/>
      <c r="I151" s="148"/>
      <c r="J151">
        <f>H151-VLOOKUP(I151,'Bag weights'!A:B,2,FALSE)</f>
        <v>0</v>
      </c>
      <c r="K151" s="148"/>
      <c r="L151" s="148"/>
      <c r="M151">
        <f>K151-VLOOKUP(L151,'Bag weights'!A$1:B$20,2,FALSE)</f>
        <v>0</v>
      </c>
      <c r="N151" s="148"/>
      <c r="O151" s="149"/>
      <c r="P151">
        <f>N151-VLOOKUP(O151,'Bag weights'!A$1:B$20,2,FALSE)</f>
        <v>0</v>
      </c>
      <c r="Q151" s="148"/>
      <c r="R151" s="148"/>
      <c r="S151">
        <f>Q151-VLOOKUP(R151,'Bag weights'!A$1:B$20,2,FALSE)</f>
        <v>0</v>
      </c>
      <c r="T151" s="16">
        <v>9.9700000000000006</v>
      </c>
      <c r="U151" s="16" t="s">
        <v>295</v>
      </c>
      <c r="V151">
        <f>T151-VLOOKUP(U151,'Bag weights'!A$1:B$20,2,FALSE)</f>
        <v>2.1400000000000006</v>
      </c>
      <c r="W151" s="150">
        <f t="shared" si="3"/>
        <v>0</v>
      </c>
      <c r="X151" s="150"/>
      <c r="Y151">
        <f>W151-VLOOKUP(X151,'Bag weights'!A$1:B$20,2,FALSE)</f>
        <v>0</v>
      </c>
      <c r="Z151" s="150">
        <f t="shared" si="7"/>
        <v>0</v>
      </c>
      <c r="AA151" s="150"/>
      <c r="AB151">
        <f>Z151-VLOOKUP(AA151,'Bag weights'!A$1:B$20,2,FALSE)</f>
        <v>0</v>
      </c>
      <c r="AC151" s="16">
        <v>67.430000000000007</v>
      </c>
      <c r="AD151" s="16" t="s">
        <v>276</v>
      </c>
      <c r="AE151">
        <f>AC151-VLOOKUP(AD151,'Bag weights'!A$1:B$20,2,FALSE)</f>
        <v>46.480000000000004</v>
      </c>
      <c r="AF151" s="16"/>
      <c r="AH151">
        <f>AF151-VLOOKUP(AG151,'Bag weights'!A$1:B$20,2,FALSE)</f>
        <v>0</v>
      </c>
      <c r="AI151" s="16"/>
      <c r="AK151">
        <f>AI151-VLOOKUP(AJ151,'Bag weights'!A$1:B$20,2,FALSE)</f>
        <v>0</v>
      </c>
      <c r="AL151" s="16">
        <v>12.77</v>
      </c>
      <c r="AM151" s="16" t="s">
        <v>295</v>
      </c>
      <c r="AN151">
        <f>AL151-VLOOKUP(AM151,'Bag weights'!A$1:B$20,2,FALSE)</f>
        <v>4.9399999999999995</v>
      </c>
      <c r="AO151" s="16"/>
      <c r="AQ151">
        <f>AO151-VLOOKUP(AP151,'Bag weights'!A$1:B$20,2,FALSE)</f>
        <v>0</v>
      </c>
      <c r="AT151">
        <f>AR151-VLOOKUP(AS151,'Bag weights'!A$1:B$20,2,FALSE)</f>
        <v>0</v>
      </c>
      <c r="AU151" s="16">
        <v>3.62</v>
      </c>
      <c r="AV151" s="16" t="s">
        <v>296</v>
      </c>
      <c r="AW151">
        <f>AU151-VLOOKUP(AV151,'Bag weights'!A$1:B$20,2,FALSE)</f>
        <v>1.1299999999999999</v>
      </c>
      <c r="AX151">
        <f t="shared" si="0"/>
        <v>53.56</v>
      </c>
    </row>
    <row r="152" spans="1:50">
      <c r="A152" s="87"/>
      <c r="B152" s="87"/>
      <c r="C152" s="87">
        <v>4</v>
      </c>
      <c r="D152" s="87" t="s">
        <v>88</v>
      </c>
      <c r="E152" s="2"/>
      <c r="F152" s="2"/>
      <c r="G152" s="2"/>
      <c r="H152" s="148"/>
      <c r="I152" s="148"/>
      <c r="J152">
        <f>H152-VLOOKUP(I152,'Bag weights'!A:B,2,FALSE)</f>
        <v>0</v>
      </c>
      <c r="K152" s="148"/>
      <c r="L152" s="148"/>
      <c r="M152">
        <f>K152-VLOOKUP(L152,'Bag weights'!A$1:B$20,2,FALSE)</f>
        <v>0</v>
      </c>
      <c r="N152" s="148"/>
      <c r="O152" s="149"/>
      <c r="P152">
        <f>N152-VLOOKUP(O152,'Bag weights'!A$1:B$20,2,FALSE)</f>
        <v>0</v>
      </c>
      <c r="Q152" s="148"/>
      <c r="R152" s="148"/>
      <c r="S152">
        <f>Q152-VLOOKUP(R152,'Bag weights'!A$1:B$20,2,FALSE)</f>
        <v>0</v>
      </c>
      <c r="T152" s="16">
        <v>9.84</v>
      </c>
      <c r="U152" s="16" t="s">
        <v>295</v>
      </c>
      <c r="V152">
        <f>T152-VLOOKUP(U152,'Bag weights'!A$1:B$20,2,FALSE)</f>
        <v>2.0099999999999998</v>
      </c>
      <c r="W152" s="150">
        <f t="shared" si="3"/>
        <v>0</v>
      </c>
      <c r="X152" s="150"/>
      <c r="Y152">
        <f>W152-VLOOKUP(X152,'Bag weights'!A$1:B$20,2,FALSE)</f>
        <v>0</v>
      </c>
      <c r="Z152" s="150">
        <f>Z151</f>
        <v>0</v>
      </c>
      <c r="AA152" s="150"/>
      <c r="AB152">
        <f>Z152-VLOOKUP(AA152,'Bag weights'!A$1:B$20,2,FALSE)</f>
        <v>0</v>
      </c>
      <c r="AC152" s="16">
        <v>67.87</v>
      </c>
      <c r="AD152" s="16" t="s">
        <v>276</v>
      </c>
      <c r="AE152">
        <f>AC152-VLOOKUP(AD152,'Bag weights'!A$1:B$20,2,FALSE)</f>
        <v>46.92</v>
      </c>
      <c r="AF152" s="16"/>
      <c r="AH152">
        <f>AF152-VLOOKUP(AG152,'Bag weights'!A$1:B$20,2,FALSE)</f>
        <v>0</v>
      </c>
      <c r="AI152" s="16"/>
      <c r="AK152">
        <f>AI152-VLOOKUP(AJ152,'Bag weights'!A$1:B$20,2,FALSE)</f>
        <v>0</v>
      </c>
      <c r="AL152" s="16">
        <v>15.76</v>
      </c>
      <c r="AM152" s="16" t="s">
        <v>295</v>
      </c>
      <c r="AN152">
        <f>AL152-VLOOKUP(AM152,'Bag weights'!A$1:B$20,2,FALSE)</f>
        <v>7.93</v>
      </c>
      <c r="AO152" s="16">
        <v>2.69</v>
      </c>
      <c r="AP152" s="16" t="s">
        <v>296</v>
      </c>
      <c r="AQ152">
        <f>AO152-VLOOKUP(AP152,'Bag weights'!A$1:B$20,2,FALSE)</f>
        <v>0.19999999999999973</v>
      </c>
      <c r="AT152">
        <f>AR152-VLOOKUP(AS152,'Bag weights'!A$1:B$20,2,FALSE)</f>
        <v>0</v>
      </c>
      <c r="AU152" s="16">
        <v>3.31</v>
      </c>
      <c r="AV152" s="16" t="s">
        <v>296</v>
      </c>
      <c r="AW152">
        <f>AU152-VLOOKUP(AV152,'Bag weights'!A$1:B$20,2,FALSE)</f>
        <v>0.81999999999999984</v>
      </c>
      <c r="AX152">
        <f t="shared" si="0"/>
        <v>57.059999999999995</v>
      </c>
    </row>
  </sheetData>
  <mergeCells count="2">
    <mergeCell ref="H1:Y1"/>
    <mergeCell ref="A5:B7"/>
  </mergeCells>
  <conditionalFormatting sqref="AO1:AX1">
    <cfRule type="notContainsBlanks" dxfId="0" priority="1">
      <formula>LEN(TRIM(AO1))&gt;0</formula>
    </cfRule>
  </conditionalFormatting>
  <printOptions horizontalCentered="1" gridLines="1"/>
  <pageMargins left="0.7" right="0.7" top="0.75" bottom="0.75" header="0" footer="0"/>
  <pageSetup pageOrder="overThenDown" orientation="landscape" cellComments="atEnd"/>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12"/>
  <sheetViews>
    <sheetView workbookViewId="0"/>
  </sheetViews>
  <sheetFormatPr defaultColWidth="17.28515625" defaultRowHeight="15" customHeight="1"/>
  <sheetData>
    <row r="1" spans="1:2" ht="15" customHeight="1">
      <c r="A1" s="16" t="s">
        <v>246</v>
      </c>
      <c r="B1" s="16" t="s">
        <v>331</v>
      </c>
    </row>
    <row r="2" spans="1:2" ht="15" customHeight="1">
      <c r="A2" s="16" t="s">
        <v>276</v>
      </c>
      <c r="B2" s="16">
        <v>20.95</v>
      </c>
    </row>
    <row r="3" spans="1:2" ht="15" customHeight="1">
      <c r="A3" s="16" t="s">
        <v>294</v>
      </c>
      <c r="B3" s="133">
        <v>14.38</v>
      </c>
    </row>
    <row r="4" spans="1:2" ht="15" customHeight="1">
      <c r="A4" s="16" t="s">
        <v>295</v>
      </c>
      <c r="B4" s="133">
        <v>7.83</v>
      </c>
    </row>
    <row r="5" spans="1:2" ht="15" customHeight="1">
      <c r="A5" s="134" t="s">
        <v>296</v>
      </c>
      <c r="B5" s="133">
        <v>2.4900000000000002</v>
      </c>
    </row>
    <row r="6" spans="1:2" ht="15" customHeight="1">
      <c r="A6" s="16" t="s">
        <v>298</v>
      </c>
      <c r="B6" s="16">
        <v>1.4</v>
      </c>
    </row>
    <row r="7" spans="1:2" ht="15" customHeight="1">
      <c r="A7" s="135" t="s">
        <v>302</v>
      </c>
      <c r="B7" s="133">
        <v>0</v>
      </c>
    </row>
    <row r="8" spans="1:2" ht="15" customHeight="1">
      <c r="A8" s="16" t="s">
        <v>332</v>
      </c>
      <c r="B8" s="16">
        <f>B2*2</f>
        <v>41.9</v>
      </c>
    </row>
    <row r="9" spans="1:2" ht="15" customHeight="1">
      <c r="A9" s="16">
        <v>0</v>
      </c>
      <c r="B9" s="16">
        <v>0</v>
      </c>
    </row>
    <row r="10" spans="1:2" ht="15" customHeight="1">
      <c r="A10" s="16" t="s">
        <v>290</v>
      </c>
      <c r="B10" s="16">
        <v>27.5</v>
      </c>
    </row>
    <row r="11" spans="1:2" ht="15" customHeight="1">
      <c r="A11" s="16" t="s">
        <v>330</v>
      </c>
      <c r="B11" s="16">
        <v>0</v>
      </c>
    </row>
    <row r="12" spans="1:2" ht="15" customHeight="1">
      <c r="A12" s="16" t="s">
        <v>320</v>
      </c>
      <c r="B12" s="16">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K126"/>
  <sheetViews>
    <sheetView workbookViewId="0"/>
  </sheetViews>
  <sheetFormatPr defaultColWidth="17.28515625" defaultRowHeight="15" customHeight="1"/>
  <cols>
    <col min="1" max="1" width="7.5703125" customWidth="1"/>
    <col min="2" max="2" width="6.7109375" customWidth="1"/>
    <col min="3" max="3" width="5.5703125" customWidth="1"/>
    <col min="4" max="4" width="9.42578125" customWidth="1"/>
    <col min="5" max="5" width="10.7109375" customWidth="1"/>
    <col min="6" max="6" width="8.28515625" customWidth="1"/>
    <col min="7" max="7" width="7.28515625" customWidth="1"/>
    <col min="8" max="8" width="7.140625" customWidth="1"/>
    <col min="9" max="9" width="6.28515625" customWidth="1"/>
    <col min="10" max="10" width="9.28515625" customWidth="1"/>
    <col min="11" max="11" width="10.85546875" customWidth="1"/>
  </cols>
  <sheetData>
    <row r="1" spans="1:11">
      <c r="A1" s="136" t="s">
        <v>51</v>
      </c>
      <c r="B1" s="136" t="s">
        <v>52</v>
      </c>
      <c r="C1" s="136" t="s">
        <v>53</v>
      </c>
      <c r="D1" s="136" t="s">
        <v>54</v>
      </c>
      <c r="E1" s="137" t="s">
        <v>328</v>
      </c>
      <c r="F1" s="138"/>
      <c r="G1" s="136" t="s">
        <v>51</v>
      </c>
      <c r="H1" s="136" t="s">
        <v>52</v>
      </c>
      <c r="I1" s="136" t="s">
        <v>53</v>
      </c>
      <c r="J1" s="136" t="s">
        <v>54</v>
      </c>
      <c r="K1" s="137" t="s">
        <v>328</v>
      </c>
    </row>
    <row r="2" spans="1:11">
      <c r="A2" s="87" t="s">
        <v>78</v>
      </c>
      <c r="B2" s="87" t="s">
        <v>79</v>
      </c>
      <c r="C2" s="87">
        <v>1</v>
      </c>
      <c r="D2" s="87" t="s">
        <v>83</v>
      </c>
      <c r="G2" s="87" t="s">
        <v>78</v>
      </c>
      <c r="H2" s="87" t="s">
        <v>95</v>
      </c>
      <c r="I2" s="87">
        <v>1</v>
      </c>
      <c r="J2" s="87" t="s">
        <v>83</v>
      </c>
    </row>
    <row r="3" spans="1:11">
      <c r="A3" s="86" t="s">
        <v>289</v>
      </c>
      <c r="B3" s="87"/>
      <c r="C3" s="87">
        <v>1</v>
      </c>
      <c r="D3" s="87" t="s">
        <v>85</v>
      </c>
      <c r="G3" s="86" t="s">
        <v>289</v>
      </c>
      <c r="H3" s="87"/>
      <c r="I3" s="87">
        <v>1</v>
      </c>
      <c r="J3" s="87" t="s">
        <v>85</v>
      </c>
    </row>
    <row r="4" spans="1:11">
      <c r="A4" s="87"/>
      <c r="B4" s="87"/>
      <c r="C4" s="87">
        <v>1</v>
      </c>
      <c r="D4" s="87" t="s">
        <v>87</v>
      </c>
      <c r="G4" s="87"/>
      <c r="H4" s="87"/>
      <c r="I4" s="87">
        <v>1</v>
      </c>
      <c r="J4" s="87" t="s">
        <v>87</v>
      </c>
    </row>
    <row r="5" spans="1:11">
      <c r="A5" s="87"/>
      <c r="B5" s="87"/>
      <c r="C5" s="87">
        <v>1</v>
      </c>
      <c r="D5" s="87" t="s">
        <v>79</v>
      </c>
      <c r="G5" s="87"/>
      <c r="H5" s="87"/>
      <c r="I5" s="87">
        <v>1</v>
      </c>
      <c r="J5" s="87" t="s">
        <v>79</v>
      </c>
    </row>
    <row r="6" spans="1:11">
      <c r="A6" s="87"/>
      <c r="B6" s="87"/>
      <c r="C6" s="87">
        <v>1</v>
      </c>
      <c r="D6" s="87" t="s">
        <v>88</v>
      </c>
      <c r="G6" s="87"/>
      <c r="H6" s="87"/>
      <c r="I6" s="87">
        <v>1</v>
      </c>
      <c r="J6" s="87" t="s">
        <v>88</v>
      </c>
    </row>
    <row r="7" spans="1:11">
      <c r="A7" s="87"/>
      <c r="B7" s="87"/>
      <c r="C7" s="87">
        <v>2</v>
      </c>
      <c r="D7" s="87" t="s">
        <v>83</v>
      </c>
      <c r="G7" s="87"/>
      <c r="H7" s="87"/>
      <c r="I7" s="87">
        <v>2</v>
      </c>
      <c r="J7" s="87" t="s">
        <v>83</v>
      </c>
    </row>
    <row r="8" spans="1:11">
      <c r="A8" s="87"/>
      <c r="B8" s="87"/>
      <c r="C8" s="87">
        <v>2</v>
      </c>
      <c r="D8" s="87" t="s">
        <v>85</v>
      </c>
      <c r="G8" s="87"/>
      <c r="H8" s="87"/>
      <c r="I8" s="87">
        <v>2</v>
      </c>
      <c r="J8" s="87" t="s">
        <v>85</v>
      </c>
    </row>
    <row r="9" spans="1:11">
      <c r="A9" s="87"/>
      <c r="B9" s="87"/>
      <c r="C9" s="87">
        <v>2</v>
      </c>
      <c r="D9" s="87" t="s">
        <v>87</v>
      </c>
      <c r="G9" s="87"/>
      <c r="H9" s="87"/>
      <c r="I9" s="87">
        <v>2</v>
      </c>
      <c r="J9" s="87" t="s">
        <v>87</v>
      </c>
    </row>
    <row r="10" spans="1:11">
      <c r="A10" s="87"/>
      <c r="B10" s="87"/>
      <c r="C10" s="87">
        <v>2</v>
      </c>
      <c r="D10" s="87" t="s">
        <v>79</v>
      </c>
      <c r="G10" s="87"/>
      <c r="H10" s="87"/>
      <c r="I10" s="87">
        <v>2</v>
      </c>
      <c r="J10" s="87" t="s">
        <v>79</v>
      </c>
    </row>
    <row r="11" spans="1:11">
      <c r="A11" s="87"/>
      <c r="B11" s="87"/>
      <c r="C11" s="87">
        <v>2</v>
      </c>
      <c r="D11" s="87" t="s">
        <v>88</v>
      </c>
      <c r="G11" s="87"/>
      <c r="H11" s="87"/>
      <c r="I11" s="87">
        <v>2</v>
      </c>
      <c r="J11" s="87" t="s">
        <v>88</v>
      </c>
    </row>
    <row r="12" spans="1:11">
      <c r="A12" s="87"/>
      <c r="B12" s="87"/>
      <c r="C12" s="87">
        <v>3</v>
      </c>
      <c r="D12" s="87" t="s">
        <v>83</v>
      </c>
      <c r="G12" s="87"/>
      <c r="H12" s="87"/>
      <c r="I12" s="87">
        <v>3</v>
      </c>
      <c r="J12" s="87" t="s">
        <v>83</v>
      </c>
    </row>
    <row r="13" spans="1:11">
      <c r="A13" s="87"/>
      <c r="B13" s="87"/>
      <c r="C13" s="87">
        <v>3</v>
      </c>
      <c r="D13" s="87" t="s">
        <v>85</v>
      </c>
      <c r="G13" s="87"/>
      <c r="H13" s="87"/>
      <c r="I13" s="87">
        <v>3</v>
      </c>
      <c r="J13" s="87" t="s">
        <v>85</v>
      </c>
    </row>
    <row r="14" spans="1:11">
      <c r="A14" s="87"/>
      <c r="B14" s="87"/>
      <c r="C14" s="87">
        <v>3</v>
      </c>
      <c r="D14" s="87" t="s">
        <v>87</v>
      </c>
      <c r="G14" s="87"/>
      <c r="H14" s="87"/>
      <c r="I14" s="87">
        <v>3</v>
      </c>
      <c r="J14" s="87" t="s">
        <v>87</v>
      </c>
    </row>
    <row r="15" spans="1:11">
      <c r="A15" s="87"/>
      <c r="B15" s="87"/>
      <c r="C15" s="87">
        <v>3</v>
      </c>
      <c r="D15" s="87" t="s">
        <v>79</v>
      </c>
      <c r="G15" s="87"/>
      <c r="H15" s="87"/>
      <c r="I15" s="87">
        <v>3</v>
      </c>
      <c r="J15" s="87" t="s">
        <v>79</v>
      </c>
    </row>
    <row r="16" spans="1:11">
      <c r="A16" s="87"/>
      <c r="B16" s="87"/>
      <c r="C16" s="87">
        <v>3</v>
      </c>
      <c r="D16" s="87" t="s">
        <v>88</v>
      </c>
      <c r="G16" s="87"/>
      <c r="H16" s="87"/>
      <c r="I16" s="87">
        <v>3</v>
      </c>
      <c r="J16" s="87" t="s">
        <v>88</v>
      </c>
    </row>
    <row r="17" spans="1:10">
      <c r="A17" s="87"/>
      <c r="B17" s="87"/>
      <c r="C17" s="87">
        <v>4</v>
      </c>
      <c r="D17" s="87" t="s">
        <v>83</v>
      </c>
      <c r="G17" s="87"/>
      <c r="H17" s="87"/>
      <c r="I17" s="87">
        <v>4</v>
      </c>
      <c r="J17" s="87" t="s">
        <v>83</v>
      </c>
    </row>
    <row r="18" spans="1:10">
      <c r="A18" s="87"/>
      <c r="B18" s="87"/>
      <c r="C18" s="87">
        <v>4</v>
      </c>
      <c r="D18" s="87" t="s">
        <v>85</v>
      </c>
      <c r="G18" s="87"/>
      <c r="H18" s="87"/>
      <c r="I18" s="87">
        <v>4</v>
      </c>
      <c r="J18" s="87" t="s">
        <v>85</v>
      </c>
    </row>
    <row r="19" spans="1:10">
      <c r="A19" s="87"/>
      <c r="B19" s="87"/>
      <c r="C19" s="87">
        <v>4</v>
      </c>
      <c r="D19" s="87" t="s">
        <v>87</v>
      </c>
      <c r="G19" s="87"/>
      <c r="H19" s="87"/>
      <c r="I19" s="87">
        <v>4</v>
      </c>
      <c r="J19" s="87" t="s">
        <v>87</v>
      </c>
    </row>
    <row r="20" spans="1:10">
      <c r="A20" s="87"/>
      <c r="B20" s="87"/>
      <c r="C20" s="87">
        <v>4</v>
      </c>
      <c r="D20" s="87" t="s">
        <v>79</v>
      </c>
      <c r="G20" s="87"/>
      <c r="H20" s="87"/>
      <c r="I20" s="87">
        <v>4</v>
      </c>
      <c r="J20" s="87" t="s">
        <v>79</v>
      </c>
    </row>
    <row r="21" spans="1:10">
      <c r="A21" s="87"/>
      <c r="B21" s="87"/>
      <c r="C21" s="87">
        <v>4</v>
      </c>
      <c r="D21" s="87" t="s">
        <v>88</v>
      </c>
      <c r="G21" s="87"/>
      <c r="H21" s="87"/>
      <c r="I21" s="87">
        <v>4</v>
      </c>
      <c r="J21" s="87" t="s">
        <v>88</v>
      </c>
    </row>
    <row r="22" spans="1:10">
      <c r="A22" s="87" t="s">
        <v>78</v>
      </c>
      <c r="B22" s="87" t="s">
        <v>94</v>
      </c>
      <c r="C22" s="87">
        <v>1</v>
      </c>
      <c r="D22" s="87" t="s">
        <v>83</v>
      </c>
      <c r="G22" s="87" t="s">
        <v>78</v>
      </c>
      <c r="H22" s="87" t="s">
        <v>101</v>
      </c>
      <c r="I22" s="87">
        <v>1</v>
      </c>
      <c r="J22" s="87" t="s">
        <v>83</v>
      </c>
    </row>
    <row r="23" spans="1:10">
      <c r="A23" s="86" t="s">
        <v>289</v>
      </c>
      <c r="B23" s="87"/>
      <c r="C23" s="87">
        <v>1</v>
      </c>
      <c r="D23" s="87" t="s">
        <v>85</v>
      </c>
      <c r="G23" s="86" t="s">
        <v>289</v>
      </c>
      <c r="H23" s="87"/>
      <c r="I23" s="87">
        <v>1</v>
      </c>
      <c r="J23" s="87" t="s">
        <v>85</v>
      </c>
    </row>
    <row r="24" spans="1:10">
      <c r="A24" s="87"/>
      <c r="B24" s="87"/>
      <c r="C24" s="87">
        <v>1</v>
      </c>
      <c r="D24" s="87" t="s">
        <v>87</v>
      </c>
      <c r="G24" s="87"/>
      <c r="H24" s="87"/>
      <c r="I24" s="87">
        <v>1</v>
      </c>
      <c r="J24" s="87" t="s">
        <v>87</v>
      </c>
    </row>
    <row r="25" spans="1:10">
      <c r="A25" s="87"/>
      <c r="B25" s="87"/>
      <c r="C25" s="87">
        <v>1</v>
      </c>
      <c r="D25" s="87" t="s">
        <v>79</v>
      </c>
      <c r="G25" s="87"/>
      <c r="H25" s="87"/>
      <c r="I25" s="87">
        <v>1</v>
      </c>
      <c r="J25" s="87" t="s">
        <v>79</v>
      </c>
    </row>
    <row r="26" spans="1:10">
      <c r="A26" s="87"/>
      <c r="B26" s="87"/>
      <c r="C26" s="87">
        <v>1</v>
      </c>
      <c r="D26" s="87" t="s">
        <v>88</v>
      </c>
      <c r="G26" s="87"/>
      <c r="H26" s="87"/>
      <c r="I26" s="87">
        <v>1</v>
      </c>
      <c r="J26" s="87" t="s">
        <v>88</v>
      </c>
    </row>
    <row r="27" spans="1:10">
      <c r="A27" s="87"/>
      <c r="B27" s="87"/>
      <c r="C27" s="87">
        <v>2</v>
      </c>
      <c r="D27" s="87" t="s">
        <v>83</v>
      </c>
      <c r="G27" s="87"/>
      <c r="H27" s="87"/>
      <c r="I27" s="87">
        <v>2</v>
      </c>
      <c r="J27" s="87" t="s">
        <v>83</v>
      </c>
    </row>
    <row r="28" spans="1:10">
      <c r="A28" s="87"/>
      <c r="B28" s="87"/>
      <c r="C28" s="87">
        <v>2</v>
      </c>
      <c r="D28" s="87" t="s">
        <v>85</v>
      </c>
      <c r="G28" s="87"/>
      <c r="H28" s="87"/>
      <c r="I28" s="87">
        <v>2</v>
      </c>
      <c r="J28" s="87" t="s">
        <v>85</v>
      </c>
    </row>
    <row r="29" spans="1:10">
      <c r="A29" s="87"/>
      <c r="B29" s="87"/>
      <c r="C29" s="87">
        <v>2</v>
      </c>
      <c r="D29" s="87" t="s">
        <v>87</v>
      </c>
      <c r="G29" s="87"/>
      <c r="H29" s="87"/>
      <c r="I29" s="87">
        <v>2</v>
      </c>
      <c r="J29" s="87" t="s">
        <v>87</v>
      </c>
    </row>
    <row r="30" spans="1:10">
      <c r="A30" s="87"/>
      <c r="B30" s="87"/>
      <c r="C30" s="87">
        <v>2</v>
      </c>
      <c r="D30" s="87" t="s">
        <v>79</v>
      </c>
      <c r="G30" s="87"/>
      <c r="H30" s="87"/>
      <c r="I30" s="87">
        <v>2</v>
      </c>
      <c r="J30" s="87" t="s">
        <v>79</v>
      </c>
    </row>
    <row r="31" spans="1:10">
      <c r="A31" s="87"/>
      <c r="B31" s="87"/>
      <c r="C31" s="87">
        <v>2</v>
      </c>
      <c r="D31" s="87" t="s">
        <v>88</v>
      </c>
      <c r="G31" s="87"/>
      <c r="H31" s="87"/>
      <c r="I31" s="87">
        <v>2</v>
      </c>
      <c r="J31" s="87" t="s">
        <v>88</v>
      </c>
    </row>
    <row r="32" spans="1:10">
      <c r="A32" s="87"/>
      <c r="B32" s="87"/>
      <c r="C32" s="87">
        <v>3</v>
      </c>
      <c r="D32" s="87" t="s">
        <v>83</v>
      </c>
      <c r="G32" s="87"/>
      <c r="H32" s="87"/>
      <c r="I32" s="87">
        <v>3</v>
      </c>
      <c r="J32" s="87" t="s">
        <v>83</v>
      </c>
    </row>
    <row r="33" spans="1:11">
      <c r="A33" s="87"/>
      <c r="B33" s="87"/>
      <c r="C33" s="87">
        <v>3</v>
      </c>
      <c r="D33" s="87" t="s">
        <v>85</v>
      </c>
      <c r="G33" s="87"/>
      <c r="H33" s="87"/>
      <c r="I33" s="87">
        <v>3</v>
      </c>
      <c r="J33" s="87" t="s">
        <v>85</v>
      </c>
    </row>
    <row r="34" spans="1:11">
      <c r="A34" s="87"/>
      <c r="B34" s="87"/>
      <c r="C34" s="87">
        <v>3</v>
      </c>
      <c r="D34" s="87" t="s">
        <v>87</v>
      </c>
      <c r="G34" s="87"/>
      <c r="H34" s="87"/>
      <c r="I34" s="87">
        <v>3</v>
      </c>
      <c r="J34" s="87" t="s">
        <v>87</v>
      </c>
    </row>
    <row r="35" spans="1:11">
      <c r="A35" s="87"/>
      <c r="B35" s="87"/>
      <c r="C35" s="87">
        <v>3</v>
      </c>
      <c r="D35" s="87" t="s">
        <v>79</v>
      </c>
      <c r="G35" s="87"/>
      <c r="H35" s="87"/>
      <c r="I35" s="87">
        <v>3</v>
      </c>
      <c r="J35" s="87" t="s">
        <v>79</v>
      </c>
    </row>
    <row r="36" spans="1:11">
      <c r="A36" s="87"/>
      <c r="B36" s="87"/>
      <c r="C36" s="87">
        <v>3</v>
      </c>
      <c r="D36" s="87" t="s">
        <v>88</v>
      </c>
      <c r="G36" s="87"/>
      <c r="H36" s="87"/>
      <c r="I36" s="87">
        <v>3</v>
      </c>
      <c r="J36" s="87" t="s">
        <v>88</v>
      </c>
    </row>
    <row r="37" spans="1:11">
      <c r="A37" s="87"/>
      <c r="B37" s="87"/>
      <c r="C37" s="87">
        <v>4</v>
      </c>
      <c r="D37" s="87" t="s">
        <v>83</v>
      </c>
      <c r="G37" s="87"/>
      <c r="H37" s="87"/>
      <c r="I37" s="87">
        <v>4</v>
      </c>
      <c r="J37" s="87" t="s">
        <v>83</v>
      </c>
    </row>
    <row r="38" spans="1:11">
      <c r="A38" s="87"/>
      <c r="B38" s="87"/>
      <c r="C38" s="87">
        <v>4</v>
      </c>
      <c r="D38" s="87" t="s">
        <v>85</v>
      </c>
      <c r="G38" s="87"/>
      <c r="H38" s="87"/>
      <c r="I38" s="87">
        <v>4</v>
      </c>
      <c r="J38" s="87" t="s">
        <v>85</v>
      </c>
    </row>
    <row r="39" spans="1:11">
      <c r="A39" s="87"/>
      <c r="B39" s="87"/>
      <c r="C39" s="87">
        <v>4</v>
      </c>
      <c r="D39" s="87" t="s">
        <v>87</v>
      </c>
      <c r="G39" s="87"/>
      <c r="H39" s="87"/>
      <c r="I39" s="87">
        <v>4</v>
      </c>
      <c r="J39" s="87" t="s">
        <v>87</v>
      </c>
    </row>
    <row r="40" spans="1:11">
      <c r="A40" s="87"/>
      <c r="B40" s="87"/>
      <c r="C40" s="87">
        <v>4</v>
      </c>
      <c r="D40" s="87" t="s">
        <v>79</v>
      </c>
      <c r="G40" s="87"/>
      <c r="H40" s="87"/>
      <c r="I40" s="87">
        <v>4</v>
      </c>
      <c r="J40" s="87" t="s">
        <v>79</v>
      </c>
    </row>
    <row r="41" spans="1:11">
      <c r="A41" s="87"/>
      <c r="B41" s="87"/>
      <c r="C41" s="87">
        <v>4</v>
      </c>
      <c r="D41" s="87" t="s">
        <v>88</v>
      </c>
      <c r="G41" s="87"/>
      <c r="H41" s="87"/>
      <c r="I41" s="87">
        <v>4</v>
      </c>
      <c r="J41" s="87" t="s">
        <v>88</v>
      </c>
    </row>
    <row r="42" spans="1:11">
      <c r="A42" s="87"/>
      <c r="B42" s="87"/>
      <c r="C42" s="87"/>
      <c r="D42" s="87"/>
    </row>
    <row r="43" spans="1:11">
      <c r="A43" s="136" t="s">
        <v>51</v>
      </c>
      <c r="B43" s="136" t="s">
        <v>52</v>
      </c>
      <c r="C43" s="136" t="s">
        <v>53</v>
      </c>
      <c r="D43" s="136" t="s">
        <v>54</v>
      </c>
      <c r="E43" s="137" t="s">
        <v>328</v>
      </c>
      <c r="F43" s="138"/>
      <c r="G43" s="136" t="s">
        <v>51</v>
      </c>
      <c r="H43" s="136" t="s">
        <v>52</v>
      </c>
      <c r="I43" s="136" t="s">
        <v>53</v>
      </c>
      <c r="J43" s="136" t="s">
        <v>54</v>
      </c>
      <c r="K43" s="137" t="s">
        <v>328</v>
      </c>
    </row>
    <row r="44" spans="1:11">
      <c r="A44" s="87" t="s">
        <v>78</v>
      </c>
      <c r="B44" s="87" t="s">
        <v>102</v>
      </c>
      <c r="C44" s="87">
        <v>1</v>
      </c>
      <c r="D44" s="87" t="s">
        <v>83</v>
      </c>
      <c r="G44" s="87" t="s">
        <v>78</v>
      </c>
      <c r="H44" s="87" t="s">
        <v>105</v>
      </c>
      <c r="I44" s="87">
        <v>1</v>
      </c>
      <c r="J44" s="87" t="s">
        <v>83</v>
      </c>
    </row>
    <row r="45" spans="1:11">
      <c r="A45" s="87"/>
      <c r="B45" s="87"/>
      <c r="C45" s="87">
        <v>1</v>
      </c>
      <c r="D45" s="87" t="s">
        <v>85</v>
      </c>
      <c r="G45" s="86" t="s">
        <v>333</v>
      </c>
      <c r="H45" s="87"/>
      <c r="I45" s="87">
        <v>1</v>
      </c>
      <c r="J45" s="87" t="s">
        <v>85</v>
      </c>
    </row>
    <row r="46" spans="1:11">
      <c r="A46" s="87"/>
      <c r="B46" s="87"/>
      <c r="C46" s="87">
        <v>1</v>
      </c>
      <c r="D46" s="87" t="s">
        <v>87</v>
      </c>
      <c r="G46" s="87"/>
      <c r="H46" s="87"/>
      <c r="I46" s="87">
        <v>1</v>
      </c>
      <c r="J46" s="87" t="s">
        <v>87</v>
      </c>
    </row>
    <row r="47" spans="1:11">
      <c r="A47" s="87"/>
      <c r="B47" s="87"/>
      <c r="C47" s="87">
        <v>1</v>
      </c>
      <c r="D47" s="87" t="s">
        <v>79</v>
      </c>
      <c r="G47" s="87"/>
      <c r="H47" s="87"/>
      <c r="I47" s="87">
        <v>1</v>
      </c>
      <c r="J47" s="87" t="s">
        <v>79</v>
      </c>
    </row>
    <row r="48" spans="1:11">
      <c r="A48" s="87"/>
      <c r="B48" s="87"/>
      <c r="C48" s="87">
        <v>1</v>
      </c>
      <c r="D48" s="87" t="s">
        <v>88</v>
      </c>
      <c r="G48" s="87"/>
      <c r="H48" s="87"/>
      <c r="I48" s="87">
        <v>1</v>
      </c>
      <c r="J48" s="87" t="s">
        <v>88</v>
      </c>
    </row>
    <row r="49" spans="1:10">
      <c r="A49" s="87"/>
      <c r="B49" s="87"/>
      <c r="C49" s="87">
        <v>2</v>
      </c>
      <c r="D49" s="87" t="s">
        <v>83</v>
      </c>
      <c r="G49" s="87"/>
      <c r="H49" s="87"/>
      <c r="I49" s="87">
        <v>2</v>
      </c>
      <c r="J49" s="87" t="s">
        <v>83</v>
      </c>
    </row>
    <row r="50" spans="1:10">
      <c r="A50" s="87"/>
      <c r="B50" s="87"/>
      <c r="C50" s="87">
        <v>2</v>
      </c>
      <c r="D50" s="87" t="s">
        <v>85</v>
      </c>
      <c r="G50" s="87"/>
      <c r="H50" s="87"/>
      <c r="I50" s="87">
        <v>2</v>
      </c>
      <c r="J50" s="87" t="s">
        <v>85</v>
      </c>
    </row>
    <row r="51" spans="1:10">
      <c r="A51" s="87"/>
      <c r="B51" s="87"/>
      <c r="C51" s="87">
        <v>2</v>
      </c>
      <c r="D51" s="87" t="s">
        <v>87</v>
      </c>
      <c r="G51" s="87"/>
      <c r="H51" s="87"/>
      <c r="I51" s="87">
        <v>2</v>
      </c>
      <c r="J51" s="87" t="s">
        <v>87</v>
      </c>
    </row>
    <row r="52" spans="1:10">
      <c r="A52" s="87"/>
      <c r="B52" s="87"/>
      <c r="C52" s="87">
        <v>2</v>
      </c>
      <c r="D52" s="87" t="s">
        <v>79</v>
      </c>
      <c r="G52" s="87"/>
      <c r="H52" s="87"/>
      <c r="I52" s="87">
        <v>2</v>
      </c>
      <c r="J52" s="87" t="s">
        <v>79</v>
      </c>
    </row>
    <row r="53" spans="1:10">
      <c r="A53" s="87"/>
      <c r="B53" s="87"/>
      <c r="C53" s="87">
        <v>2</v>
      </c>
      <c r="D53" s="87" t="s">
        <v>88</v>
      </c>
      <c r="G53" s="87"/>
      <c r="H53" s="87"/>
      <c r="I53" s="87">
        <v>2</v>
      </c>
      <c r="J53" s="87" t="s">
        <v>88</v>
      </c>
    </row>
    <row r="54" spans="1:10">
      <c r="A54" s="87"/>
      <c r="B54" s="87"/>
      <c r="C54" s="87">
        <v>3</v>
      </c>
      <c r="D54" s="87" t="s">
        <v>83</v>
      </c>
      <c r="G54" s="87"/>
      <c r="H54" s="87"/>
      <c r="I54" s="87">
        <v>3</v>
      </c>
      <c r="J54" s="87" t="s">
        <v>83</v>
      </c>
    </row>
    <row r="55" spans="1:10">
      <c r="A55" s="87"/>
      <c r="B55" s="87"/>
      <c r="C55" s="87">
        <v>3</v>
      </c>
      <c r="D55" s="87" t="s">
        <v>85</v>
      </c>
      <c r="G55" s="87"/>
      <c r="H55" s="87"/>
      <c r="I55" s="87">
        <v>3</v>
      </c>
      <c r="J55" s="87" t="s">
        <v>85</v>
      </c>
    </row>
    <row r="56" spans="1:10">
      <c r="A56" s="87"/>
      <c r="B56" s="87"/>
      <c r="C56" s="87">
        <v>3</v>
      </c>
      <c r="D56" s="87" t="s">
        <v>87</v>
      </c>
      <c r="G56" s="87"/>
      <c r="H56" s="87"/>
      <c r="I56" s="87">
        <v>3</v>
      </c>
      <c r="J56" s="87" t="s">
        <v>87</v>
      </c>
    </row>
    <row r="57" spans="1:10">
      <c r="A57" s="87"/>
      <c r="B57" s="87"/>
      <c r="C57" s="87">
        <v>3</v>
      </c>
      <c r="D57" s="87" t="s">
        <v>79</v>
      </c>
      <c r="G57" s="87"/>
      <c r="H57" s="87"/>
      <c r="I57" s="87">
        <v>3</v>
      </c>
      <c r="J57" s="87" t="s">
        <v>79</v>
      </c>
    </row>
    <row r="58" spans="1:10">
      <c r="A58" s="87"/>
      <c r="B58" s="87"/>
      <c r="C58" s="87">
        <v>3</v>
      </c>
      <c r="D58" s="87" t="s">
        <v>88</v>
      </c>
      <c r="G58" s="87"/>
      <c r="H58" s="87"/>
      <c r="I58" s="87">
        <v>3</v>
      </c>
      <c r="J58" s="87" t="s">
        <v>88</v>
      </c>
    </row>
    <row r="59" spans="1:10">
      <c r="A59" s="87"/>
      <c r="B59" s="87"/>
      <c r="C59" s="87">
        <v>4</v>
      </c>
      <c r="D59" s="87" t="s">
        <v>83</v>
      </c>
      <c r="G59" s="87"/>
      <c r="H59" s="87"/>
      <c r="I59" s="87">
        <v>4</v>
      </c>
      <c r="J59" s="87" t="s">
        <v>83</v>
      </c>
    </row>
    <row r="60" spans="1:10">
      <c r="A60" s="87"/>
      <c r="B60" s="87"/>
      <c r="C60" s="87">
        <v>4</v>
      </c>
      <c r="D60" s="87" t="s">
        <v>85</v>
      </c>
      <c r="G60" s="87"/>
      <c r="H60" s="87"/>
      <c r="I60" s="87">
        <v>4</v>
      </c>
      <c r="J60" s="87" t="s">
        <v>85</v>
      </c>
    </row>
    <row r="61" spans="1:10">
      <c r="A61" s="87"/>
      <c r="B61" s="87"/>
      <c r="C61" s="87">
        <v>4</v>
      </c>
      <c r="D61" s="87" t="s">
        <v>87</v>
      </c>
      <c r="G61" s="87"/>
      <c r="H61" s="87"/>
      <c r="I61" s="87">
        <v>4</v>
      </c>
      <c r="J61" s="87" t="s">
        <v>87</v>
      </c>
    </row>
    <row r="62" spans="1:10">
      <c r="A62" s="87"/>
      <c r="B62" s="87"/>
      <c r="C62" s="87">
        <v>4</v>
      </c>
      <c r="D62" s="87" t="s">
        <v>79</v>
      </c>
      <c r="G62" s="87"/>
      <c r="H62" s="87"/>
      <c r="I62" s="87">
        <v>4</v>
      </c>
      <c r="J62" s="87" t="s">
        <v>79</v>
      </c>
    </row>
    <row r="63" spans="1:10">
      <c r="A63" s="87"/>
      <c r="B63" s="87"/>
      <c r="C63" s="87">
        <v>4</v>
      </c>
      <c r="D63" s="87" t="s">
        <v>88</v>
      </c>
      <c r="G63" s="87"/>
      <c r="H63" s="87"/>
      <c r="I63" s="87">
        <v>4</v>
      </c>
      <c r="J63" s="87" t="s">
        <v>88</v>
      </c>
    </row>
    <row r="64" spans="1:10">
      <c r="A64" s="87" t="s">
        <v>78</v>
      </c>
      <c r="B64" s="87" t="s">
        <v>104</v>
      </c>
      <c r="C64" s="87">
        <v>1</v>
      </c>
      <c r="D64" s="87" t="s">
        <v>83</v>
      </c>
    </row>
    <row r="65" spans="1:4">
      <c r="A65" s="86" t="s">
        <v>321</v>
      </c>
      <c r="B65" s="87"/>
      <c r="C65" s="87">
        <v>1</v>
      </c>
      <c r="D65" s="87" t="s">
        <v>85</v>
      </c>
    </row>
    <row r="66" spans="1:4">
      <c r="A66" s="87"/>
      <c r="B66" s="87"/>
      <c r="C66" s="87">
        <v>1</v>
      </c>
      <c r="D66" s="87" t="s">
        <v>87</v>
      </c>
    </row>
    <row r="67" spans="1:4">
      <c r="A67" s="87"/>
      <c r="B67" s="87"/>
      <c r="C67" s="87">
        <v>1</v>
      </c>
      <c r="D67" s="87" t="s">
        <v>79</v>
      </c>
    </row>
    <row r="68" spans="1:4">
      <c r="A68" s="87"/>
      <c r="B68" s="87"/>
      <c r="C68" s="87">
        <v>1</v>
      </c>
      <c r="D68" s="87" t="s">
        <v>88</v>
      </c>
    </row>
    <row r="69" spans="1:4">
      <c r="A69" s="87"/>
      <c r="B69" s="87"/>
      <c r="C69" s="87">
        <v>2</v>
      </c>
      <c r="D69" s="87" t="s">
        <v>83</v>
      </c>
    </row>
    <row r="70" spans="1:4">
      <c r="A70" s="87"/>
      <c r="B70" s="87"/>
      <c r="C70" s="87">
        <v>2</v>
      </c>
      <c r="D70" s="87" t="s">
        <v>85</v>
      </c>
    </row>
    <row r="71" spans="1:4">
      <c r="A71" s="87"/>
      <c r="B71" s="87"/>
      <c r="C71" s="87">
        <v>2</v>
      </c>
      <c r="D71" s="87" t="s">
        <v>87</v>
      </c>
    </row>
    <row r="72" spans="1:4">
      <c r="A72" s="87"/>
      <c r="B72" s="87"/>
      <c r="C72" s="87">
        <v>2</v>
      </c>
      <c r="D72" s="87" t="s">
        <v>79</v>
      </c>
    </row>
    <row r="73" spans="1:4">
      <c r="A73" s="87"/>
      <c r="B73" s="87"/>
      <c r="C73" s="87">
        <v>2</v>
      </c>
      <c r="D73" s="87" t="s">
        <v>88</v>
      </c>
    </row>
    <row r="74" spans="1:4">
      <c r="A74" s="87"/>
      <c r="B74" s="87"/>
      <c r="C74" s="87">
        <v>3</v>
      </c>
      <c r="D74" s="87" t="s">
        <v>83</v>
      </c>
    </row>
    <row r="75" spans="1:4">
      <c r="A75" s="87"/>
      <c r="B75" s="87"/>
      <c r="C75" s="87">
        <v>3</v>
      </c>
      <c r="D75" s="87" t="s">
        <v>85</v>
      </c>
    </row>
    <row r="76" spans="1:4">
      <c r="A76" s="87"/>
      <c r="B76" s="87"/>
      <c r="C76" s="87">
        <v>3</v>
      </c>
      <c r="D76" s="87" t="s">
        <v>87</v>
      </c>
    </row>
    <row r="77" spans="1:4">
      <c r="A77" s="87"/>
      <c r="B77" s="87"/>
      <c r="C77" s="87">
        <v>3</v>
      </c>
      <c r="D77" s="87" t="s">
        <v>79</v>
      </c>
    </row>
    <row r="78" spans="1:4">
      <c r="A78" s="87"/>
      <c r="B78" s="87"/>
      <c r="C78" s="87">
        <v>3</v>
      </c>
      <c r="D78" s="87" t="s">
        <v>88</v>
      </c>
    </row>
    <row r="79" spans="1:4">
      <c r="A79" s="87"/>
      <c r="B79" s="87"/>
      <c r="C79" s="87">
        <v>4</v>
      </c>
      <c r="D79" s="87" t="s">
        <v>83</v>
      </c>
    </row>
    <row r="80" spans="1:4">
      <c r="A80" s="87"/>
      <c r="B80" s="87"/>
      <c r="C80" s="87">
        <v>4</v>
      </c>
      <c r="D80" s="87" t="s">
        <v>85</v>
      </c>
    </row>
    <row r="81" spans="1:11">
      <c r="A81" s="87"/>
      <c r="B81" s="87"/>
      <c r="C81" s="87">
        <v>4</v>
      </c>
      <c r="D81" s="87" t="s">
        <v>87</v>
      </c>
    </row>
    <row r="82" spans="1:11">
      <c r="A82" s="87"/>
      <c r="B82" s="87"/>
      <c r="C82" s="87">
        <v>4</v>
      </c>
      <c r="D82" s="87" t="s">
        <v>79</v>
      </c>
    </row>
    <row r="83" spans="1:11">
      <c r="A83" s="87"/>
      <c r="B83" s="87"/>
      <c r="C83" s="87">
        <v>4</v>
      </c>
      <c r="D83" s="87" t="s">
        <v>88</v>
      </c>
    </row>
    <row r="85" spans="1:11">
      <c r="A85" s="136" t="s">
        <v>51</v>
      </c>
      <c r="B85" s="136" t="s">
        <v>52</v>
      </c>
      <c r="C85" s="136" t="s">
        <v>53</v>
      </c>
      <c r="D85" s="136" t="s">
        <v>54</v>
      </c>
      <c r="E85" s="137" t="s">
        <v>328</v>
      </c>
      <c r="F85" s="138"/>
      <c r="G85" s="136" t="s">
        <v>51</v>
      </c>
      <c r="H85" s="136" t="s">
        <v>52</v>
      </c>
      <c r="I85" s="136" t="s">
        <v>53</v>
      </c>
      <c r="J85" s="136" t="s">
        <v>54</v>
      </c>
      <c r="K85" s="137" t="s">
        <v>328</v>
      </c>
    </row>
    <row r="86" spans="1:11">
      <c r="A86" s="87" t="s">
        <v>106</v>
      </c>
      <c r="B86" s="87" t="s">
        <v>107</v>
      </c>
      <c r="C86" s="87">
        <v>1</v>
      </c>
      <c r="D86" s="87" t="s">
        <v>83</v>
      </c>
      <c r="G86" s="87" t="s">
        <v>112</v>
      </c>
      <c r="H86" s="87" t="s">
        <v>113</v>
      </c>
      <c r="I86" s="87">
        <v>1</v>
      </c>
      <c r="J86" s="87" t="s">
        <v>83</v>
      </c>
    </row>
    <row r="87" spans="1:11">
      <c r="A87" s="86" t="s">
        <v>334</v>
      </c>
      <c r="B87" s="87"/>
      <c r="C87" s="87">
        <v>1</v>
      </c>
      <c r="D87" s="87" t="s">
        <v>108</v>
      </c>
      <c r="G87" s="87"/>
      <c r="H87" s="87"/>
      <c r="I87" s="87">
        <v>1</v>
      </c>
      <c r="J87" s="87" t="s">
        <v>108</v>
      </c>
    </row>
    <row r="88" spans="1:11">
      <c r="A88" s="87"/>
      <c r="B88" s="87"/>
      <c r="C88" s="87">
        <v>1</v>
      </c>
      <c r="D88" s="87" t="s">
        <v>109</v>
      </c>
      <c r="G88" s="87"/>
      <c r="H88" s="87"/>
      <c r="I88" s="87">
        <v>1</v>
      </c>
      <c r="J88" s="86" t="s">
        <v>287</v>
      </c>
    </row>
    <row r="89" spans="1:11">
      <c r="A89" s="87"/>
      <c r="B89" s="87"/>
      <c r="C89" s="87">
        <v>1</v>
      </c>
      <c r="D89" s="87" t="s">
        <v>87</v>
      </c>
      <c r="G89" s="87"/>
      <c r="H89" s="87"/>
      <c r="I89" s="87">
        <v>1</v>
      </c>
      <c r="J89" s="86" t="s">
        <v>109</v>
      </c>
    </row>
    <row r="90" spans="1:11">
      <c r="A90" s="87"/>
      <c r="B90" s="87"/>
      <c r="C90" s="87">
        <v>1</v>
      </c>
      <c r="D90" s="87" t="s">
        <v>79</v>
      </c>
      <c r="G90" s="87"/>
      <c r="H90" s="87"/>
      <c r="I90" s="87">
        <v>1</v>
      </c>
      <c r="J90" s="86" t="s">
        <v>87</v>
      </c>
    </row>
    <row r="91" spans="1:11">
      <c r="A91" s="87"/>
      <c r="B91" s="87"/>
      <c r="C91" s="87">
        <v>2</v>
      </c>
      <c r="D91" s="87" t="s">
        <v>83</v>
      </c>
      <c r="G91" s="87"/>
      <c r="H91" s="87"/>
      <c r="I91" s="87">
        <v>2</v>
      </c>
      <c r="J91" s="87" t="s">
        <v>83</v>
      </c>
    </row>
    <row r="92" spans="1:11">
      <c r="A92" s="87"/>
      <c r="B92" s="87"/>
      <c r="C92" s="87">
        <v>2</v>
      </c>
      <c r="D92" s="87" t="s">
        <v>108</v>
      </c>
      <c r="G92" s="87"/>
      <c r="H92" s="87"/>
      <c r="I92" s="87">
        <v>2</v>
      </c>
      <c r="J92" s="87" t="s">
        <v>108</v>
      </c>
    </row>
    <row r="93" spans="1:11">
      <c r="A93" s="87"/>
      <c r="B93" s="87"/>
      <c r="C93" s="87">
        <v>2</v>
      </c>
      <c r="D93" s="87" t="s">
        <v>109</v>
      </c>
      <c r="G93" s="87"/>
      <c r="H93" s="87"/>
      <c r="I93" s="87">
        <v>2</v>
      </c>
      <c r="J93" s="86" t="s">
        <v>287</v>
      </c>
    </row>
    <row r="94" spans="1:11">
      <c r="A94" s="87"/>
      <c r="B94" s="87"/>
      <c r="C94" s="87">
        <v>2</v>
      </c>
      <c r="D94" s="87" t="s">
        <v>87</v>
      </c>
      <c r="G94" s="87"/>
      <c r="H94" s="87"/>
      <c r="I94" s="86">
        <v>2</v>
      </c>
      <c r="J94" s="86" t="s">
        <v>109</v>
      </c>
    </row>
    <row r="95" spans="1:11">
      <c r="A95" s="87"/>
      <c r="B95" s="87"/>
      <c r="C95" s="87">
        <v>2</v>
      </c>
      <c r="D95" s="87" t="s">
        <v>79</v>
      </c>
      <c r="G95" s="87"/>
      <c r="H95" s="87"/>
      <c r="I95" s="87">
        <v>2</v>
      </c>
      <c r="J95" s="86" t="s">
        <v>87</v>
      </c>
    </row>
    <row r="96" spans="1:11">
      <c r="A96" s="87"/>
      <c r="B96" s="87"/>
      <c r="C96" s="87">
        <v>3</v>
      </c>
      <c r="D96" s="87" t="s">
        <v>83</v>
      </c>
      <c r="G96" s="87"/>
      <c r="H96" s="87"/>
      <c r="I96" s="87">
        <v>3</v>
      </c>
      <c r="J96" s="87" t="s">
        <v>83</v>
      </c>
    </row>
    <row r="97" spans="1:10">
      <c r="A97" s="87"/>
      <c r="B97" s="87"/>
      <c r="C97" s="87">
        <v>3</v>
      </c>
      <c r="D97" s="87" t="s">
        <v>108</v>
      </c>
      <c r="G97" s="87"/>
      <c r="H97" s="87"/>
      <c r="I97" s="87">
        <v>3</v>
      </c>
      <c r="J97" s="87" t="s">
        <v>108</v>
      </c>
    </row>
    <row r="98" spans="1:10">
      <c r="A98" s="87"/>
      <c r="B98" s="87"/>
      <c r="C98" s="87">
        <v>3</v>
      </c>
      <c r="D98" s="87" t="s">
        <v>109</v>
      </c>
      <c r="G98" s="87"/>
      <c r="H98" s="87"/>
      <c r="I98" s="87">
        <v>3</v>
      </c>
      <c r="J98" s="86" t="s">
        <v>287</v>
      </c>
    </row>
    <row r="99" spans="1:10">
      <c r="A99" s="87"/>
      <c r="B99" s="87"/>
      <c r="C99" s="87">
        <v>3</v>
      </c>
      <c r="D99" s="87" t="s">
        <v>87</v>
      </c>
      <c r="G99" s="87"/>
      <c r="H99" s="87"/>
      <c r="I99" s="87">
        <v>3</v>
      </c>
      <c r="J99" s="86" t="s">
        <v>109</v>
      </c>
    </row>
    <row r="100" spans="1:10">
      <c r="A100" s="87"/>
      <c r="B100" s="87"/>
      <c r="C100" s="87">
        <v>3</v>
      </c>
      <c r="D100" s="87" t="s">
        <v>79</v>
      </c>
      <c r="G100" s="87"/>
      <c r="H100" s="87"/>
      <c r="I100" s="87">
        <v>3</v>
      </c>
      <c r="J100" s="86" t="s">
        <v>87</v>
      </c>
    </row>
    <row r="101" spans="1:10">
      <c r="A101" s="87"/>
      <c r="B101" s="87"/>
      <c r="C101" s="87">
        <v>4</v>
      </c>
      <c r="D101" s="87" t="s">
        <v>83</v>
      </c>
      <c r="G101" s="87"/>
      <c r="H101" s="87"/>
      <c r="I101" s="87">
        <v>4</v>
      </c>
      <c r="J101" s="87" t="s">
        <v>83</v>
      </c>
    </row>
    <row r="102" spans="1:10">
      <c r="A102" s="87"/>
      <c r="B102" s="87"/>
      <c r="C102" s="87">
        <v>4</v>
      </c>
      <c r="D102" s="87" t="s">
        <v>108</v>
      </c>
      <c r="G102" s="87"/>
      <c r="H102" s="87"/>
      <c r="I102" s="87">
        <v>4</v>
      </c>
      <c r="J102" s="87" t="s">
        <v>108</v>
      </c>
    </row>
    <row r="103" spans="1:10">
      <c r="A103" s="87"/>
      <c r="B103" s="87"/>
      <c r="C103" s="87">
        <v>4</v>
      </c>
      <c r="D103" s="87" t="s">
        <v>109</v>
      </c>
      <c r="G103" s="87"/>
      <c r="H103" s="87"/>
      <c r="I103" s="87">
        <v>4</v>
      </c>
      <c r="J103" s="86" t="s">
        <v>287</v>
      </c>
    </row>
    <row r="104" spans="1:10">
      <c r="A104" s="87"/>
      <c r="B104" s="87"/>
      <c r="C104" s="87">
        <v>4</v>
      </c>
      <c r="D104" s="87" t="s">
        <v>87</v>
      </c>
      <c r="G104" s="121"/>
      <c r="H104" s="121"/>
      <c r="I104" s="121">
        <v>4</v>
      </c>
      <c r="J104" s="139" t="s">
        <v>109</v>
      </c>
    </row>
    <row r="105" spans="1:10">
      <c r="A105" s="87"/>
      <c r="B105" s="87"/>
      <c r="C105" s="87">
        <v>4</v>
      </c>
      <c r="D105" s="87" t="s">
        <v>79</v>
      </c>
      <c r="G105" s="87"/>
      <c r="H105" s="87"/>
      <c r="I105" s="87">
        <v>4</v>
      </c>
      <c r="J105" s="86" t="s">
        <v>87</v>
      </c>
    </row>
    <row r="106" spans="1:10">
      <c r="A106" s="87" t="s">
        <v>106</v>
      </c>
      <c r="B106" s="87" t="s">
        <v>110</v>
      </c>
      <c r="C106" s="87">
        <v>1</v>
      </c>
      <c r="D106" s="87" t="s">
        <v>83</v>
      </c>
      <c r="G106" s="87" t="s">
        <v>112</v>
      </c>
      <c r="H106" s="87" t="s">
        <v>115</v>
      </c>
      <c r="I106" s="87">
        <v>1</v>
      </c>
      <c r="J106" s="87" t="s">
        <v>83</v>
      </c>
    </row>
    <row r="107" spans="1:10">
      <c r="A107" s="86" t="s">
        <v>335</v>
      </c>
      <c r="B107" s="87"/>
      <c r="C107" s="87">
        <v>1</v>
      </c>
      <c r="D107" s="87" t="s">
        <v>85</v>
      </c>
      <c r="G107" s="87"/>
      <c r="H107" s="87"/>
      <c r="I107" s="87">
        <v>1</v>
      </c>
      <c r="J107" s="87" t="s">
        <v>85</v>
      </c>
    </row>
    <row r="108" spans="1:10">
      <c r="A108" s="87"/>
      <c r="B108" s="87"/>
      <c r="C108" s="87">
        <v>1</v>
      </c>
      <c r="D108" s="86" t="s">
        <v>87</v>
      </c>
      <c r="G108" s="87"/>
      <c r="H108" s="87"/>
      <c r="I108" s="87">
        <v>1</v>
      </c>
      <c r="J108" s="87" t="s">
        <v>87</v>
      </c>
    </row>
    <row r="109" spans="1:10">
      <c r="A109" s="86" t="s">
        <v>336</v>
      </c>
      <c r="B109" s="87"/>
      <c r="C109" s="86">
        <v>1</v>
      </c>
      <c r="D109" s="86" t="s">
        <v>87</v>
      </c>
      <c r="G109" s="87"/>
      <c r="H109" s="87"/>
      <c r="I109" s="87">
        <v>1</v>
      </c>
      <c r="J109" s="87" t="s">
        <v>79</v>
      </c>
    </row>
    <row r="110" spans="1:10">
      <c r="A110" s="87"/>
      <c r="B110" s="87"/>
      <c r="C110" s="87">
        <v>1</v>
      </c>
      <c r="D110" s="86" t="s">
        <v>79</v>
      </c>
      <c r="G110" s="87"/>
      <c r="H110" s="87"/>
      <c r="I110" s="87">
        <v>1</v>
      </c>
      <c r="J110" s="87" t="s">
        <v>88</v>
      </c>
    </row>
    <row r="111" spans="1:10">
      <c r="A111" s="87"/>
      <c r="B111" s="87"/>
      <c r="C111" s="87">
        <v>1</v>
      </c>
      <c r="D111" s="86" t="s">
        <v>88</v>
      </c>
      <c r="G111" s="87"/>
      <c r="H111" s="87"/>
      <c r="I111" s="87">
        <v>2</v>
      </c>
      <c r="J111" s="87" t="s">
        <v>83</v>
      </c>
    </row>
    <row r="112" spans="1:10">
      <c r="A112" s="87"/>
      <c r="B112" s="87"/>
      <c r="C112" s="87">
        <v>2</v>
      </c>
      <c r="D112" s="87" t="s">
        <v>83</v>
      </c>
      <c r="G112" s="87"/>
      <c r="H112" s="87"/>
      <c r="I112" s="87">
        <v>2</v>
      </c>
      <c r="J112" s="87" t="s">
        <v>85</v>
      </c>
    </row>
    <row r="113" spans="1:10">
      <c r="A113" s="87"/>
      <c r="B113" s="87"/>
      <c r="C113" s="87">
        <v>2</v>
      </c>
      <c r="D113" s="87" t="s">
        <v>85</v>
      </c>
      <c r="G113" s="87"/>
      <c r="H113" s="87"/>
      <c r="I113" s="87">
        <v>2</v>
      </c>
      <c r="J113" s="87" t="s">
        <v>87</v>
      </c>
    </row>
    <row r="114" spans="1:10">
      <c r="A114" s="87"/>
      <c r="B114" s="87"/>
      <c r="C114" s="87">
        <v>2</v>
      </c>
      <c r="D114" s="87" t="s">
        <v>87</v>
      </c>
      <c r="G114" s="87"/>
      <c r="H114" s="87"/>
      <c r="I114" s="87">
        <v>2</v>
      </c>
      <c r="J114" s="87" t="s">
        <v>79</v>
      </c>
    </row>
    <row r="115" spans="1:10">
      <c r="A115" s="87"/>
      <c r="B115" s="87"/>
      <c r="C115" s="87">
        <v>2</v>
      </c>
      <c r="D115" s="87" t="s">
        <v>79</v>
      </c>
      <c r="G115" s="87"/>
      <c r="H115" s="87"/>
      <c r="I115" s="87">
        <v>2</v>
      </c>
      <c r="J115" s="87" t="s">
        <v>88</v>
      </c>
    </row>
    <row r="116" spans="1:10">
      <c r="A116" s="87"/>
      <c r="B116" s="87"/>
      <c r="C116" s="87">
        <v>2</v>
      </c>
      <c r="D116" s="87" t="s">
        <v>88</v>
      </c>
      <c r="G116" s="87"/>
      <c r="H116" s="87"/>
      <c r="I116" s="87">
        <v>3</v>
      </c>
      <c r="J116" s="87" t="s">
        <v>83</v>
      </c>
    </row>
    <row r="117" spans="1:10">
      <c r="A117" s="87"/>
      <c r="B117" s="87"/>
      <c r="C117" s="87">
        <v>3</v>
      </c>
      <c r="D117" s="87" t="s">
        <v>83</v>
      </c>
      <c r="G117" s="87"/>
      <c r="H117" s="87"/>
      <c r="I117" s="87">
        <v>3</v>
      </c>
      <c r="J117" s="87" t="s">
        <v>85</v>
      </c>
    </row>
    <row r="118" spans="1:10">
      <c r="A118" s="87"/>
      <c r="B118" s="87"/>
      <c r="C118" s="87">
        <v>3</v>
      </c>
      <c r="D118" s="87" t="s">
        <v>85</v>
      </c>
      <c r="G118" s="87"/>
      <c r="H118" s="87"/>
      <c r="I118" s="87">
        <v>3</v>
      </c>
      <c r="J118" s="87" t="s">
        <v>87</v>
      </c>
    </row>
    <row r="119" spans="1:10">
      <c r="A119" s="87"/>
      <c r="B119" s="87"/>
      <c r="C119" s="87">
        <v>3</v>
      </c>
      <c r="D119" s="86" t="s">
        <v>87</v>
      </c>
      <c r="G119" s="87"/>
      <c r="H119" s="87"/>
      <c r="I119" s="87">
        <v>3</v>
      </c>
      <c r="J119" s="87" t="s">
        <v>79</v>
      </c>
    </row>
    <row r="120" spans="1:10">
      <c r="A120" s="87"/>
      <c r="B120" s="87"/>
      <c r="C120" s="87">
        <v>3</v>
      </c>
      <c r="D120" s="87" t="s">
        <v>79</v>
      </c>
      <c r="G120" s="87"/>
      <c r="H120" s="87"/>
      <c r="I120" s="87">
        <v>3</v>
      </c>
      <c r="J120" s="87" t="s">
        <v>88</v>
      </c>
    </row>
    <row r="121" spans="1:10">
      <c r="A121" s="87"/>
      <c r="B121" s="87"/>
      <c r="C121" s="87">
        <v>3</v>
      </c>
      <c r="D121" s="87" t="s">
        <v>88</v>
      </c>
      <c r="G121" s="87"/>
      <c r="H121" s="87"/>
      <c r="I121" s="87">
        <v>4</v>
      </c>
      <c r="J121" s="87" t="s">
        <v>83</v>
      </c>
    </row>
    <row r="122" spans="1:10">
      <c r="A122" s="87"/>
      <c r="B122" s="87"/>
      <c r="C122" s="87">
        <v>4</v>
      </c>
      <c r="D122" s="87" t="s">
        <v>83</v>
      </c>
      <c r="G122" s="87"/>
      <c r="H122" s="87"/>
      <c r="I122" s="87">
        <v>4</v>
      </c>
      <c r="J122" s="87" t="s">
        <v>85</v>
      </c>
    </row>
    <row r="123" spans="1:10">
      <c r="A123" s="87"/>
      <c r="B123" s="87"/>
      <c r="C123" s="87">
        <v>4</v>
      </c>
      <c r="D123" s="87" t="s">
        <v>85</v>
      </c>
      <c r="G123" s="87"/>
      <c r="H123" s="87"/>
      <c r="I123" s="87">
        <v>4</v>
      </c>
      <c r="J123" s="87" t="s">
        <v>87</v>
      </c>
    </row>
    <row r="124" spans="1:10">
      <c r="A124" s="87"/>
      <c r="B124" s="87"/>
      <c r="C124" s="87">
        <v>4</v>
      </c>
      <c r="D124" s="87" t="s">
        <v>87</v>
      </c>
      <c r="G124" s="87"/>
      <c r="H124" s="87"/>
      <c r="I124" s="87">
        <v>4</v>
      </c>
      <c r="J124" s="87" t="s">
        <v>79</v>
      </c>
    </row>
    <row r="125" spans="1:10">
      <c r="A125" s="87"/>
      <c r="B125" s="87"/>
      <c r="C125" s="87">
        <v>4</v>
      </c>
      <c r="D125" s="87" t="s">
        <v>79</v>
      </c>
      <c r="G125" s="87"/>
      <c r="H125" s="87"/>
      <c r="I125" s="87">
        <v>4</v>
      </c>
      <c r="J125" s="87" t="s">
        <v>88</v>
      </c>
    </row>
    <row r="126" spans="1:10">
      <c r="A126" s="87"/>
      <c r="B126" s="87"/>
      <c r="C126" s="87">
        <v>4</v>
      </c>
      <c r="D126" s="86" t="s">
        <v>315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35"/>
  <sheetViews>
    <sheetView workbookViewId="0"/>
  </sheetViews>
  <sheetFormatPr defaultColWidth="17.28515625" defaultRowHeight="15" customHeight="1"/>
  <sheetData>
    <row r="1" spans="1:4">
      <c r="A1" s="164" t="s">
        <v>241</v>
      </c>
      <c r="B1" s="154"/>
      <c r="C1" s="154"/>
      <c r="D1" s="154"/>
    </row>
    <row r="2" spans="1:4">
      <c r="A2" s="21" t="s">
        <v>186</v>
      </c>
      <c r="B2" s="21" t="s">
        <v>198</v>
      </c>
      <c r="C2" s="21" t="s">
        <v>199</v>
      </c>
      <c r="D2" s="21" t="s">
        <v>139</v>
      </c>
    </row>
    <row r="3" spans="1:4" ht="15" customHeight="1">
      <c r="A3" s="16">
        <v>6.1793406593406601</v>
      </c>
      <c r="B3" s="16">
        <v>4.25</v>
      </c>
      <c r="C3" s="16">
        <v>3.63</v>
      </c>
      <c r="D3" s="16">
        <f t="shared" ref="D3:D9" si="0">A3+B3</f>
        <v>10.42934065934066</v>
      </c>
    </row>
    <row r="4" spans="1:4" ht="15" customHeight="1">
      <c r="A4" s="16">
        <v>6.2823956043956102</v>
      </c>
      <c r="B4" s="105"/>
      <c r="C4" s="105"/>
      <c r="D4" s="16">
        <f t="shared" si="0"/>
        <v>6.2823956043956102</v>
      </c>
    </row>
    <row r="5" spans="1:4" ht="15" customHeight="1">
      <c r="A5" s="16">
        <v>6.3854505494505496</v>
      </c>
      <c r="B5" s="16">
        <v>14.75</v>
      </c>
      <c r="C5" s="16">
        <v>1.7170000000000001</v>
      </c>
      <c r="D5" s="16">
        <f t="shared" si="0"/>
        <v>21.13545054945055</v>
      </c>
    </row>
    <row r="6" spans="1:4" ht="15" customHeight="1">
      <c r="A6" s="16">
        <v>6.4885054945054996</v>
      </c>
      <c r="B6" s="16">
        <v>21.52</v>
      </c>
      <c r="C6" s="16">
        <v>1.6490853658536599</v>
      </c>
      <c r="D6" s="16">
        <f t="shared" si="0"/>
        <v>28.008505494505499</v>
      </c>
    </row>
    <row r="7" spans="1:4" ht="15" customHeight="1">
      <c r="A7" s="16">
        <v>6.5915604395604399</v>
      </c>
      <c r="B7" s="105"/>
      <c r="C7" s="16">
        <v>1.58117073170732</v>
      </c>
      <c r="D7" s="16">
        <f t="shared" si="0"/>
        <v>6.5915604395604399</v>
      </c>
    </row>
    <row r="8" spans="1:4" ht="15" customHeight="1">
      <c r="A8" s="16">
        <v>6.69461538461539</v>
      </c>
      <c r="B8" s="16">
        <v>1.9269999999999901</v>
      </c>
      <c r="C8" s="16">
        <v>1.5132560975609799</v>
      </c>
      <c r="D8" s="16">
        <f t="shared" si="0"/>
        <v>8.6216153846153798</v>
      </c>
    </row>
    <row r="9" spans="1:4" ht="15" customHeight="1">
      <c r="A9" s="16">
        <v>6.7976703296703302</v>
      </c>
      <c r="B9" s="16">
        <v>1.6539999999999899</v>
      </c>
      <c r="C9" s="16">
        <v>1.44534146341464</v>
      </c>
      <c r="D9" s="16">
        <f t="shared" si="0"/>
        <v>8.4516703296703195</v>
      </c>
    </row>
    <row r="16" spans="1:4" ht="15" customHeight="1">
      <c r="A16" s="16">
        <v>5.97</v>
      </c>
      <c r="B16" s="16">
        <v>10.63</v>
      </c>
      <c r="C16">
        <f t="shared" ref="C16:C35" si="1">A16-B16</f>
        <v>-4.660000000000001</v>
      </c>
    </row>
    <row r="17" spans="1:3" ht="15" customHeight="1">
      <c r="A17" s="16">
        <v>7.26</v>
      </c>
      <c r="B17" s="16">
        <v>4.1500000000000004</v>
      </c>
      <c r="C17">
        <f t="shared" si="1"/>
        <v>3.1099999999999994</v>
      </c>
    </row>
    <row r="18" spans="1:3" ht="15" customHeight="1">
      <c r="A18" s="16">
        <v>0.41</v>
      </c>
      <c r="B18" s="16">
        <v>3.49</v>
      </c>
      <c r="C18">
        <f t="shared" si="1"/>
        <v>-3.08</v>
      </c>
    </row>
    <row r="19" spans="1:3" ht="15" customHeight="1">
      <c r="A19" s="16">
        <v>8.8000000000000007</v>
      </c>
      <c r="B19" s="16">
        <v>4.87</v>
      </c>
      <c r="C19">
        <f t="shared" si="1"/>
        <v>3.9300000000000006</v>
      </c>
    </row>
    <row r="20" spans="1:3" ht="15" customHeight="1">
      <c r="A20" s="16">
        <v>12.57</v>
      </c>
      <c r="B20" s="16">
        <v>4.09</v>
      </c>
      <c r="C20">
        <f t="shared" si="1"/>
        <v>8.48</v>
      </c>
    </row>
    <row r="21" spans="1:3" ht="15" customHeight="1">
      <c r="A21" s="16">
        <v>1.06</v>
      </c>
      <c r="B21" s="16">
        <v>3.35</v>
      </c>
      <c r="C21">
        <f t="shared" si="1"/>
        <v>-2.29</v>
      </c>
    </row>
    <row r="22" spans="1:3" ht="15" customHeight="1">
      <c r="A22" s="16">
        <v>24.49</v>
      </c>
      <c r="B22" s="16">
        <v>3.83</v>
      </c>
      <c r="C22">
        <f t="shared" si="1"/>
        <v>20.659999999999997</v>
      </c>
    </row>
    <row r="23" spans="1:3" ht="15" customHeight="1">
      <c r="A23" s="16">
        <v>8.1300000000000008</v>
      </c>
      <c r="B23" s="16">
        <v>4.6500000000000004</v>
      </c>
      <c r="C23">
        <f t="shared" si="1"/>
        <v>3.4800000000000004</v>
      </c>
    </row>
    <row r="24" spans="1:3" ht="15" customHeight="1">
      <c r="A24" s="16">
        <v>19.07</v>
      </c>
      <c r="B24" s="16">
        <v>4.8099999999999996</v>
      </c>
      <c r="C24">
        <f t="shared" si="1"/>
        <v>14.260000000000002</v>
      </c>
    </row>
    <row r="25" spans="1:3" ht="15" customHeight="1">
      <c r="A25" s="16">
        <v>10.91</v>
      </c>
      <c r="B25" s="16">
        <v>4.87</v>
      </c>
      <c r="C25">
        <f t="shared" si="1"/>
        <v>6.04</v>
      </c>
    </row>
    <row r="26" spans="1:3" ht="15" customHeight="1">
      <c r="A26" s="16">
        <v>11.29</v>
      </c>
      <c r="B26" s="16">
        <v>6.92</v>
      </c>
      <c r="C26">
        <f t="shared" si="1"/>
        <v>4.3699999999999992</v>
      </c>
    </row>
    <row r="27" spans="1:3" ht="15" customHeight="1">
      <c r="A27" s="16">
        <v>7.47</v>
      </c>
      <c r="B27" s="16">
        <v>3.92</v>
      </c>
      <c r="C27">
        <f t="shared" si="1"/>
        <v>3.55</v>
      </c>
    </row>
    <row r="28" spans="1:3" ht="15" customHeight="1">
      <c r="A28" s="16">
        <v>18.53</v>
      </c>
      <c r="B28" s="16">
        <v>3.92</v>
      </c>
      <c r="C28">
        <f t="shared" si="1"/>
        <v>14.610000000000001</v>
      </c>
    </row>
    <row r="29" spans="1:3" ht="15" customHeight="1">
      <c r="A29" s="16">
        <v>42.52</v>
      </c>
      <c r="B29" s="16">
        <v>3.92</v>
      </c>
      <c r="C29">
        <f t="shared" si="1"/>
        <v>38.6</v>
      </c>
    </row>
    <row r="30" spans="1:3" ht="15" customHeight="1">
      <c r="A30" s="16">
        <v>22.73</v>
      </c>
      <c r="B30" s="16">
        <v>5.33</v>
      </c>
      <c r="C30">
        <f t="shared" si="1"/>
        <v>17.399999999999999</v>
      </c>
    </row>
    <row r="31" spans="1:3" ht="15" customHeight="1">
      <c r="A31" s="16">
        <v>14.93</v>
      </c>
      <c r="B31" s="16">
        <v>4.09</v>
      </c>
      <c r="C31">
        <f t="shared" si="1"/>
        <v>10.84</v>
      </c>
    </row>
    <row r="32" spans="1:3" ht="15" customHeight="1">
      <c r="A32" s="16">
        <v>57.38</v>
      </c>
      <c r="B32" s="16">
        <v>5.38</v>
      </c>
      <c r="C32">
        <f t="shared" si="1"/>
        <v>52</v>
      </c>
    </row>
    <row r="33" spans="1:3" ht="12.75">
      <c r="A33" s="16">
        <v>17.079999999999998</v>
      </c>
      <c r="B33" s="16">
        <v>5.77</v>
      </c>
      <c r="C33">
        <f t="shared" si="1"/>
        <v>11.309999999999999</v>
      </c>
    </row>
    <row r="34" spans="1:3" ht="12.75">
      <c r="A34" s="16">
        <v>11.85</v>
      </c>
      <c r="B34" s="16">
        <v>6.43</v>
      </c>
      <c r="C34">
        <f t="shared" si="1"/>
        <v>5.42</v>
      </c>
    </row>
    <row r="35" spans="1:3" ht="12.75">
      <c r="A35" s="16">
        <v>13.11</v>
      </c>
      <c r="B35" s="16">
        <v>4.51</v>
      </c>
      <c r="C35">
        <f t="shared" si="1"/>
        <v>8.6</v>
      </c>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282"/>
  <sheetViews>
    <sheetView workbookViewId="0"/>
  </sheetViews>
  <sheetFormatPr defaultColWidth="17.28515625" defaultRowHeight="15" customHeight="1"/>
  <cols>
    <col min="1" max="1" width="19.28515625" customWidth="1"/>
    <col min="2" max="2" width="20.5703125" customWidth="1"/>
    <col min="3" max="3" width="16.7109375" customWidth="1"/>
    <col min="4" max="5" width="8.7109375" customWidth="1"/>
    <col min="6" max="6" width="13.42578125" customWidth="1"/>
    <col min="7" max="7" width="15.5703125" customWidth="1"/>
    <col min="8" max="16" width="8.7109375" customWidth="1"/>
  </cols>
  <sheetData>
    <row r="1" spans="1:16">
      <c r="A1" s="1" t="s">
        <v>0</v>
      </c>
      <c r="B1" s="2"/>
      <c r="C1" s="2"/>
      <c r="D1" s="2"/>
      <c r="E1" s="2"/>
      <c r="F1" s="2"/>
      <c r="G1" s="2"/>
      <c r="H1" s="2"/>
      <c r="I1" s="2"/>
      <c r="J1" s="2"/>
      <c r="K1" s="3"/>
      <c r="L1" s="3"/>
      <c r="M1" s="3"/>
      <c r="N1" s="3"/>
      <c r="O1" s="3"/>
      <c r="P1" s="3"/>
    </row>
    <row r="2" spans="1:16">
      <c r="A2" s="2" t="s">
        <v>1</v>
      </c>
      <c r="B2" s="2"/>
      <c r="C2" s="2"/>
      <c r="D2" s="3"/>
      <c r="E2" s="3"/>
      <c r="F2" s="2"/>
      <c r="G2" s="2"/>
      <c r="H2" s="3"/>
      <c r="I2" s="4"/>
      <c r="J2" s="2" t="s">
        <v>2</v>
      </c>
      <c r="K2" s="3"/>
      <c r="L2" s="3"/>
      <c r="M2" s="3"/>
      <c r="N2" s="3"/>
      <c r="O2" s="3"/>
      <c r="P2" s="3"/>
    </row>
    <row r="3" spans="1:16">
      <c r="A3" s="2" t="s">
        <v>3</v>
      </c>
      <c r="B3" s="2"/>
      <c r="C3" s="2"/>
      <c r="D3" s="3"/>
      <c r="E3" s="3"/>
      <c r="F3" s="2"/>
      <c r="G3" s="2"/>
      <c r="H3" s="3"/>
      <c r="I3" s="5"/>
      <c r="J3" s="2" t="s">
        <v>4</v>
      </c>
      <c r="K3" s="3"/>
      <c r="L3" s="3"/>
      <c r="M3" s="3"/>
      <c r="N3" s="3"/>
      <c r="O3" s="3"/>
      <c r="P3" s="3"/>
    </row>
    <row r="4" spans="1:16">
      <c r="A4" s="2" t="s">
        <v>5</v>
      </c>
      <c r="B4" s="2"/>
      <c r="C4" s="2"/>
      <c r="D4" s="3"/>
      <c r="E4" s="3"/>
      <c r="F4" s="2"/>
      <c r="G4" s="2"/>
      <c r="H4" s="3"/>
      <c r="I4" s="3"/>
      <c r="J4" s="3"/>
      <c r="K4" s="3"/>
      <c r="L4" s="3"/>
      <c r="M4" s="3"/>
      <c r="N4" s="3"/>
      <c r="O4" s="3"/>
      <c r="P4" s="3"/>
    </row>
    <row r="5" spans="1:16">
      <c r="A5" s="2"/>
      <c r="B5" s="2"/>
      <c r="C5" s="2"/>
      <c r="D5" s="2"/>
      <c r="E5" s="2"/>
      <c r="F5" s="2"/>
      <c r="G5" s="2"/>
      <c r="H5" s="2"/>
      <c r="I5" s="2"/>
      <c r="J5" s="2"/>
      <c r="K5" s="3"/>
      <c r="L5" s="3"/>
      <c r="M5" s="3"/>
      <c r="N5" s="3"/>
      <c r="O5" s="3"/>
      <c r="P5" s="3"/>
    </row>
    <row r="6" spans="1:16">
      <c r="A6" s="6" t="s">
        <v>6</v>
      </c>
      <c r="B6" s="2"/>
      <c r="C6" s="2"/>
      <c r="D6" s="3"/>
      <c r="E6" s="3"/>
      <c r="F6" s="2"/>
      <c r="G6" s="2"/>
      <c r="H6" s="3"/>
      <c r="I6" s="3"/>
      <c r="J6" s="3"/>
      <c r="K6" s="3"/>
      <c r="L6" s="3"/>
      <c r="M6" s="3"/>
      <c r="N6" s="3"/>
      <c r="O6" s="3"/>
      <c r="P6" s="3"/>
    </row>
    <row r="7" spans="1:16">
      <c r="A7" s="6"/>
      <c r="B7" s="2"/>
      <c r="C7" s="2"/>
      <c r="D7" s="2"/>
      <c r="E7" s="2"/>
      <c r="F7" s="2"/>
      <c r="G7" s="2"/>
      <c r="H7" s="2"/>
      <c r="I7" s="2"/>
      <c r="J7" s="2"/>
      <c r="K7" s="3"/>
      <c r="L7" s="3"/>
      <c r="M7" s="3"/>
      <c r="N7" s="3"/>
      <c r="O7" s="3"/>
      <c r="P7" s="3"/>
    </row>
    <row r="8" spans="1:16">
      <c r="A8" s="2" t="s">
        <v>7</v>
      </c>
      <c r="B8" s="2"/>
      <c r="C8" s="2"/>
      <c r="D8" s="3"/>
      <c r="E8" s="3"/>
      <c r="F8" s="2"/>
      <c r="G8" s="2"/>
      <c r="H8" s="3"/>
      <c r="I8" s="3"/>
      <c r="J8" s="3"/>
      <c r="K8" s="3"/>
      <c r="L8" s="3"/>
      <c r="M8" s="3"/>
      <c r="N8" s="3"/>
      <c r="O8" s="3"/>
      <c r="P8" s="3"/>
    </row>
    <row r="9" spans="1:16">
      <c r="A9" s="2"/>
      <c r="B9" s="2"/>
      <c r="C9" s="2"/>
      <c r="D9" s="2"/>
      <c r="E9" s="2"/>
      <c r="F9" s="2"/>
      <c r="G9" s="2"/>
      <c r="H9" s="2"/>
      <c r="I9" s="2"/>
      <c r="J9" s="2"/>
      <c r="K9" s="3"/>
      <c r="L9" s="3"/>
      <c r="M9" s="3"/>
      <c r="N9" s="3"/>
      <c r="O9" s="3"/>
      <c r="P9" s="3"/>
    </row>
    <row r="10" spans="1:16">
      <c r="A10" s="2" t="s">
        <v>8</v>
      </c>
      <c r="B10" s="2"/>
      <c r="C10" s="2"/>
      <c r="D10" s="2"/>
      <c r="E10" s="2"/>
      <c r="F10" s="2"/>
      <c r="G10" s="2"/>
      <c r="H10" s="2"/>
      <c r="I10" s="2"/>
      <c r="J10" s="2"/>
      <c r="K10" s="3"/>
      <c r="L10" s="3"/>
      <c r="M10" s="3"/>
      <c r="N10" s="3"/>
      <c r="O10" s="3"/>
      <c r="P10" s="3"/>
    </row>
    <row r="11" spans="1:16">
      <c r="A11" s="2"/>
      <c r="B11" s="2"/>
      <c r="C11" s="2"/>
      <c r="D11" s="3"/>
      <c r="E11" s="3"/>
      <c r="F11" s="2"/>
      <c r="G11" s="2"/>
      <c r="H11" s="3"/>
      <c r="I11" s="3"/>
      <c r="J11" s="3"/>
      <c r="K11" s="3"/>
      <c r="L11" s="3"/>
      <c r="M11" s="3"/>
      <c r="N11" s="3"/>
      <c r="O11" s="3"/>
      <c r="P11" s="3"/>
    </row>
    <row r="12" spans="1:16">
      <c r="A12" s="2" t="s">
        <v>9</v>
      </c>
      <c r="B12" s="2"/>
      <c r="C12" s="2"/>
      <c r="D12" s="3"/>
      <c r="E12" s="3"/>
      <c r="F12" s="2"/>
      <c r="G12" s="2"/>
      <c r="H12" s="3"/>
      <c r="I12" s="3"/>
      <c r="J12" s="3"/>
      <c r="K12" s="3"/>
      <c r="L12" s="3"/>
      <c r="M12" s="3"/>
      <c r="N12" s="3"/>
      <c r="O12" s="3"/>
      <c r="P12" s="3"/>
    </row>
    <row r="13" spans="1:16">
      <c r="A13" s="2"/>
      <c r="B13" s="2"/>
      <c r="C13" s="2"/>
      <c r="D13" s="3"/>
      <c r="E13" s="3"/>
      <c r="F13" s="2"/>
      <c r="G13" s="2"/>
      <c r="H13" s="3"/>
      <c r="I13" s="3"/>
      <c r="J13" s="3"/>
      <c r="K13" s="3"/>
      <c r="L13" s="3"/>
      <c r="M13" s="3"/>
      <c r="N13" s="3"/>
      <c r="O13" s="3"/>
      <c r="P13" s="3"/>
    </row>
    <row r="14" spans="1:16">
      <c r="A14" s="1"/>
      <c r="B14" s="1"/>
      <c r="C14" s="2"/>
      <c r="D14" s="2"/>
      <c r="E14" s="2"/>
      <c r="F14" s="7"/>
      <c r="G14" s="8"/>
      <c r="H14" s="3"/>
      <c r="I14" s="3"/>
      <c r="J14" s="3"/>
      <c r="K14" s="3"/>
      <c r="L14" s="3"/>
      <c r="M14" s="3"/>
      <c r="N14" s="3"/>
      <c r="O14" s="3"/>
      <c r="P14" s="3"/>
    </row>
    <row r="15" spans="1:16">
      <c r="A15" s="2"/>
      <c r="B15" s="2"/>
      <c r="C15" s="2"/>
      <c r="D15" s="3"/>
      <c r="E15" s="3"/>
      <c r="F15" s="2"/>
      <c r="G15" s="2"/>
      <c r="H15" s="3"/>
      <c r="I15" s="3"/>
      <c r="J15" s="3"/>
      <c r="K15" s="3"/>
      <c r="L15" s="3"/>
      <c r="M15" s="3"/>
      <c r="N15" s="3"/>
      <c r="O15" s="3"/>
      <c r="P15" s="3"/>
    </row>
    <row r="16" spans="1:16">
      <c r="A16" s="162" t="s">
        <v>10</v>
      </c>
      <c r="B16" s="154"/>
      <c r="C16" s="154"/>
      <c r="D16" s="154"/>
      <c r="E16" s="9"/>
      <c r="F16" s="9"/>
      <c r="G16" s="9"/>
      <c r="H16" s="10" t="s">
        <v>11</v>
      </c>
      <c r="I16" s="3"/>
      <c r="J16" s="3"/>
      <c r="K16" s="3"/>
      <c r="L16" s="3"/>
      <c r="M16" s="3"/>
      <c r="N16" s="3"/>
      <c r="O16" s="3"/>
      <c r="P16" s="3"/>
    </row>
    <row r="17" spans="1:16">
      <c r="A17" s="11" t="s">
        <v>12</v>
      </c>
      <c r="B17" s="11"/>
      <c r="C17" s="11"/>
      <c r="D17" s="11"/>
      <c r="E17" s="2"/>
      <c r="F17" s="12"/>
      <c r="G17" s="2"/>
      <c r="H17" s="14">
        <f t="shared" ref="H17:H21" si="0">SUM(D17:G17)</f>
        <v>0</v>
      </c>
      <c r="I17" s="3"/>
      <c r="J17" s="3"/>
      <c r="K17" s="3"/>
      <c r="L17" s="3"/>
      <c r="M17" s="3"/>
      <c r="N17" s="3"/>
      <c r="O17" s="3"/>
      <c r="P17" s="3"/>
    </row>
    <row r="18" spans="1:16">
      <c r="A18" s="16" t="s">
        <v>14</v>
      </c>
      <c r="E18" s="2"/>
      <c r="F18" s="2"/>
      <c r="G18" s="2"/>
      <c r="H18" s="10">
        <f t="shared" si="0"/>
        <v>0</v>
      </c>
      <c r="I18" s="3"/>
      <c r="J18" s="3"/>
      <c r="K18" s="3"/>
      <c r="L18" s="3"/>
      <c r="M18" s="3"/>
      <c r="N18" s="3"/>
      <c r="O18" s="3"/>
      <c r="P18" s="3"/>
    </row>
    <row r="19" spans="1:16">
      <c r="A19" s="16" t="s">
        <v>16</v>
      </c>
      <c r="E19" s="2"/>
      <c r="F19" s="2"/>
      <c r="G19" s="2"/>
      <c r="H19" s="10">
        <f t="shared" si="0"/>
        <v>0</v>
      </c>
      <c r="I19" s="3"/>
      <c r="J19" s="3"/>
      <c r="K19" s="3"/>
      <c r="L19" s="3"/>
      <c r="M19" s="3"/>
      <c r="N19" s="3"/>
      <c r="O19" s="3"/>
      <c r="P19" s="3"/>
    </row>
    <row r="20" spans="1:16">
      <c r="A20" s="16" t="s">
        <v>17</v>
      </c>
      <c r="E20" s="2"/>
      <c r="F20" s="2"/>
      <c r="G20" s="2"/>
      <c r="H20" s="10">
        <f t="shared" si="0"/>
        <v>0</v>
      </c>
      <c r="I20" s="3"/>
      <c r="J20" s="3"/>
      <c r="K20" s="3"/>
      <c r="L20" s="3"/>
      <c r="M20" s="3"/>
      <c r="N20" s="3"/>
      <c r="O20" s="3"/>
      <c r="P20" s="3"/>
    </row>
    <row r="21" spans="1:16">
      <c r="A21" s="20" t="s">
        <v>18</v>
      </c>
      <c r="E21" s="2"/>
      <c r="F21" s="2"/>
      <c r="G21" s="2"/>
      <c r="H21" s="10">
        <f t="shared" si="0"/>
        <v>0</v>
      </c>
      <c r="I21" s="3"/>
      <c r="J21" s="3"/>
      <c r="K21" s="3"/>
      <c r="L21" s="3"/>
      <c r="M21" s="3"/>
      <c r="N21" s="3"/>
      <c r="O21" s="3"/>
      <c r="P21" s="3"/>
    </row>
    <row r="22" spans="1:16">
      <c r="A22" s="20" t="s">
        <v>19</v>
      </c>
      <c r="E22" s="9"/>
      <c r="F22" s="9"/>
      <c r="G22" s="9"/>
      <c r="H22" s="10"/>
      <c r="I22" s="3"/>
      <c r="J22" s="3"/>
      <c r="K22" s="3"/>
      <c r="L22" s="3"/>
      <c r="M22" s="3"/>
      <c r="N22" s="3"/>
      <c r="O22" s="3"/>
      <c r="P22" s="3"/>
    </row>
    <row r="23" spans="1:16">
      <c r="A23" s="23">
        <v>42751</v>
      </c>
      <c r="B23" s="21" t="s">
        <v>20</v>
      </c>
      <c r="C23" s="2"/>
      <c r="D23" s="12"/>
      <c r="E23" s="2"/>
      <c r="F23" s="2"/>
      <c r="G23" s="2"/>
      <c r="H23" s="10">
        <f t="shared" ref="H23:H27" si="1">SUM(D23:G23)</f>
        <v>0</v>
      </c>
      <c r="I23" s="3"/>
      <c r="J23" s="3"/>
      <c r="K23" s="3"/>
      <c r="L23" s="3"/>
      <c r="M23" s="3"/>
      <c r="N23" s="3"/>
      <c r="O23" s="3"/>
      <c r="P23" s="3"/>
    </row>
    <row r="24" spans="1:16">
      <c r="A24" s="27">
        <v>43464</v>
      </c>
      <c r="B24" s="28" t="s">
        <v>23</v>
      </c>
      <c r="C24" s="2"/>
      <c r="D24" s="2"/>
      <c r="E24" s="2"/>
      <c r="F24" s="2"/>
      <c r="G24" s="2"/>
      <c r="H24" s="10">
        <f t="shared" si="1"/>
        <v>0</v>
      </c>
      <c r="I24" s="3"/>
      <c r="J24" s="3"/>
      <c r="K24" s="3"/>
      <c r="L24" s="3"/>
      <c r="M24" s="3"/>
      <c r="N24" s="3"/>
      <c r="O24" s="3"/>
      <c r="P24" s="3"/>
    </row>
    <row r="25" spans="1:16">
      <c r="A25" s="2"/>
      <c r="B25" s="2"/>
      <c r="C25" s="2"/>
      <c r="D25" s="12"/>
      <c r="E25" s="2"/>
      <c r="F25" s="2"/>
      <c r="G25" s="2"/>
      <c r="H25" s="10">
        <f t="shared" si="1"/>
        <v>0</v>
      </c>
      <c r="I25" s="3"/>
      <c r="J25" s="3"/>
      <c r="K25" s="3"/>
      <c r="L25" s="3"/>
      <c r="M25" s="3"/>
      <c r="N25" s="3"/>
      <c r="O25" s="3"/>
      <c r="P25" s="3"/>
    </row>
    <row r="26" spans="1:16">
      <c r="A26" s="2"/>
      <c r="B26" s="2"/>
      <c r="C26" s="2"/>
      <c r="D26" s="2"/>
      <c r="E26" s="2"/>
      <c r="F26" s="2"/>
      <c r="G26" s="2"/>
      <c r="H26" s="10">
        <f t="shared" si="1"/>
        <v>0</v>
      </c>
      <c r="I26" s="3"/>
      <c r="J26" s="3"/>
      <c r="K26" s="3"/>
      <c r="L26" s="3"/>
      <c r="M26" s="3"/>
      <c r="N26" s="3"/>
      <c r="O26" s="3"/>
      <c r="P26" s="3"/>
    </row>
    <row r="27" spans="1:16">
      <c r="A27" s="2"/>
      <c r="B27" s="2"/>
      <c r="C27" s="2"/>
      <c r="D27" s="2"/>
      <c r="E27" s="2"/>
      <c r="F27" s="2"/>
      <c r="G27" s="2"/>
      <c r="H27" s="10">
        <f t="shared" si="1"/>
        <v>0</v>
      </c>
      <c r="I27" s="3"/>
      <c r="J27" s="3"/>
      <c r="K27" s="3"/>
      <c r="L27" s="3"/>
      <c r="M27" s="3"/>
      <c r="N27" s="3"/>
      <c r="O27" s="3"/>
      <c r="P27" s="3"/>
    </row>
    <row r="28" spans="1:16">
      <c r="A28" s="2"/>
      <c r="B28" s="2"/>
      <c r="C28" s="2"/>
      <c r="D28" s="2"/>
      <c r="E28" s="2"/>
      <c r="F28" s="2"/>
      <c r="G28" s="2"/>
      <c r="H28" s="10"/>
      <c r="I28" s="3"/>
      <c r="J28" s="3"/>
      <c r="K28" s="3"/>
      <c r="L28" s="3"/>
      <c r="M28" s="3"/>
      <c r="N28" s="3"/>
      <c r="O28" s="3"/>
      <c r="P28" s="3"/>
    </row>
    <row r="29" spans="1:16">
      <c r="A29" s="2"/>
      <c r="B29" s="2"/>
      <c r="C29" s="2"/>
      <c r="D29" s="9"/>
      <c r="E29" s="9"/>
      <c r="F29" s="9"/>
      <c r="G29" s="9"/>
      <c r="H29" s="10"/>
      <c r="I29" s="3"/>
      <c r="J29" s="3"/>
      <c r="K29" s="3"/>
      <c r="L29" s="3"/>
      <c r="M29" s="3"/>
      <c r="N29" s="3"/>
      <c r="O29" s="3"/>
      <c r="P29" s="3"/>
    </row>
    <row r="30" spans="1:16">
      <c r="A30" s="2"/>
      <c r="B30" s="2"/>
      <c r="C30" s="2"/>
      <c r="D30" s="2"/>
      <c r="E30" s="2"/>
      <c r="F30" s="2"/>
      <c r="G30" s="2"/>
      <c r="H30" s="10">
        <f t="shared" ref="H30:H34" si="2">SUM(D30:G30)</f>
        <v>0</v>
      </c>
      <c r="I30" s="3"/>
      <c r="J30" s="3"/>
      <c r="K30" s="3"/>
      <c r="L30" s="3"/>
      <c r="M30" s="3"/>
      <c r="N30" s="3"/>
      <c r="O30" s="3"/>
      <c r="P30" s="3"/>
    </row>
    <row r="31" spans="1:16">
      <c r="A31" s="2"/>
      <c r="B31" s="2"/>
      <c r="C31" s="2"/>
      <c r="D31" s="2"/>
      <c r="E31" s="2"/>
      <c r="F31" s="2"/>
      <c r="G31" s="2"/>
      <c r="H31" s="10">
        <f t="shared" si="2"/>
        <v>0</v>
      </c>
      <c r="I31" s="3"/>
      <c r="J31" s="3"/>
      <c r="K31" s="3"/>
      <c r="L31" s="3"/>
      <c r="M31" s="3"/>
      <c r="N31" s="3"/>
      <c r="O31" s="3"/>
      <c r="P31" s="3"/>
    </row>
    <row r="32" spans="1:16">
      <c r="A32" s="2"/>
      <c r="B32" s="2"/>
      <c r="C32" s="2"/>
      <c r="D32" s="2"/>
      <c r="E32" s="2"/>
      <c r="F32" s="2"/>
      <c r="G32" s="2"/>
      <c r="H32" s="10">
        <f t="shared" si="2"/>
        <v>0</v>
      </c>
      <c r="I32" s="3"/>
      <c r="J32" s="3"/>
      <c r="K32" s="3"/>
      <c r="L32" s="3"/>
      <c r="M32" s="3"/>
      <c r="N32" s="3"/>
      <c r="O32" s="3"/>
      <c r="P32" s="3"/>
    </row>
    <row r="33" spans="1:16">
      <c r="A33" s="2"/>
      <c r="B33" s="2"/>
      <c r="C33" s="2"/>
      <c r="D33" s="12"/>
      <c r="E33" s="2"/>
      <c r="F33" s="2"/>
      <c r="G33" s="2"/>
      <c r="H33" s="10">
        <f t="shared" si="2"/>
        <v>0</v>
      </c>
      <c r="I33" s="3"/>
      <c r="J33" s="3"/>
      <c r="K33" s="3"/>
      <c r="L33" s="3"/>
      <c r="M33" s="3"/>
      <c r="N33" s="3"/>
      <c r="O33" s="3"/>
      <c r="P33" s="3"/>
    </row>
    <row r="34" spans="1:16">
      <c r="A34" s="2"/>
      <c r="B34" s="2"/>
      <c r="C34" s="2"/>
      <c r="D34" s="2"/>
      <c r="E34" s="2"/>
      <c r="F34" s="2"/>
      <c r="G34" s="2"/>
      <c r="H34" s="10">
        <f t="shared" si="2"/>
        <v>0</v>
      </c>
      <c r="I34" s="3"/>
      <c r="J34" s="3"/>
      <c r="K34" s="3"/>
      <c r="L34" s="3"/>
      <c r="M34" s="3"/>
      <c r="N34" s="3"/>
      <c r="O34" s="3"/>
      <c r="P34" s="3"/>
    </row>
    <row r="35" spans="1:16">
      <c r="A35" s="2"/>
      <c r="B35" s="2"/>
      <c r="C35" s="2"/>
      <c r="D35" s="2"/>
      <c r="E35" s="2"/>
      <c r="F35" s="2"/>
      <c r="G35" s="2"/>
      <c r="H35" s="10"/>
      <c r="I35" s="3"/>
      <c r="J35" s="3"/>
      <c r="K35" s="3"/>
      <c r="L35" s="3"/>
      <c r="M35" s="3"/>
      <c r="N35" s="3"/>
      <c r="O35" s="3"/>
      <c r="P35" s="3"/>
    </row>
    <row r="36" spans="1:16">
      <c r="A36" s="2"/>
      <c r="B36" s="2"/>
      <c r="C36" s="2"/>
      <c r="D36" s="9"/>
      <c r="E36" s="9"/>
      <c r="F36" s="9"/>
      <c r="G36" s="9"/>
      <c r="H36" s="10"/>
      <c r="I36" s="3"/>
      <c r="J36" s="3"/>
      <c r="K36" s="3"/>
      <c r="L36" s="3"/>
      <c r="M36" s="3"/>
      <c r="N36" s="3"/>
      <c r="O36" s="3"/>
      <c r="P36" s="3"/>
    </row>
    <row r="37" spans="1:16">
      <c r="A37" s="2"/>
      <c r="B37" s="2"/>
      <c r="C37" s="2"/>
      <c r="D37" s="2"/>
      <c r="E37" s="2"/>
      <c r="F37" s="2"/>
      <c r="G37" s="2"/>
      <c r="H37" s="10">
        <f t="shared" ref="H37:H41" si="3">SUM(D37:G37)</f>
        <v>0</v>
      </c>
      <c r="I37" s="3"/>
      <c r="J37" s="3"/>
      <c r="K37" s="3"/>
      <c r="L37" s="3"/>
      <c r="M37" s="3"/>
      <c r="N37" s="3"/>
      <c r="O37" s="3"/>
      <c r="P37" s="3"/>
    </row>
    <row r="38" spans="1:16">
      <c r="A38" s="2"/>
      <c r="B38" s="2"/>
      <c r="C38" s="2"/>
      <c r="D38" s="2"/>
      <c r="E38" s="2"/>
      <c r="F38" s="2"/>
      <c r="G38" s="2"/>
      <c r="H38" s="10">
        <f t="shared" si="3"/>
        <v>0</v>
      </c>
      <c r="I38" s="3"/>
      <c r="J38" s="3"/>
      <c r="K38" s="3"/>
      <c r="L38" s="3"/>
      <c r="M38" s="3"/>
      <c r="N38" s="3"/>
      <c r="O38" s="3"/>
      <c r="P38" s="3"/>
    </row>
    <row r="39" spans="1:16">
      <c r="A39" s="2"/>
      <c r="B39" s="2"/>
      <c r="C39" s="2"/>
      <c r="D39" s="2"/>
      <c r="E39" s="2"/>
      <c r="F39" s="2"/>
      <c r="G39" s="2"/>
      <c r="H39" s="10">
        <f t="shared" si="3"/>
        <v>0</v>
      </c>
      <c r="I39" s="3"/>
      <c r="J39" s="3"/>
      <c r="K39" s="3"/>
      <c r="L39" s="3"/>
      <c r="M39" s="3"/>
      <c r="N39" s="3"/>
      <c r="O39" s="3"/>
      <c r="P39" s="3"/>
    </row>
    <row r="40" spans="1:16">
      <c r="A40" s="2"/>
      <c r="B40" s="2"/>
      <c r="C40" s="2"/>
      <c r="D40" s="2"/>
      <c r="E40" s="2"/>
      <c r="F40" s="2"/>
      <c r="G40" s="2"/>
      <c r="H40" s="10">
        <f t="shared" si="3"/>
        <v>0</v>
      </c>
      <c r="I40" s="3"/>
      <c r="J40" s="3"/>
      <c r="K40" s="3"/>
      <c r="L40" s="3"/>
      <c r="M40" s="3"/>
      <c r="N40" s="3"/>
      <c r="O40" s="3"/>
      <c r="P40" s="3"/>
    </row>
    <row r="41" spans="1:16">
      <c r="A41" s="2"/>
      <c r="B41" s="2"/>
      <c r="C41" s="2"/>
      <c r="D41" s="2"/>
      <c r="E41" s="12"/>
      <c r="F41" s="2"/>
      <c r="G41" s="2"/>
      <c r="H41" s="10">
        <f t="shared" si="3"/>
        <v>0</v>
      </c>
      <c r="I41" s="3"/>
      <c r="J41" s="3"/>
      <c r="K41" s="3"/>
      <c r="L41" s="3"/>
      <c r="M41" s="3"/>
      <c r="N41" s="3"/>
      <c r="O41" s="3"/>
      <c r="P41" s="3"/>
    </row>
    <row r="42" spans="1:16">
      <c r="A42" s="2"/>
      <c r="B42" s="2"/>
      <c r="C42" s="2"/>
      <c r="D42" s="3"/>
      <c r="E42" s="3"/>
      <c r="F42" s="2"/>
      <c r="G42" s="2"/>
      <c r="H42" s="3"/>
      <c r="I42" s="3"/>
      <c r="J42" s="3"/>
      <c r="K42" s="3"/>
      <c r="L42" s="3"/>
      <c r="M42" s="3"/>
      <c r="N42" s="3"/>
      <c r="O42" s="3"/>
      <c r="P42" s="3"/>
    </row>
    <row r="43" spans="1:16">
      <c r="A43" s="2"/>
      <c r="B43" s="2"/>
      <c r="C43" s="2"/>
      <c r="D43" s="3"/>
      <c r="E43" s="3"/>
      <c r="F43" s="2"/>
      <c r="G43" s="2"/>
      <c r="H43" s="3"/>
      <c r="I43" s="3"/>
      <c r="J43" s="3"/>
      <c r="K43" s="3"/>
      <c r="L43" s="3"/>
      <c r="M43" s="3"/>
      <c r="N43" s="3"/>
      <c r="O43" s="3"/>
      <c r="P43" s="3"/>
    </row>
    <row r="44" spans="1:16">
      <c r="A44" s="2"/>
      <c r="B44" s="2"/>
      <c r="C44" s="2"/>
      <c r="D44" s="3"/>
      <c r="E44" s="3"/>
      <c r="F44" s="2"/>
      <c r="G44" s="2"/>
      <c r="H44" s="3"/>
      <c r="I44" s="3"/>
      <c r="J44" s="3"/>
      <c r="K44" s="3"/>
      <c r="L44" s="3"/>
      <c r="M44" s="3"/>
      <c r="N44" s="3"/>
      <c r="O44" s="3"/>
      <c r="P44" s="3"/>
    </row>
    <row r="45" spans="1:16">
      <c r="A45" s="2"/>
      <c r="B45" s="2"/>
      <c r="C45" s="2"/>
      <c r="D45" s="3"/>
      <c r="E45" s="3"/>
      <c r="F45" s="2"/>
      <c r="G45" s="2"/>
      <c r="H45" s="3"/>
      <c r="I45" s="3"/>
      <c r="J45" s="3"/>
      <c r="K45" s="3"/>
      <c r="L45" s="3"/>
      <c r="M45" s="3"/>
      <c r="N45" s="3"/>
      <c r="O45" s="3"/>
      <c r="P45" s="3"/>
    </row>
    <row r="46" spans="1:16">
      <c r="A46" s="2"/>
      <c r="B46" s="2"/>
      <c r="C46" s="2"/>
      <c r="D46" s="3"/>
      <c r="E46" s="3"/>
      <c r="F46" s="2"/>
      <c r="G46" s="2"/>
      <c r="H46" s="3"/>
      <c r="I46" s="3"/>
      <c r="J46" s="3"/>
      <c r="K46" s="3"/>
      <c r="L46" s="3"/>
      <c r="M46" s="3"/>
      <c r="N46" s="3"/>
      <c r="O46" s="3"/>
      <c r="P46" s="3"/>
    </row>
    <row r="47" spans="1:16">
      <c r="A47" s="1"/>
      <c r="B47" s="1"/>
      <c r="C47" s="1"/>
      <c r="D47" s="3"/>
      <c r="E47" s="3"/>
      <c r="F47" s="2"/>
      <c r="G47" s="2"/>
      <c r="H47" s="3"/>
      <c r="I47" s="3"/>
      <c r="J47" s="3"/>
      <c r="K47" s="3"/>
      <c r="L47" s="3"/>
      <c r="M47" s="3"/>
      <c r="N47" s="3"/>
      <c r="O47" s="3"/>
      <c r="P47" s="3"/>
    </row>
    <row r="48" spans="1:16">
      <c r="A48" s="1"/>
      <c r="B48" s="1"/>
      <c r="C48" s="1"/>
      <c r="D48" s="2"/>
      <c r="E48" s="2"/>
      <c r="F48" s="2"/>
      <c r="G48" s="2"/>
      <c r="H48" s="2"/>
      <c r="I48" s="2"/>
      <c r="J48" s="2"/>
      <c r="K48" s="3"/>
      <c r="L48" s="3"/>
      <c r="M48" s="3"/>
      <c r="N48" s="3"/>
      <c r="O48" s="3"/>
      <c r="P48" s="3"/>
    </row>
    <row r="49" spans="1:16">
      <c r="A49" s="2"/>
      <c r="B49" s="2"/>
      <c r="C49" s="2"/>
      <c r="D49" s="2"/>
      <c r="E49" s="3"/>
      <c r="F49" s="2"/>
      <c r="G49" s="2"/>
      <c r="H49" s="3"/>
      <c r="I49" s="3"/>
      <c r="J49" s="3"/>
      <c r="K49" s="3"/>
      <c r="L49" s="3"/>
      <c r="M49" s="3"/>
      <c r="N49" s="3"/>
      <c r="O49" s="3"/>
      <c r="P49" s="3"/>
    </row>
    <row r="50" spans="1:16">
      <c r="C50" s="2"/>
      <c r="D50" s="2"/>
      <c r="E50" s="3"/>
      <c r="F50" s="2"/>
      <c r="G50" s="2"/>
      <c r="H50" s="3"/>
      <c r="I50" s="3"/>
      <c r="J50" s="3"/>
      <c r="K50" s="3"/>
      <c r="L50" s="3"/>
      <c r="M50" s="3"/>
      <c r="N50" s="3"/>
      <c r="O50" s="3"/>
      <c r="P50" s="3"/>
    </row>
    <row r="51" spans="1:16">
      <c r="A51" s="2"/>
      <c r="B51" s="2"/>
      <c r="C51" s="2"/>
      <c r="D51" s="2"/>
      <c r="E51" s="3"/>
      <c r="F51" s="2"/>
      <c r="G51" s="2"/>
      <c r="H51" s="3"/>
      <c r="I51" s="3"/>
      <c r="J51" s="3"/>
      <c r="K51" s="3"/>
      <c r="L51" s="3"/>
      <c r="M51" s="3"/>
      <c r="N51" s="3"/>
      <c r="O51" s="3"/>
      <c r="P51" s="3"/>
    </row>
    <row r="52" spans="1:16">
      <c r="A52" s="2"/>
      <c r="B52" s="2"/>
      <c r="C52" s="2"/>
      <c r="D52" s="2"/>
      <c r="E52" s="3"/>
      <c r="F52" s="2"/>
      <c r="G52" s="2"/>
      <c r="H52" s="3"/>
      <c r="I52" s="3"/>
      <c r="J52" s="3"/>
      <c r="K52" s="3"/>
      <c r="L52" s="3"/>
      <c r="M52" s="3"/>
      <c r="N52" s="3"/>
      <c r="O52" s="3"/>
      <c r="P52" s="3"/>
    </row>
    <row r="53" spans="1:16">
      <c r="A53" s="2"/>
      <c r="B53" s="2"/>
      <c r="C53" s="2"/>
      <c r="D53" s="2"/>
      <c r="E53" s="3"/>
      <c r="F53" s="2"/>
      <c r="G53" s="2"/>
      <c r="H53" s="3"/>
      <c r="I53" s="3"/>
      <c r="J53" s="3"/>
      <c r="K53" s="3"/>
      <c r="L53" s="3"/>
      <c r="M53" s="3"/>
      <c r="N53" s="3"/>
      <c r="O53" s="3"/>
      <c r="P53" s="3"/>
    </row>
    <row r="54" spans="1:16">
      <c r="A54" s="2"/>
      <c r="B54" s="2"/>
      <c r="C54" s="2"/>
      <c r="D54" s="2"/>
      <c r="E54" s="3"/>
      <c r="F54" s="2"/>
      <c r="G54" s="2"/>
      <c r="H54" s="3"/>
      <c r="I54" s="3"/>
      <c r="J54" s="3"/>
      <c r="K54" s="3"/>
      <c r="L54" s="3"/>
      <c r="M54" s="3"/>
      <c r="N54" s="3"/>
      <c r="O54" s="3"/>
      <c r="P54" s="3"/>
    </row>
    <row r="55" spans="1:16">
      <c r="A55" s="2"/>
      <c r="B55" s="2"/>
      <c r="C55" s="2"/>
      <c r="D55" s="2"/>
      <c r="E55" s="3"/>
      <c r="F55" s="2"/>
      <c r="G55" s="2"/>
      <c r="H55" s="3"/>
      <c r="I55" s="3"/>
      <c r="J55" s="3"/>
      <c r="K55" s="3"/>
      <c r="L55" s="3"/>
      <c r="M55" s="3"/>
      <c r="N55" s="3"/>
      <c r="O55" s="3"/>
      <c r="P55" s="3"/>
    </row>
    <row r="56" spans="1:16">
      <c r="A56" s="2"/>
      <c r="B56" s="2"/>
      <c r="C56" s="2"/>
      <c r="D56" s="2"/>
      <c r="E56" s="3"/>
      <c r="F56" s="2"/>
      <c r="G56" s="2"/>
      <c r="H56" s="3"/>
      <c r="I56" s="3"/>
      <c r="J56" s="3"/>
      <c r="K56" s="3"/>
      <c r="L56" s="3"/>
      <c r="M56" s="3"/>
      <c r="N56" s="3"/>
      <c r="O56" s="3"/>
      <c r="P56" s="3"/>
    </row>
    <row r="57" spans="1:16">
      <c r="A57" s="2"/>
      <c r="B57" s="2"/>
      <c r="C57" s="2"/>
      <c r="D57" s="2"/>
      <c r="E57" s="3"/>
      <c r="F57" s="2"/>
      <c r="G57" s="2"/>
      <c r="H57" s="3"/>
      <c r="I57" s="3"/>
      <c r="J57" s="3"/>
      <c r="K57" s="3"/>
      <c r="L57" s="3"/>
      <c r="M57" s="3"/>
      <c r="N57" s="3"/>
      <c r="O57" s="3"/>
      <c r="P57" s="3"/>
    </row>
    <row r="58" spans="1:16">
      <c r="A58" s="2"/>
      <c r="B58" s="2"/>
      <c r="C58" s="2"/>
      <c r="D58" s="2"/>
      <c r="E58" s="3"/>
      <c r="F58" s="2"/>
      <c r="G58" s="2"/>
      <c r="H58" s="3"/>
      <c r="I58" s="3"/>
      <c r="J58" s="3"/>
      <c r="K58" s="3"/>
      <c r="L58" s="3"/>
      <c r="M58" s="3"/>
      <c r="N58" s="3"/>
      <c r="O58" s="3"/>
      <c r="P58" s="3"/>
    </row>
    <row r="59" spans="1:16">
      <c r="A59" s="2"/>
      <c r="B59" s="2"/>
      <c r="C59" s="2"/>
      <c r="D59" s="2"/>
      <c r="E59" s="3"/>
      <c r="F59" s="2"/>
      <c r="G59" s="2"/>
      <c r="H59" s="3"/>
      <c r="I59" s="3"/>
      <c r="J59" s="3"/>
      <c r="K59" s="3"/>
      <c r="L59" s="3"/>
      <c r="M59" s="3"/>
      <c r="N59" s="3"/>
      <c r="O59" s="3"/>
      <c r="P59" s="3"/>
    </row>
    <row r="60" spans="1:16">
      <c r="A60" s="2"/>
      <c r="B60" s="2"/>
      <c r="C60" s="2"/>
      <c r="D60" s="2"/>
      <c r="E60" s="3"/>
      <c r="F60" s="2"/>
      <c r="G60" s="2"/>
      <c r="H60" s="3"/>
      <c r="I60" s="3"/>
      <c r="J60" s="3"/>
      <c r="K60" s="3"/>
      <c r="L60" s="3"/>
      <c r="M60" s="3"/>
      <c r="N60" s="3"/>
      <c r="O60" s="3"/>
      <c r="P60" s="3"/>
    </row>
    <row r="61" spans="1:16">
      <c r="A61" s="2"/>
      <c r="B61" s="2"/>
      <c r="C61" s="2"/>
      <c r="D61" s="2"/>
      <c r="E61" s="3"/>
      <c r="F61" s="2"/>
      <c r="G61" s="2"/>
      <c r="H61" s="3"/>
      <c r="I61" s="3"/>
      <c r="J61" s="3"/>
      <c r="K61" s="3"/>
      <c r="L61" s="3"/>
      <c r="M61" s="3"/>
      <c r="N61" s="3"/>
      <c r="O61" s="3"/>
      <c r="P61" s="3"/>
    </row>
    <row r="62" spans="1:16">
      <c r="A62" s="2"/>
      <c r="B62" s="2"/>
      <c r="C62" s="2"/>
      <c r="D62" s="2"/>
      <c r="E62" s="3"/>
      <c r="F62" s="2"/>
      <c r="G62" s="2"/>
      <c r="H62" s="3"/>
      <c r="I62" s="3"/>
      <c r="J62" s="3"/>
      <c r="K62" s="3"/>
      <c r="L62" s="3"/>
      <c r="M62" s="3"/>
      <c r="N62" s="3"/>
      <c r="O62" s="3"/>
      <c r="P62" s="3"/>
    </row>
    <row r="63" spans="1:16">
      <c r="A63" s="2"/>
      <c r="B63" s="2"/>
      <c r="C63" s="2"/>
      <c r="D63" s="2"/>
      <c r="E63" s="3"/>
      <c r="F63" s="2"/>
      <c r="G63" s="2"/>
      <c r="H63" s="3"/>
      <c r="I63" s="3"/>
      <c r="J63" s="3"/>
      <c r="K63" s="3"/>
      <c r="L63" s="3"/>
      <c r="M63" s="3"/>
      <c r="N63" s="3"/>
      <c r="O63" s="3"/>
      <c r="P63" s="3"/>
    </row>
    <row r="64" spans="1:16">
      <c r="A64" s="2"/>
      <c r="B64" s="2"/>
      <c r="C64" s="2"/>
      <c r="D64" s="2"/>
      <c r="E64" s="3"/>
      <c r="F64" s="2"/>
      <c r="G64" s="2"/>
      <c r="H64" s="3"/>
      <c r="I64" s="3"/>
      <c r="J64" s="3"/>
      <c r="K64" s="3"/>
      <c r="L64" s="3"/>
      <c r="M64" s="3"/>
      <c r="N64" s="3"/>
      <c r="O64" s="3"/>
      <c r="P64" s="3"/>
    </row>
    <row r="65" spans="1:16">
      <c r="A65" s="2"/>
      <c r="B65" s="2"/>
      <c r="C65" s="2"/>
      <c r="D65" s="2"/>
      <c r="E65" s="3"/>
      <c r="F65" s="2"/>
      <c r="G65" s="2"/>
      <c r="H65" s="3"/>
      <c r="I65" s="3"/>
      <c r="J65" s="3"/>
      <c r="K65" s="3"/>
      <c r="L65" s="3"/>
      <c r="M65" s="3"/>
      <c r="N65" s="3"/>
      <c r="O65" s="3"/>
      <c r="P65" s="3"/>
    </row>
    <row r="66" spans="1:16">
      <c r="A66" s="2"/>
      <c r="B66" s="2"/>
      <c r="C66" s="2"/>
      <c r="D66" s="2"/>
      <c r="E66" s="3"/>
      <c r="F66" s="2"/>
      <c r="G66" s="2"/>
      <c r="H66" s="3"/>
      <c r="I66" s="3"/>
      <c r="J66" s="3"/>
      <c r="K66" s="3"/>
      <c r="L66" s="3"/>
      <c r="M66" s="3"/>
      <c r="N66" s="3"/>
      <c r="O66" s="3"/>
      <c r="P66" s="3"/>
    </row>
    <row r="67" spans="1:16">
      <c r="A67" s="2"/>
      <c r="B67" s="2"/>
      <c r="C67" s="2"/>
      <c r="D67" s="2"/>
      <c r="E67" s="3"/>
      <c r="F67" s="2"/>
      <c r="G67" s="2"/>
      <c r="H67" s="3"/>
      <c r="I67" s="3"/>
      <c r="J67" s="3"/>
      <c r="K67" s="3"/>
      <c r="L67" s="3"/>
      <c r="M67" s="3"/>
      <c r="N67" s="3"/>
      <c r="O67" s="3"/>
      <c r="P67" s="3"/>
    </row>
    <row r="68" spans="1:16">
      <c r="A68" s="2"/>
      <c r="B68" s="2"/>
      <c r="C68" s="2"/>
      <c r="D68" s="2"/>
      <c r="E68" s="3"/>
      <c r="F68" s="2"/>
      <c r="G68" s="2"/>
      <c r="H68" s="3"/>
      <c r="I68" s="3"/>
      <c r="J68" s="3"/>
      <c r="K68" s="3"/>
      <c r="L68" s="3"/>
      <c r="M68" s="3"/>
      <c r="N68" s="3"/>
      <c r="O68" s="3"/>
      <c r="P68" s="3"/>
    </row>
    <row r="69" spans="1:16">
      <c r="A69" s="2"/>
      <c r="B69" s="2"/>
      <c r="C69" s="2"/>
      <c r="D69" s="2"/>
      <c r="E69" s="3"/>
      <c r="F69" s="2"/>
      <c r="G69" s="2"/>
      <c r="H69" s="3"/>
      <c r="I69" s="3"/>
      <c r="J69" s="3"/>
      <c r="K69" s="3"/>
      <c r="L69" s="3"/>
      <c r="M69" s="3"/>
      <c r="N69" s="3"/>
      <c r="O69" s="3"/>
      <c r="P69" s="3"/>
    </row>
    <row r="70" spans="1:16">
      <c r="A70" s="2"/>
      <c r="B70" s="2"/>
      <c r="C70" s="2"/>
      <c r="D70" s="2"/>
      <c r="E70" s="3"/>
      <c r="F70" s="2"/>
      <c r="G70" s="2"/>
      <c r="H70" s="3"/>
      <c r="I70" s="3"/>
      <c r="J70" s="3"/>
      <c r="K70" s="3"/>
      <c r="L70" s="3"/>
      <c r="M70" s="3"/>
      <c r="N70" s="3"/>
      <c r="O70" s="3"/>
      <c r="P70" s="3"/>
    </row>
    <row r="71" spans="1:16">
      <c r="A71" s="2"/>
      <c r="B71" s="2"/>
      <c r="C71" s="2"/>
      <c r="D71" s="2"/>
      <c r="E71" s="3"/>
      <c r="F71" s="2"/>
      <c r="G71" s="2"/>
      <c r="H71" s="3"/>
      <c r="I71" s="3"/>
      <c r="J71" s="3"/>
      <c r="K71" s="3"/>
      <c r="L71" s="3"/>
      <c r="M71" s="3"/>
      <c r="N71" s="3"/>
      <c r="O71" s="3"/>
      <c r="P71" s="3"/>
    </row>
    <row r="72" spans="1:16">
      <c r="A72" s="2"/>
      <c r="B72" s="2"/>
      <c r="C72" s="2"/>
      <c r="D72" s="2"/>
      <c r="E72" s="3"/>
      <c r="F72" s="2"/>
      <c r="G72" s="2"/>
      <c r="H72" s="3"/>
      <c r="I72" s="3"/>
      <c r="J72" s="3"/>
      <c r="K72" s="3"/>
      <c r="L72" s="3"/>
      <c r="M72" s="3"/>
      <c r="N72" s="3"/>
      <c r="O72" s="3"/>
      <c r="P72" s="3"/>
    </row>
    <row r="73" spans="1:16">
      <c r="A73" s="2"/>
      <c r="B73" s="2"/>
      <c r="C73" s="2"/>
      <c r="D73" s="2"/>
      <c r="E73" s="3"/>
      <c r="F73" s="2"/>
      <c r="G73" s="2"/>
      <c r="H73" s="3"/>
      <c r="I73" s="3"/>
      <c r="J73" s="3"/>
      <c r="K73" s="3"/>
      <c r="L73" s="3"/>
      <c r="M73" s="3"/>
      <c r="N73" s="3"/>
      <c r="O73" s="3"/>
      <c r="P73" s="3"/>
    </row>
    <row r="74" spans="1:16">
      <c r="A74" s="2"/>
      <c r="B74" s="2"/>
      <c r="C74" s="2"/>
      <c r="D74" s="2"/>
      <c r="E74" s="3"/>
      <c r="F74" s="2"/>
      <c r="G74" s="2"/>
      <c r="H74" s="3"/>
      <c r="I74" s="3"/>
      <c r="J74" s="3"/>
      <c r="K74" s="3"/>
      <c r="L74" s="3"/>
      <c r="M74" s="3"/>
      <c r="N74" s="3"/>
      <c r="O74" s="3"/>
      <c r="P74" s="3"/>
    </row>
    <row r="75" spans="1:16">
      <c r="A75" s="2"/>
      <c r="B75" s="2"/>
      <c r="C75" s="2"/>
      <c r="D75" s="2"/>
      <c r="E75" s="3"/>
      <c r="F75" s="2"/>
      <c r="G75" s="2"/>
      <c r="H75" s="3"/>
      <c r="I75" s="3"/>
      <c r="J75" s="3"/>
      <c r="K75" s="3"/>
      <c r="L75" s="3"/>
      <c r="M75" s="3"/>
      <c r="N75" s="3"/>
      <c r="O75" s="3"/>
      <c r="P75" s="3"/>
    </row>
    <row r="76" spans="1:16">
      <c r="A76" s="2"/>
      <c r="B76" s="2"/>
      <c r="C76" s="2"/>
      <c r="D76" s="2"/>
      <c r="E76" s="3"/>
      <c r="F76" s="2"/>
      <c r="G76" s="2"/>
      <c r="H76" s="3"/>
      <c r="I76" s="3"/>
      <c r="J76" s="3"/>
      <c r="K76" s="3"/>
      <c r="L76" s="3"/>
      <c r="M76" s="3"/>
      <c r="N76" s="3"/>
      <c r="O76" s="3"/>
      <c r="P76" s="3"/>
    </row>
    <row r="77" spans="1:16">
      <c r="A77" s="2"/>
      <c r="B77" s="2"/>
      <c r="C77" s="2"/>
      <c r="D77" s="2"/>
      <c r="E77" s="3"/>
      <c r="F77" s="2"/>
      <c r="G77" s="2"/>
      <c r="H77" s="3"/>
      <c r="I77" s="3"/>
      <c r="J77" s="3"/>
      <c r="K77" s="3"/>
      <c r="L77" s="3"/>
      <c r="M77" s="3"/>
      <c r="N77" s="3"/>
      <c r="O77" s="3"/>
      <c r="P77" s="3"/>
    </row>
    <row r="78" spans="1:16">
      <c r="A78" s="2"/>
      <c r="B78" s="2"/>
      <c r="C78" s="2"/>
      <c r="D78" s="2"/>
      <c r="E78" s="3"/>
      <c r="F78" s="2"/>
      <c r="G78" s="2"/>
      <c r="H78" s="3"/>
      <c r="I78" s="3"/>
      <c r="J78" s="3"/>
      <c r="K78" s="3"/>
      <c r="L78" s="3"/>
      <c r="M78" s="3"/>
      <c r="N78" s="3"/>
      <c r="O78" s="3"/>
      <c r="P78" s="3"/>
    </row>
    <row r="79" spans="1:16">
      <c r="A79" s="2"/>
      <c r="B79" s="2"/>
      <c r="C79" s="2"/>
      <c r="D79" s="2"/>
      <c r="E79" s="3"/>
      <c r="F79" s="2"/>
      <c r="G79" s="2"/>
      <c r="H79" s="3"/>
      <c r="I79" s="3"/>
      <c r="J79" s="3"/>
      <c r="K79" s="3"/>
      <c r="L79" s="3"/>
      <c r="M79" s="3"/>
      <c r="N79" s="3"/>
      <c r="O79" s="3"/>
      <c r="P79" s="3"/>
    </row>
    <row r="80" spans="1:16">
      <c r="A80" s="2"/>
      <c r="B80" s="2"/>
      <c r="C80" s="2"/>
      <c r="D80" s="2"/>
      <c r="E80" s="3"/>
      <c r="F80" s="2"/>
      <c r="G80" s="2"/>
      <c r="H80" s="3"/>
      <c r="I80" s="3"/>
      <c r="J80" s="3"/>
      <c r="K80" s="3"/>
      <c r="L80" s="3"/>
      <c r="M80" s="3"/>
      <c r="N80" s="3"/>
      <c r="O80" s="3"/>
      <c r="P80" s="3"/>
    </row>
    <row r="81" spans="1:16">
      <c r="A81" s="2"/>
      <c r="B81" s="2"/>
      <c r="C81" s="2"/>
      <c r="D81" s="2"/>
      <c r="E81" s="3"/>
      <c r="F81" s="2"/>
      <c r="G81" s="2"/>
      <c r="H81" s="3"/>
      <c r="I81" s="3"/>
      <c r="J81" s="3"/>
      <c r="K81" s="3"/>
      <c r="L81" s="3"/>
      <c r="M81" s="3"/>
      <c r="N81" s="3"/>
      <c r="O81" s="3"/>
      <c r="P81" s="3"/>
    </row>
    <row r="82" spans="1:16">
      <c r="A82" s="2"/>
      <c r="B82" s="2"/>
      <c r="C82" s="2"/>
      <c r="D82" s="2"/>
      <c r="E82" s="3"/>
      <c r="F82" s="2"/>
      <c r="G82" s="2"/>
      <c r="H82" s="3"/>
      <c r="I82" s="3"/>
      <c r="J82" s="3"/>
      <c r="K82" s="3"/>
      <c r="L82" s="3"/>
      <c r="M82" s="3"/>
      <c r="N82" s="3"/>
      <c r="O82" s="3"/>
      <c r="P82" s="3"/>
    </row>
    <row r="83" spans="1:16">
      <c r="A83" s="2"/>
      <c r="B83" s="2"/>
      <c r="C83" s="2"/>
      <c r="D83" s="2"/>
      <c r="E83" s="3"/>
      <c r="F83" s="2"/>
      <c r="G83" s="2"/>
      <c r="H83" s="3"/>
      <c r="I83" s="3"/>
      <c r="J83" s="3"/>
      <c r="K83" s="3"/>
      <c r="L83" s="3"/>
      <c r="M83" s="3"/>
      <c r="N83" s="3"/>
      <c r="O83" s="3"/>
      <c r="P83" s="3"/>
    </row>
    <row r="84" spans="1:16">
      <c r="A84" s="2"/>
      <c r="B84" s="2"/>
      <c r="C84" s="2"/>
      <c r="D84" s="2"/>
      <c r="E84" s="3"/>
      <c r="F84" s="2"/>
      <c r="G84" s="2"/>
      <c r="H84" s="3"/>
      <c r="I84" s="3"/>
      <c r="J84" s="3"/>
      <c r="K84" s="3"/>
      <c r="L84" s="3"/>
      <c r="M84" s="3"/>
      <c r="N84" s="3"/>
      <c r="O84" s="3"/>
      <c r="P84" s="3"/>
    </row>
    <row r="85" spans="1:16">
      <c r="A85" s="2"/>
      <c r="B85" s="2"/>
      <c r="C85" s="2"/>
      <c r="D85" s="2"/>
      <c r="E85" s="3"/>
      <c r="F85" s="2"/>
      <c r="G85" s="2"/>
      <c r="H85" s="3"/>
      <c r="I85" s="3"/>
      <c r="J85" s="3"/>
      <c r="K85" s="3"/>
      <c r="L85" s="3"/>
      <c r="M85" s="3"/>
      <c r="N85" s="3"/>
      <c r="O85" s="3"/>
      <c r="P85" s="3"/>
    </row>
    <row r="86" spans="1:16">
      <c r="A86" s="2"/>
      <c r="B86" s="2"/>
      <c r="C86" s="2"/>
      <c r="D86" s="2"/>
      <c r="E86" s="3"/>
      <c r="F86" s="2"/>
      <c r="G86" s="2"/>
      <c r="H86" s="3"/>
      <c r="I86" s="3"/>
      <c r="J86" s="3"/>
      <c r="K86" s="3"/>
      <c r="L86" s="3"/>
      <c r="M86" s="3"/>
      <c r="N86" s="3"/>
      <c r="O86" s="3"/>
      <c r="P86" s="3"/>
    </row>
    <row r="87" spans="1:16">
      <c r="A87" s="2"/>
      <c r="B87" s="2"/>
      <c r="C87" s="2"/>
      <c r="D87" s="2"/>
      <c r="E87" s="3"/>
      <c r="F87" s="2"/>
      <c r="G87" s="2"/>
      <c r="H87" s="3"/>
      <c r="I87" s="3"/>
      <c r="J87" s="3"/>
      <c r="K87" s="3"/>
      <c r="L87" s="3"/>
      <c r="M87" s="3"/>
      <c r="N87" s="3"/>
      <c r="O87" s="3"/>
      <c r="P87" s="3"/>
    </row>
    <row r="88" spans="1:16">
      <c r="A88" s="2"/>
      <c r="B88" s="2"/>
      <c r="C88" s="2"/>
      <c r="D88" s="2"/>
      <c r="E88" s="3"/>
      <c r="F88" s="2"/>
      <c r="G88" s="2"/>
      <c r="H88" s="3"/>
      <c r="I88" s="3"/>
      <c r="J88" s="3"/>
      <c r="K88" s="3"/>
      <c r="L88" s="3"/>
      <c r="M88" s="3"/>
      <c r="N88" s="3"/>
      <c r="O88" s="3"/>
      <c r="P88" s="3"/>
    </row>
    <row r="89" spans="1:16">
      <c r="A89" s="2"/>
      <c r="B89" s="2"/>
      <c r="C89" s="2"/>
      <c r="D89" s="2"/>
      <c r="E89" s="3"/>
      <c r="F89" s="2"/>
      <c r="G89" s="2"/>
      <c r="H89" s="3"/>
      <c r="I89" s="3"/>
      <c r="J89" s="3"/>
      <c r="K89" s="3"/>
      <c r="L89" s="3"/>
      <c r="M89" s="3"/>
      <c r="N89" s="3"/>
      <c r="O89" s="3"/>
      <c r="P89" s="3"/>
    </row>
    <row r="90" spans="1:16">
      <c r="A90" s="2"/>
      <c r="B90" s="2"/>
      <c r="C90" s="2"/>
      <c r="D90" s="2"/>
      <c r="E90" s="3"/>
      <c r="F90" s="2"/>
      <c r="G90" s="2"/>
      <c r="H90" s="3"/>
      <c r="I90" s="3"/>
      <c r="J90" s="3"/>
      <c r="K90" s="3"/>
      <c r="L90" s="3"/>
      <c r="M90" s="3"/>
      <c r="N90" s="3"/>
      <c r="O90" s="3"/>
      <c r="P90" s="3"/>
    </row>
    <row r="91" spans="1:16">
      <c r="A91" s="2"/>
      <c r="B91" s="2"/>
      <c r="C91" s="2"/>
      <c r="D91" s="2"/>
      <c r="E91" s="3"/>
      <c r="F91" s="2"/>
      <c r="G91" s="2"/>
      <c r="H91" s="3"/>
      <c r="I91" s="3"/>
      <c r="J91" s="3"/>
      <c r="K91" s="3"/>
      <c r="L91" s="3"/>
      <c r="M91" s="3"/>
      <c r="N91" s="3"/>
      <c r="O91" s="3"/>
      <c r="P91" s="3"/>
    </row>
    <row r="92" spans="1:16">
      <c r="A92" s="2"/>
      <c r="B92" s="2"/>
      <c r="C92" s="2"/>
      <c r="D92" s="2"/>
      <c r="E92" s="3"/>
      <c r="F92" s="2"/>
      <c r="G92" s="2"/>
      <c r="H92" s="3"/>
      <c r="I92" s="3"/>
      <c r="J92" s="3"/>
      <c r="K92" s="3"/>
      <c r="L92" s="3"/>
      <c r="M92" s="3"/>
      <c r="N92" s="3"/>
      <c r="O92" s="3"/>
      <c r="P92" s="3"/>
    </row>
    <row r="93" spans="1:16">
      <c r="A93" s="2"/>
      <c r="B93" s="2"/>
      <c r="C93" s="2"/>
      <c r="D93" s="2"/>
      <c r="E93" s="3"/>
      <c r="F93" s="2"/>
      <c r="G93" s="2"/>
      <c r="H93" s="3"/>
      <c r="I93" s="3"/>
      <c r="J93" s="3"/>
      <c r="K93" s="3"/>
      <c r="L93" s="3"/>
      <c r="M93" s="3"/>
      <c r="N93" s="3"/>
      <c r="O93" s="3"/>
      <c r="P93" s="3"/>
    </row>
    <row r="94" spans="1:16">
      <c r="A94" s="2"/>
      <c r="B94" s="2"/>
      <c r="C94" s="2"/>
      <c r="D94" s="2"/>
      <c r="E94" s="3"/>
      <c r="F94" s="2"/>
      <c r="G94" s="2"/>
      <c r="H94" s="3"/>
      <c r="I94" s="3"/>
      <c r="J94" s="3"/>
      <c r="K94" s="3"/>
      <c r="L94" s="3"/>
      <c r="M94" s="3"/>
      <c r="N94" s="3"/>
      <c r="O94" s="3"/>
      <c r="P94" s="3"/>
    </row>
    <row r="95" spans="1:16">
      <c r="A95" s="2"/>
      <c r="B95" s="2"/>
      <c r="C95" s="2"/>
      <c r="D95" s="2"/>
      <c r="E95" s="3"/>
      <c r="F95" s="2"/>
      <c r="G95" s="2"/>
      <c r="H95" s="3"/>
      <c r="I95" s="3"/>
      <c r="J95" s="3"/>
      <c r="K95" s="3"/>
      <c r="L95" s="3"/>
      <c r="M95" s="3"/>
      <c r="N95" s="3"/>
      <c r="O95" s="3"/>
      <c r="P95" s="3"/>
    </row>
    <row r="96" spans="1:16">
      <c r="A96" s="2"/>
      <c r="B96" s="2"/>
      <c r="C96" s="2"/>
      <c r="D96" s="2"/>
      <c r="E96" s="3"/>
      <c r="F96" s="2"/>
      <c r="G96" s="2"/>
      <c r="H96" s="3"/>
      <c r="I96" s="3"/>
      <c r="J96" s="3"/>
      <c r="K96" s="3"/>
      <c r="L96" s="3"/>
      <c r="M96" s="3"/>
      <c r="N96" s="3"/>
      <c r="O96" s="3"/>
      <c r="P96" s="3"/>
    </row>
    <row r="97" spans="1:16">
      <c r="A97" s="2"/>
      <c r="B97" s="2"/>
      <c r="C97" s="2"/>
      <c r="D97" s="2"/>
      <c r="E97" s="3"/>
      <c r="F97" s="2"/>
      <c r="G97" s="2"/>
      <c r="H97" s="3"/>
      <c r="I97" s="3"/>
      <c r="J97" s="3"/>
      <c r="K97" s="3"/>
      <c r="L97" s="3"/>
      <c r="M97" s="3"/>
      <c r="N97" s="3"/>
      <c r="O97" s="3"/>
      <c r="P97" s="3"/>
    </row>
    <row r="98" spans="1:16">
      <c r="A98" s="2"/>
      <c r="B98" s="2"/>
      <c r="C98" s="2"/>
      <c r="D98" s="2"/>
      <c r="E98" s="3"/>
      <c r="F98" s="2"/>
      <c r="G98" s="2"/>
      <c r="H98" s="3"/>
      <c r="I98" s="3"/>
      <c r="J98" s="3"/>
      <c r="K98" s="3"/>
      <c r="L98" s="3"/>
      <c r="M98" s="3"/>
      <c r="N98" s="3"/>
      <c r="O98" s="3"/>
      <c r="P98" s="3"/>
    </row>
    <row r="99" spans="1:16">
      <c r="A99" s="2"/>
      <c r="B99" s="2"/>
      <c r="C99" s="2"/>
      <c r="D99" s="2"/>
      <c r="E99" s="3"/>
      <c r="F99" s="2"/>
      <c r="G99" s="2"/>
      <c r="H99" s="3"/>
      <c r="I99" s="3"/>
      <c r="J99" s="3"/>
      <c r="K99" s="3"/>
      <c r="L99" s="3"/>
      <c r="M99" s="3"/>
      <c r="N99" s="3"/>
      <c r="O99" s="3"/>
      <c r="P99" s="3"/>
    </row>
    <row r="100" spans="1:16">
      <c r="A100" s="2"/>
      <c r="B100" s="2"/>
      <c r="C100" s="2"/>
      <c r="D100" s="2"/>
      <c r="E100" s="3"/>
      <c r="F100" s="2"/>
      <c r="G100" s="2"/>
      <c r="H100" s="3"/>
      <c r="I100" s="3"/>
      <c r="J100" s="3"/>
      <c r="K100" s="3"/>
      <c r="L100" s="3"/>
      <c r="M100" s="3"/>
      <c r="N100" s="3"/>
      <c r="O100" s="3"/>
      <c r="P100" s="3"/>
    </row>
    <row r="101" spans="1:16">
      <c r="A101" s="2"/>
      <c r="B101" s="2"/>
      <c r="C101" s="2"/>
      <c r="D101" s="2"/>
      <c r="E101" s="3"/>
      <c r="F101" s="2"/>
      <c r="G101" s="2"/>
      <c r="H101" s="3"/>
      <c r="I101" s="3"/>
      <c r="J101" s="3"/>
      <c r="K101" s="3"/>
      <c r="L101" s="3"/>
      <c r="M101" s="3"/>
      <c r="N101" s="3"/>
      <c r="O101" s="3"/>
      <c r="P101" s="3"/>
    </row>
    <row r="102" spans="1:16">
      <c r="A102" s="2"/>
      <c r="B102" s="2"/>
      <c r="C102" s="2"/>
      <c r="D102" s="2"/>
      <c r="E102" s="3"/>
      <c r="F102" s="2"/>
      <c r="G102" s="2"/>
      <c r="H102" s="3"/>
      <c r="I102" s="3"/>
      <c r="J102" s="3"/>
      <c r="K102" s="3"/>
      <c r="L102" s="3"/>
      <c r="M102" s="3"/>
      <c r="N102" s="3"/>
      <c r="O102" s="3"/>
      <c r="P102" s="3"/>
    </row>
    <row r="103" spans="1:16">
      <c r="A103" s="2"/>
      <c r="B103" s="2"/>
      <c r="C103" s="2"/>
      <c r="D103" s="2"/>
      <c r="E103" s="3"/>
      <c r="F103" s="2"/>
      <c r="G103" s="2"/>
      <c r="H103" s="3"/>
      <c r="I103" s="3"/>
      <c r="J103" s="3"/>
      <c r="K103" s="3"/>
      <c r="L103" s="3"/>
      <c r="M103" s="3"/>
      <c r="N103" s="3"/>
      <c r="O103" s="3"/>
      <c r="P103" s="3"/>
    </row>
    <row r="104" spans="1:16">
      <c r="A104" s="2"/>
      <c r="B104" s="2"/>
      <c r="C104" s="2"/>
      <c r="D104" s="2"/>
      <c r="E104" s="3"/>
      <c r="F104" s="2"/>
      <c r="G104" s="2"/>
      <c r="H104" s="3"/>
      <c r="I104" s="3"/>
      <c r="J104" s="3"/>
      <c r="K104" s="3"/>
      <c r="L104" s="3"/>
      <c r="M104" s="3"/>
      <c r="N104" s="3"/>
      <c r="O104" s="3"/>
      <c r="P104" s="3"/>
    </row>
    <row r="105" spans="1:16">
      <c r="A105" s="2"/>
      <c r="B105" s="2"/>
      <c r="C105" s="2"/>
      <c r="D105" s="2"/>
      <c r="E105" s="3"/>
      <c r="F105" s="2"/>
      <c r="G105" s="2"/>
      <c r="H105" s="3"/>
      <c r="I105" s="3"/>
      <c r="J105" s="3"/>
      <c r="K105" s="3"/>
      <c r="L105" s="3"/>
      <c r="M105" s="3"/>
      <c r="N105" s="3"/>
      <c r="O105" s="3"/>
      <c r="P105" s="3"/>
    </row>
    <row r="106" spans="1:16">
      <c r="A106" s="2"/>
      <c r="B106" s="2"/>
      <c r="C106" s="2"/>
      <c r="D106" s="2"/>
      <c r="E106" s="3"/>
      <c r="F106" s="2"/>
      <c r="G106" s="2"/>
      <c r="H106" s="3"/>
      <c r="I106" s="3"/>
      <c r="J106" s="3"/>
      <c r="K106" s="3"/>
      <c r="L106" s="3"/>
      <c r="M106" s="3"/>
      <c r="N106" s="3"/>
      <c r="O106" s="3"/>
      <c r="P106" s="3"/>
    </row>
    <row r="107" spans="1:16">
      <c r="A107" s="2"/>
      <c r="B107" s="2"/>
      <c r="C107" s="2"/>
      <c r="D107" s="2"/>
      <c r="E107" s="3"/>
      <c r="F107" s="2"/>
      <c r="G107" s="2"/>
      <c r="H107" s="3"/>
      <c r="I107" s="3"/>
      <c r="J107" s="3"/>
      <c r="K107" s="3"/>
      <c r="L107" s="3"/>
      <c r="M107" s="3"/>
      <c r="N107" s="3"/>
      <c r="O107" s="3"/>
      <c r="P107" s="3"/>
    </row>
    <row r="108" spans="1:16">
      <c r="A108" s="2"/>
      <c r="B108" s="2"/>
      <c r="C108" s="2"/>
      <c r="D108" s="2"/>
      <c r="E108" s="3"/>
      <c r="F108" s="2"/>
      <c r="G108" s="2"/>
      <c r="H108" s="3"/>
      <c r="I108" s="3"/>
      <c r="J108" s="3"/>
      <c r="K108" s="3"/>
      <c r="L108" s="3"/>
      <c r="M108" s="3"/>
      <c r="N108" s="3"/>
      <c r="O108" s="3"/>
      <c r="P108" s="3"/>
    </row>
    <row r="109" spans="1:16">
      <c r="A109" s="2"/>
      <c r="B109" s="2"/>
      <c r="C109" s="2"/>
      <c r="D109" s="2"/>
      <c r="E109" s="3"/>
      <c r="F109" s="2"/>
      <c r="G109" s="2"/>
      <c r="H109" s="3"/>
      <c r="I109" s="3"/>
      <c r="J109" s="3"/>
      <c r="K109" s="3"/>
      <c r="L109" s="3"/>
      <c r="M109" s="3"/>
      <c r="N109" s="3"/>
      <c r="O109" s="3"/>
      <c r="P109" s="3"/>
    </row>
    <row r="110" spans="1:16">
      <c r="A110" s="2"/>
      <c r="B110" s="2"/>
      <c r="C110" s="2"/>
      <c r="D110" s="2"/>
      <c r="E110" s="3"/>
      <c r="F110" s="2"/>
      <c r="G110" s="2"/>
      <c r="H110" s="3"/>
      <c r="I110" s="3"/>
      <c r="J110" s="3"/>
      <c r="K110" s="3"/>
      <c r="L110" s="3"/>
      <c r="M110" s="3"/>
      <c r="N110" s="3"/>
      <c r="O110" s="3"/>
      <c r="P110" s="3"/>
    </row>
    <row r="111" spans="1:16">
      <c r="A111" s="2"/>
      <c r="B111" s="2"/>
      <c r="C111" s="2"/>
      <c r="D111" s="2"/>
      <c r="E111" s="3"/>
      <c r="F111" s="2"/>
      <c r="G111" s="2"/>
      <c r="H111" s="3"/>
      <c r="I111" s="3"/>
      <c r="J111" s="3"/>
      <c r="K111" s="3"/>
      <c r="L111" s="3"/>
      <c r="M111" s="3"/>
      <c r="N111" s="3"/>
      <c r="O111" s="3"/>
      <c r="P111" s="3"/>
    </row>
    <row r="112" spans="1:16">
      <c r="A112" s="2"/>
      <c r="B112" s="2"/>
      <c r="C112" s="2"/>
      <c r="D112" s="2"/>
      <c r="E112" s="3"/>
      <c r="F112" s="2"/>
      <c r="G112" s="2"/>
      <c r="H112" s="3"/>
      <c r="I112" s="3"/>
      <c r="J112" s="3"/>
      <c r="K112" s="3"/>
      <c r="L112" s="3"/>
      <c r="M112" s="3"/>
      <c r="N112" s="3"/>
      <c r="O112" s="3"/>
      <c r="P112" s="3"/>
    </row>
    <row r="113" spans="1:16">
      <c r="A113" s="2"/>
      <c r="B113" s="2"/>
      <c r="C113" s="2"/>
      <c r="D113" s="2"/>
      <c r="E113" s="3"/>
      <c r="F113" s="2"/>
      <c r="G113" s="2"/>
      <c r="H113" s="3"/>
      <c r="I113" s="3"/>
      <c r="J113" s="3"/>
      <c r="K113" s="3"/>
      <c r="L113" s="3"/>
      <c r="M113" s="3"/>
      <c r="N113" s="3"/>
      <c r="O113" s="3"/>
      <c r="P113" s="3"/>
    </row>
    <row r="114" spans="1:16">
      <c r="A114" s="2"/>
      <c r="B114" s="2"/>
      <c r="C114" s="2"/>
      <c r="D114" s="2"/>
      <c r="E114" s="3"/>
      <c r="F114" s="2"/>
      <c r="G114" s="2"/>
      <c r="H114" s="3"/>
      <c r="I114" s="3"/>
      <c r="J114" s="3"/>
      <c r="K114" s="3"/>
      <c r="L114" s="3"/>
      <c r="M114" s="3"/>
      <c r="N114" s="3"/>
      <c r="O114" s="3"/>
      <c r="P114" s="3"/>
    </row>
    <row r="115" spans="1:16">
      <c r="A115" s="2"/>
      <c r="B115" s="2"/>
      <c r="C115" s="2"/>
      <c r="D115" s="2"/>
      <c r="E115" s="3"/>
      <c r="F115" s="2"/>
      <c r="G115" s="2"/>
      <c r="H115" s="3"/>
      <c r="I115" s="3"/>
      <c r="J115" s="3"/>
      <c r="K115" s="3"/>
      <c r="L115" s="3"/>
      <c r="M115" s="3"/>
      <c r="N115" s="3"/>
      <c r="O115" s="3"/>
      <c r="P115" s="3"/>
    </row>
    <row r="116" spans="1:16">
      <c r="A116" s="2"/>
      <c r="B116" s="2"/>
      <c r="C116" s="2"/>
      <c r="D116" s="2"/>
      <c r="E116" s="3"/>
      <c r="F116" s="2"/>
      <c r="G116" s="2"/>
      <c r="H116" s="3"/>
      <c r="I116" s="3"/>
      <c r="J116" s="3"/>
      <c r="K116" s="3"/>
      <c r="L116" s="3"/>
      <c r="M116" s="3"/>
      <c r="N116" s="3"/>
      <c r="O116" s="3"/>
      <c r="P116" s="3"/>
    </row>
    <row r="117" spans="1:16">
      <c r="A117" s="2"/>
      <c r="B117" s="2"/>
      <c r="C117" s="2"/>
      <c r="D117" s="2"/>
      <c r="E117" s="3"/>
      <c r="F117" s="2"/>
      <c r="G117" s="2"/>
      <c r="H117" s="3"/>
      <c r="I117" s="3"/>
      <c r="J117" s="3"/>
      <c r="K117" s="3"/>
      <c r="L117" s="3"/>
      <c r="M117" s="3"/>
      <c r="N117" s="3"/>
      <c r="O117" s="3"/>
      <c r="P117" s="3"/>
    </row>
    <row r="118" spans="1:16">
      <c r="A118" s="2"/>
      <c r="B118" s="2"/>
      <c r="C118" s="2"/>
      <c r="D118" s="2"/>
      <c r="E118" s="3"/>
      <c r="F118" s="2"/>
      <c r="G118" s="2"/>
      <c r="H118" s="3"/>
      <c r="I118" s="3"/>
      <c r="J118" s="3"/>
      <c r="K118" s="3"/>
      <c r="L118" s="3"/>
      <c r="M118" s="3"/>
      <c r="N118" s="3"/>
      <c r="O118" s="3"/>
      <c r="P118" s="3"/>
    </row>
    <row r="119" spans="1:16">
      <c r="A119" s="2"/>
      <c r="B119" s="2"/>
      <c r="C119" s="2"/>
      <c r="D119" s="2"/>
      <c r="E119" s="3"/>
      <c r="F119" s="2"/>
      <c r="G119" s="2"/>
      <c r="H119" s="3"/>
      <c r="I119" s="3"/>
      <c r="J119" s="3"/>
      <c r="K119" s="3"/>
      <c r="L119" s="3"/>
      <c r="M119" s="3"/>
      <c r="N119" s="3"/>
      <c r="O119" s="3"/>
      <c r="P119" s="3"/>
    </row>
    <row r="120" spans="1:16">
      <c r="A120" s="2"/>
      <c r="B120" s="2"/>
      <c r="C120" s="2"/>
      <c r="D120" s="2"/>
      <c r="E120" s="3"/>
      <c r="F120" s="2"/>
      <c r="G120" s="2"/>
      <c r="H120" s="3"/>
      <c r="I120" s="3"/>
      <c r="J120" s="3"/>
      <c r="K120" s="3"/>
      <c r="L120" s="3"/>
      <c r="M120" s="3"/>
      <c r="N120" s="3"/>
      <c r="O120" s="3"/>
      <c r="P120" s="3"/>
    </row>
    <row r="121" spans="1:16">
      <c r="A121" s="2"/>
      <c r="B121" s="2"/>
      <c r="C121" s="2"/>
      <c r="D121" s="2"/>
      <c r="E121" s="3"/>
      <c r="F121" s="2"/>
      <c r="G121" s="2"/>
      <c r="H121" s="3"/>
      <c r="I121" s="3"/>
      <c r="J121" s="3"/>
      <c r="K121" s="3"/>
      <c r="L121" s="3"/>
      <c r="M121" s="3"/>
      <c r="N121" s="3"/>
      <c r="O121" s="3"/>
      <c r="P121" s="3"/>
    </row>
    <row r="122" spans="1:16">
      <c r="A122" s="2"/>
      <c r="B122" s="2"/>
      <c r="C122" s="2"/>
      <c r="D122" s="2"/>
      <c r="E122" s="3"/>
      <c r="F122" s="2"/>
      <c r="G122" s="2"/>
      <c r="H122" s="3"/>
      <c r="I122" s="3"/>
      <c r="J122" s="3"/>
      <c r="K122" s="3"/>
      <c r="L122" s="3"/>
      <c r="M122" s="3"/>
      <c r="N122" s="3"/>
      <c r="O122" s="3"/>
      <c r="P122" s="3"/>
    </row>
    <row r="123" spans="1:16">
      <c r="A123" s="2"/>
      <c r="B123" s="2"/>
      <c r="C123" s="2"/>
      <c r="D123" s="2"/>
      <c r="E123" s="3"/>
      <c r="F123" s="2"/>
      <c r="G123" s="2"/>
      <c r="H123" s="3"/>
      <c r="I123" s="3"/>
      <c r="J123" s="3"/>
      <c r="K123" s="3"/>
      <c r="L123" s="3"/>
      <c r="M123" s="3"/>
      <c r="N123" s="3"/>
      <c r="O123" s="3"/>
      <c r="P123" s="3"/>
    </row>
    <row r="124" spans="1:16">
      <c r="A124" s="2"/>
      <c r="B124" s="2"/>
      <c r="C124" s="2"/>
      <c r="D124" s="2"/>
      <c r="E124" s="3"/>
      <c r="F124" s="2"/>
      <c r="G124" s="2"/>
      <c r="H124" s="3"/>
      <c r="I124" s="3"/>
      <c r="J124" s="3"/>
      <c r="K124" s="3"/>
      <c r="L124" s="3"/>
      <c r="M124" s="3"/>
      <c r="N124" s="3"/>
      <c r="O124" s="3"/>
      <c r="P124" s="3"/>
    </row>
    <row r="125" spans="1:16">
      <c r="A125" s="2"/>
      <c r="B125" s="2"/>
      <c r="C125" s="2"/>
      <c r="D125" s="2"/>
      <c r="E125" s="3"/>
      <c r="F125" s="2"/>
      <c r="G125" s="2"/>
      <c r="H125" s="3"/>
      <c r="I125" s="3"/>
      <c r="J125" s="3"/>
      <c r="K125" s="3"/>
      <c r="L125" s="3"/>
      <c r="M125" s="3"/>
      <c r="N125" s="3"/>
      <c r="O125" s="3"/>
      <c r="P125" s="3"/>
    </row>
    <row r="126" spans="1:16">
      <c r="A126" s="2"/>
      <c r="B126" s="2"/>
      <c r="C126" s="2"/>
      <c r="D126" s="2"/>
      <c r="E126" s="3"/>
      <c r="F126" s="2"/>
      <c r="G126" s="2"/>
      <c r="H126" s="3"/>
      <c r="I126" s="3"/>
      <c r="J126" s="3"/>
      <c r="K126" s="3"/>
      <c r="L126" s="3"/>
      <c r="M126" s="3"/>
      <c r="N126" s="3"/>
      <c r="O126" s="3"/>
      <c r="P126" s="3"/>
    </row>
    <row r="127" spans="1:16">
      <c r="A127" s="2"/>
      <c r="B127" s="2"/>
      <c r="C127" s="2"/>
      <c r="D127" s="2"/>
      <c r="E127" s="3"/>
      <c r="F127" s="2"/>
      <c r="G127" s="2"/>
      <c r="H127" s="3"/>
      <c r="I127" s="3"/>
      <c r="J127" s="3"/>
      <c r="K127" s="3"/>
      <c r="L127" s="3"/>
      <c r="M127" s="3"/>
      <c r="N127" s="3"/>
      <c r="O127" s="3"/>
      <c r="P127" s="3"/>
    </row>
    <row r="128" spans="1:16">
      <c r="A128" s="2"/>
      <c r="B128" s="2"/>
      <c r="C128" s="2"/>
      <c r="D128" s="2"/>
      <c r="E128" s="3"/>
      <c r="F128" s="2"/>
      <c r="G128" s="2"/>
      <c r="H128" s="3"/>
      <c r="I128" s="3"/>
      <c r="J128" s="3"/>
      <c r="K128" s="3"/>
      <c r="L128" s="3"/>
      <c r="M128" s="3"/>
      <c r="N128" s="3"/>
      <c r="O128" s="3"/>
      <c r="P128" s="3"/>
    </row>
    <row r="129" spans="1:16">
      <c r="A129" s="2"/>
      <c r="B129" s="2"/>
      <c r="C129" s="2"/>
      <c r="D129" s="2"/>
      <c r="E129" s="3"/>
      <c r="F129" s="2"/>
      <c r="G129" s="2"/>
      <c r="H129" s="3"/>
      <c r="I129" s="3"/>
      <c r="J129" s="3"/>
      <c r="K129" s="3"/>
      <c r="L129" s="3"/>
      <c r="M129" s="3"/>
      <c r="N129" s="3"/>
      <c r="O129" s="3"/>
      <c r="P129" s="3"/>
    </row>
    <row r="130" spans="1:16">
      <c r="A130" s="2"/>
      <c r="B130" s="2"/>
      <c r="C130" s="2"/>
      <c r="D130" s="2"/>
      <c r="E130" s="3"/>
      <c r="F130" s="2"/>
      <c r="G130" s="2"/>
      <c r="H130" s="3"/>
      <c r="I130" s="3"/>
      <c r="J130" s="3"/>
      <c r="K130" s="3"/>
      <c r="L130" s="3"/>
      <c r="M130" s="3"/>
      <c r="N130" s="3"/>
      <c r="O130" s="3"/>
      <c r="P130" s="3"/>
    </row>
    <row r="131" spans="1:16">
      <c r="A131" s="2"/>
      <c r="B131" s="2"/>
      <c r="C131" s="2"/>
      <c r="D131" s="2"/>
      <c r="E131" s="3"/>
      <c r="F131" s="2"/>
      <c r="G131" s="2"/>
      <c r="H131" s="3"/>
      <c r="I131" s="3"/>
      <c r="J131" s="3"/>
      <c r="K131" s="3"/>
      <c r="L131" s="3"/>
      <c r="M131" s="3"/>
      <c r="N131" s="3"/>
      <c r="O131" s="3"/>
      <c r="P131" s="3"/>
    </row>
    <row r="132" spans="1:16">
      <c r="A132" s="2"/>
      <c r="B132" s="2"/>
      <c r="C132" s="2"/>
      <c r="D132" s="2"/>
      <c r="E132" s="3"/>
      <c r="F132" s="2"/>
      <c r="G132" s="2"/>
      <c r="H132" s="3"/>
      <c r="I132" s="3"/>
      <c r="J132" s="3"/>
      <c r="K132" s="3"/>
      <c r="L132" s="3"/>
      <c r="M132" s="3"/>
      <c r="N132" s="3"/>
      <c r="O132" s="3"/>
      <c r="P132" s="3"/>
    </row>
    <row r="133" spans="1:16">
      <c r="A133" s="2"/>
      <c r="B133" s="2"/>
      <c r="C133" s="2"/>
      <c r="D133" s="2"/>
      <c r="E133" s="3"/>
      <c r="F133" s="2"/>
      <c r="G133" s="2"/>
      <c r="H133" s="3"/>
      <c r="I133" s="3"/>
      <c r="J133" s="3"/>
      <c r="K133" s="3"/>
      <c r="L133" s="3"/>
      <c r="M133" s="3"/>
      <c r="N133" s="3"/>
      <c r="O133" s="3"/>
      <c r="P133" s="3"/>
    </row>
    <row r="134" spans="1:16">
      <c r="A134" s="2"/>
      <c r="B134" s="2"/>
      <c r="C134" s="2"/>
      <c r="D134" s="2"/>
      <c r="E134" s="3"/>
      <c r="F134" s="2"/>
      <c r="G134" s="2"/>
      <c r="H134" s="3"/>
      <c r="I134" s="3"/>
      <c r="J134" s="3"/>
      <c r="K134" s="3"/>
      <c r="L134" s="3"/>
      <c r="M134" s="3"/>
      <c r="N134" s="3"/>
      <c r="O134" s="3"/>
      <c r="P134" s="3"/>
    </row>
    <row r="135" spans="1:16">
      <c r="A135" s="2"/>
      <c r="B135" s="2"/>
      <c r="C135" s="2"/>
      <c r="D135" s="2"/>
      <c r="E135" s="3"/>
      <c r="F135" s="2"/>
      <c r="G135" s="2"/>
      <c r="H135" s="3"/>
      <c r="I135" s="3"/>
      <c r="J135" s="3"/>
      <c r="K135" s="3"/>
      <c r="L135" s="3"/>
      <c r="M135" s="3"/>
      <c r="N135" s="3"/>
      <c r="O135" s="3"/>
      <c r="P135" s="3"/>
    </row>
    <row r="136" spans="1:16">
      <c r="A136" s="2"/>
      <c r="B136" s="2"/>
      <c r="C136" s="2"/>
      <c r="D136" s="2"/>
      <c r="E136" s="3"/>
      <c r="F136" s="2"/>
      <c r="G136" s="2"/>
      <c r="H136" s="3"/>
      <c r="I136" s="3"/>
      <c r="J136" s="3"/>
      <c r="K136" s="3"/>
      <c r="L136" s="3"/>
      <c r="M136" s="3"/>
      <c r="N136" s="3"/>
      <c r="O136" s="3"/>
      <c r="P136" s="3"/>
    </row>
    <row r="137" spans="1:16">
      <c r="A137" s="2"/>
      <c r="B137" s="2"/>
      <c r="C137" s="2"/>
      <c r="D137" s="2"/>
      <c r="E137" s="3"/>
      <c r="F137" s="2"/>
      <c r="G137" s="2"/>
      <c r="H137" s="3"/>
      <c r="I137" s="3"/>
      <c r="J137" s="3"/>
      <c r="K137" s="3"/>
      <c r="L137" s="3"/>
      <c r="M137" s="3"/>
      <c r="N137" s="3"/>
      <c r="O137" s="3"/>
      <c r="P137" s="3"/>
    </row>
    <row r="138" spans="1:16">
      <c r="A138" s="2"/>
      <c r="B138" s="2"/>
      <c r="C138" s="2"/>
      <c r="D138" s="2"/>
      <c r="E138" s="3"/>
      <c r="F138" s="2"/>
      <c r="G138" s="2"/>
      <c r="H138" s="3"/>
      <c r="I138" s="3"/>
      <c r="J138" s="3"/>
      <c r="K138" s="3"/>
      <c r="L138" s="3"/>
      <c r="M138" s="3"/>
      <c r="N138" s="3"/>
      <c r="O138" s="3"/>
      <c r="P138" s="3"/>
    </row>
    <row r="139" spans="1:16">
      <c r="A139" s="2"/>
      <c r="B139" s="2"/>
      <c r="C139" s="2"/>
      <c r="D139" s="2"/>
      <c r="E139" s="3"/>
      <c r="F139" s="2"/>
      <c r="G139" s="2"/>
      <c r="H139" s="3"/>
      <c r="I139" s="3"/>
      <c r="J139" s="3"/>
      <c r="K139" s="3"/>
      <c r="L139" s="3"/>
      <c r="M139" s="3"/>
      <c r="N139" s="3"/>
      <c r="O139" s="3"/>
      <c r="P139" s="3"/>
    </row>
    <row r="140" spans="1:16">
      <c r="A140" s="2"/>
      <c r="B140" s="2"/>
      <c r="C140" s="2"/>
      <c r="D140" s="2"/>
      <c r="E140" s="3"/>
      <c r="F140" s="2"/>
      <c r="G140" s="2"/>
      <c r="H140" s="3"/>
      <c r="I140" s="3"/>
      <c r="J140" s="3"/>
      <c r="K140" s="3"/>
      <c r="L140" s="3"/>
      <c r="M140" s="3"/>
      <c r="N140" s="3"/>
      <c r="O140" s="3"/>
      <c r="P140" s="3"/>
    </row>
    <row r="141" spans="1:16">
      <c r="A141" s="2"/>
      <c r="B141" s="2"/>
      <c r="C141" s="2"/>
      <c r="D141" s="2"/>
      <c r="E141" s="3"/>
      <c r="F141" s="2"/>
      <c r="G141" s="2"/>
      <c r="H141" s="3"/>
      <c r="I141" s="3"/>
      <c r="J141" s="3"/>
      <c r="K141" s="3"/>
      <c r="L141" s="3"/>
      <c r="M141" s="3"/>
      <c r="N141" s="3"/>
      <c r="O141" s="3"/>
      <c r="P141" s="3"/>
    </row>
    <row r="142" spans="1:16">
      <c r="A142" s="2"/>
      <c r="B142" s="2"/>
      <c r="C142" s="2"/>
      <c r="D142" s="2"/>
      <c r="E142" s="3"/>
      <c r="F142" s="2"/>
      <c r="G142" s="2"/>
      <c r="H142" s="3"/>
      <c r="I142" s="3"/>
      <c r="J142" s="3"/>
      <c r="K142" s="3"/>
      <c r="L142" s="3"/>
      <c r="M142" s="3"/>
      <c r="N142" s="3"/>
      <c r="O142" s="3"/>
      <c r="P142" s="3"/>
    </row>
    <row r="143" spans="1:16">
      <c r="A143" s="2"/>
      <c r="B143" s="2"/>
      <c r="C143" s="2"/>
      <c r="D143" s="2"/>
      <c r="E143" s="3"/>
      <c r="F143" s="2"/>
      <c r="G143" s="2"/>
      <c r="H143" s="3"/>
      <c r="I143" s="3"/>
      <c r="J143" s="3"/>
      <c r="K143" s="3"/>
      <c r="L143" s="3"/>
      <c r="M143" s="3"/>
      <c r="N143" s="3"/>
      <c r="O143" s="3"/>
      <c r="P143" s="3"/>
    </row>
    <row r="144" spans="1:16">
      <c r="A144" s="2"/>
      <c r="B144" s="2"/>
      <c r="C144" s="2"/>
      <c r="D144" s="2"/>
      <c r="E144" s="3"/>
      <c r="F144" s="2"/>
      <c r="G144" s="2"/>
      <c r="H144" s="3"/>
      <c r="I144" s="3"/>
      <c r="J144" s="3"/>
      <c r="K144" s="3"/>
      <c r="L144" s="3"/>
      <c r="M144" s="3"/>
      <c r="N144" s="3"/>
      <c r="O144" s="3"/>
      <c r="P144" s="3"/>
    </row>
    <row r="145" spans="1:16">
      <c r="A145" s="2"/>
      <c r="B145" s="2"/>
      <c r="C145" s="2"/>
      <c r="D145" s="2"/>
      <c r="E145" s="3"/>
      <c r="F145" s="2"/>
      <c r="G145" s="2"/>
      <c r="H145" s="3"/>
      <c r="I145" s="3"/>
      <c r="J145" s="3"/>
      <c r="K145" s="3"/>
      <c r="L145" s="3"/>
      <c r="M145" s="3"/>
      <c r="N145" s="3"/>
      <c r="O145" s="3"/>
      <c r="P145" s="3"/>
    </row>
    <row r="146" spans="1:16">
      <c r="A146" s="2"/>
      <c r="B146" s="2"/>
      <c r="C146" s="2"/>
      <c r="D146" s="2"/>
      <c r="E146" s="3"/>
      <c r="F146" s="2"/>
      <c r="G146" s="2"/>
      <c r="H146" s="3"/>
      <c r="I146" s="3"/>
      <c r="J146" s="3"/>
      <c r="K146" s="3"/>
      <c r="L146" s="3"/>
      <c r="M146" s="3"/>
      <c r="N146" s="3"/>
      <c r="O146" s="3"/>
      <c r="P146" s="3"/>
    </row>
    <row r="147" spans="1:16">
      <c r="A147" s="2"/>
      <c r="B147" s="2"/>
      <c r="C147" s="2"/>
      <c r="D147" s="2"/>
      <c r="E147" s="3"/>
      <c r="F147" s="2"/>
      <c r="G147" s="2"/>
      <c r="H147" s="3"/>
      <c r="I147" s="3"/>
      <c r="J147" s="3"/>
      <c r="K147" s="3"/>
      <c r="L147" s="3"/>
      <c r="M147" s="3"/>
      <c r="N147" s="3"/>
      <c r="O147" s="3"/>
      <c r="P147" s="3"/>
    </row>
    <row r="148" spans="1:16">
      <c r="A148" s="2"/>
      <c r="B148" s="2"/>
      <c r="C148" s="2"/>
      <c r="D148" s="2"/>
      <c r="E148" s="3"/>
      <c r="F148" s="2"/>
      <c r="G148" s="2"/>
      <c r="H148" s="3"/>
      <c r="I148" s="3"/>
      <c r="J148" s="3"/>
      <c r="K148" s="3"/>
      <c r="L148" s="3"/>
      <c r="M148" s="3"/>
      <c r="N148" s="3"/>
      <c r="O148" s="3"/>
      <c r="P148" s="3"/>
    </row>
    <row r="149" spans="1:16">
      <c r="A149" s="2"/>
      <c r="B149" s="2"/>
      <c r="C149" s="2"/>
      <c r="D149" s="2"/>
      <c r="E149" s="3"/>
      <c r="F149" s="2"/>
      <c r="G149" s="2"/>
      <c r="H149" s="3"/>
      <c r="I149" s="3"/>
      <c r="J149" s="3"/>
      <c r="K149" s="3"/>
      <c r="L149" s="3"/>
      <c r="M149" s="3"/>
      <c r="N149" s="3"/>
      <c r="O149" s="3"/>
      <c r="P149" s="3"/>
    </row>
    <row r="150" spans="1:16">
      <c r="A150" s="2"/>
      <c r="B150" s="2"/>
      <c r="C150" s="2"/>
      <c r="D150" s="2"/>
      <c r="E150" s="3"/>
      <c r="F150" s="2"/>
      <c r="G150" s="2"/>
      <c r="H150" s="3"/>
      <c r="I150" s="3"/>
      <c r="J150" s="3"/>
      <c r="K150" s="3"/>
      <c r="L150" s="3"/>
      <c r="M150" s="3"/>
      <c r="N150" s="3"/>
      <c r="O150" s="3"/>
      <c r="P150" s="3"/>
    </row>
    <row r="151" spans="1:16">
      <c r="A151" s="2"/>
      <c r="B151" s="2"/>
      <c r="C151" s="2"/>
      <c r="D151" s="2"/>
      <c r="E151" s="3"/>
      <c r="F151" s="2"/>
      <c r="G151" s="2"/>
      <c r="H151" s="3"/>
      <c r="I151" s="3"/>
      <c r="J151" s="3"/>
      <c r="K151" s="3"/>
      <c r="L151" s="3"/>
      <c r="M151" s="3"/>
      <c r="N151" s="3"/>
      <c r="O151" s="3"/>
      <c r="P151" s="3"/>
    </row>
    <row r="152" spans="1:16">
      <c r="A152" s="2"/>
      <c r="B152" s="2"/>
      <c r="C152" s="2"/>
      <c r="D152" s="2"/>
      <c r="E152" s="3"/>
      <c r="F152" s="2"/>
      <c r="G152" s="2"/>
      <c r="H152" s="3"/>
      <c r="I152" s="3"/>
      <c r="J152" s="3"/>
      <c r="K152" s="3"/>
      <c r="L152" s="3"/>
      <c r="M152" s="3"/>
      <c r="N152" s="3"/>
      <c r="O152" s="3"/>
      <c r="P152" s="3"/>
    </row>
    <row r="153" spans="1:16">
      <c r="A153" s="2"/>
      <c r="B153" s="2"/>
      <c r="C153" s="2"/>
      <c r="D153" s="2"/>
      <c r="E153" s="3"/>
      <c r="F153" s="2"/>
      <c r="G153" s="2"/>
      <c r="H153" s="3"/>
      <c r="I153" s="3"/>
      <c r="J153" s="3"/>
      <c r="K153" s="3"/>
      <c r="L153" s="3"/>
      <c r="M153" s="3"/>
      <c r="N153" s="3"/>
      <c r="O153" s="3"/>
      <c r="P153" s="3"/>
    </row>
    <row r="154" spans="1:16">
      <c r="A154" s="2"/>
      <c r="B154" s="2"/>
      <c r="C154" s="2"/>
      <c r="D154" s="2"/>
      <c r="E154" s="3"/>
      <c r="F154" s="2"/>
      <c r="G154" s="2"/>
      <c r="H154" s="3"/>
      <c r="I154" s="3"/>
      <c r="J154" s="3"/>
      <c r="K154" s="3"/>
      <c r="L154" s="3"/>
      <c r="M154" s="3"/>
      <c r="N154" s="3"/>
      <c r="O154" s="3"/>
      <c r="P154" s="3"/>
    </row>
    <row r="155" spans="1:16">
      <c r="A155" s="2"/>
      <c r="B155" s="2"/>
      <c r="C155" s="2"/>
      <c r="D155" s="2"/>
      <c r="E155" s="3"/>
      <c r="F155" s="2"/>
      <c r="G155" s="2"/>
      <c r="H155" s="3"/>
      <c r="I155" s="3"/>
      <c r="J155" s="3"/>
      <c r="K155" s="3"/>
      <c r="L155" s="3"/>
      <c r="M155" s="3"/>
      <c r="N155" s="3"/>
      <c r="O155" s="3"/>
      <c r="P155" s="3"/>
    </row>
    <row r="156" spans="1:16">
      <c r="A156" s="2"/>
      <c r="B156" s="2"/>
      <c r="C156" s="2"/>
      <c r="D156" s="2"/>
      <c r="E156" s="3"/>
      <c r="F156" s="2"/>
      <c r="G156" s="2"/>
      <c r="H156" s="3"/>
      <c r="I156" s="3"/>
      <c r="J156" s="3"/>
      <c r="K156" s="3"/>
      <c r="L156" s="3"/>
      <c r="M156" s="3"/>
      <c r="N156" s="3"/>
      <c r="O156" s="3"/>
      <c r="P156" s="3"/>
    </row>
    <row r="157" spans="1:16">
      <c r="A157" s="2"/>
      <c r="B157" s="2"/>
      <c r="C157" s="2"/>
      <c r="D157" s="2"/>
      <c r="E157" s="3"/>
      <c r="F157" s="2"/>
      <c r="G157" s="2"/>
      <c r="H157" s="3"/>
      <c r="I157" s="3"/>
      <c r="J157" s="3"/>
      <c r="K157" s="3"/>
      <c r="L157" s="3"/>
      <c r="M157" s="3"/>
      <c r="N157" s="3"/>
      <c r="O157" s="3"/>
      <c r="P157" s="3"/>
    </row>
    <row r="158" spans="1:16">
      <c r="A158" s="2"/>
      <c r="B158" s="2"/>
      <c r="C158" s="2"/>
      <c r="D158" s="2"/>
      <c r="E158" s="3"/>
      <c r="F158" s="2"/>
      <c r="G158" s="2"/>
      <c r="H158" s="3"/>
      <c r="I158" s="3"/>
      <c r="J158" s="3"/>
      <c r="K158" s="3"/>
      <c r="L158" s="3"/>
      <c r="M158" s="3"/>
      <c r="N158" s="3"/>
      <c r="O158" s="3"/>
      <c r="P158" s="3"/>
    </row>
    <row r="159" spans="1:16">
      <c r="A159" s="2"/>
      <c r="B159" s="2"/>
      <c r="C159" s="2"/>
      <c r="D159" s="2"/>
      <c r="E159" s="3"/>
      <c r="F159" s="2"/>
      <c r="G159" s="2"/>
      <c r="H159" s="3"/>
      <c r="I159" s="3"/>
      <c r="J159" s="3"/>
      <c r="K159" s="3"/>
      <c r="L159" s="3"/>
      <c r="M159" s="3"/>
      <c r="N159" s="3"/>
      <c r="O159" s="3"/>
      <c r="P159" s="3"/>
    </row>
    <row r="160" spans="1:16">
      <c r="A160" s="2"/>
      <c r="B160" s="2"/>
      <c r="C160" s="2"/>
      <c r="D160" s="2"/>
      <c r="E160" s="3"/>
      <c r="F160" s="2"/>
      <c r="G160" s="2"/>
      <c r="H160" s="3"/>
      <c r="I160" s="3"/>
      <c r="J160" s="3"/>
      <c r="K160" s="3"/>
      <c r="L160" s="3"/>
      <c r="M160" s="3"/>
      <c r="N160" s="3"/>
      <c r="O160" s="3"/>
      <c r="P160" s="3"/>
    </row>
    <row r="161" spans="1:16">
      <c r="A161" s="2"/>
      <c r="B161" s="2"/>
      <c r="C161" s="2"/>
      <c r="D161" s="2"/>
      <c r="E161" s="3"/>
      <c r="F161" s="2"/>
      <c r="G161" s="2"/>
      <c r="H161" s="3"/>
      <c r="I161" s="3"/>
      <c r="J161" s="3"/>
      <c r="K161" s="3"/>
      <c r="L161" s="3"/>
      <c r="M161" s="3"/>
      <c r="N161" s="3"/>
      <c r="O161" s="3"/>
      <c r="P161" s="3"/>
    </row>
    <row r="162" spans="1:16">
      <c r="A162" s="2"/>
      <c r="B162" s="2"/>
      <c r="C162" s="2"/>
      <c r="D162" s="2"/>
      <c r="E162" s="3"/>
      <c r="F162" s="2"/>
      <c r="G162" s="2"/>
      <c r="H162" s="3"/>
      <c r="I162" s="3"/>
      <c r="J162" s="3"/>
      <c r="K162" s="3"/>
      <c r="L162" s="3"/>
      <c r="M162" s="3"/>
      <c r="N162" s="3"/>
      <c r="O162" s="3"/>
      <c r="P162" s="3"/>
    </row>
    <row r="163" spans="1:16">
      <c r="A163" s="2"/>
      <c r="B163" s="2"/>
      <c r="C163" s="2"/>
      <c r="D163" s="2"/>
      <c r="E163" s="3"/>
      <c r="F163" s="2"/>
      <c r="G163" s="2"/>
      <c r="H163" s="3"/>
      <c r="I163" s="3"/>
      <c r="J163" s="3"/>
      <c r="K163" s="3"/>
      <c r="L163" s="3"/>
      <c r="M163" s="3"/>
      <c r="N163" s="3"/>
      <c r="O163" s="3"/>
      <c r="P163" s="3"/>
    </row>
    <row r="164" spans="1:16">
      <c r="A164" s="2"/>
      <c r="B164" s="2"/>
      <c r="C164" s="2"/>
      <c r="D164" s="2"/>
      <c r="E164" s="3"/>
      <c r="F164" s="2"/>
      <c r="G164" s="2"/>
      <c r="H164" s="3"/>
      <c r="I164" s="3"/>
      <c r="J164" s="3"/>
      <c r="K164" s="3"/>
      <c r="L164" s="3"/>
      <c r="M164" s="3"/>
      <c r="N164" s="3"/>
      <c r="O164" s="3"/>
      <c r="P164" s="3"/>
    </row>
    <row r="165" spans="1:16">
      <c r="A165" s="2"/>
      <c r="B165" s="2"/>
      <c r="C165" s="2"/>
      <c r="D165" s="2"/>
      <c r="E165" s="3"/>
      <c r="F165" s="2"/>
      <c r="G165" s="2"/>
      <c r="H165" s="3"/>
      <c r="I165" s="3"/>
      <c r="J165" s="3"/>
      <c r="K165" s="3"/>
      <c r="L165" s="3"/>
      <c r="M165" s="3"/>
      <c r="N165" s="3"/>
      <c r="O165" s="3"/>
      <c r="P165" s="3"/>
    </row>
    <row r="166" spans="1:16">
      <c r="A166" s="2"/>
      <c r="B166" s="2"/>
      <c r="C166" s="2"/>
      <c r="D166" s="2"/>
      <c r="E166" s="3"/>
      <c r="F166" s="2"/>
      <c r="G166" s="2"/>
      <c r="H166" s="3"/>
      <c r="I166" s="3"/>
      <c r="J166" s="3"/>
      <c r="K166" s="3"/>
      <c r="L166" s="3"/>
      <c r="M166" s="3"/>
      <c r="N166" s="3"/>
      <c r="O166" s="3"/>
      <c r="P166" s="3"/>
    </row>
    <row r="167" spans="1:16">
      <c r="A167" s="2"/>
      <c r="B167" s="2"/>
      <c r="C167" s="2"/>
      <c r="D167" s="2"/>
      <c r="E167" s="3"/>
      <c r="F167" s="2"/>
      <c r="G167" s="2"/>
      <c r="H167" s="3"/>
      <c r="I167" s="3"/>
      <c r="J167" s="3"/>
      <c r="K167" s="3"/>
      <c r="L167" s="3"/>
      <c r="M167" s="3"/>
      <c r="N167" s="3"/>
      <c r="O167" s="3"/>
      <c r="P167" s="3"/>
    </row>
    <row r="168" spans="1:16">
      <c r="A168" s="2"/>
      <c r="B168" s="2"/>
      <c r="C168" s="2"/>
      <c r="D168" s="2"/>
      <c r="E168" s="3"/>
      <c r="F168" s="2"/>
      <c r="G168" s="2"/>
      <c r="H168" s="3"/>
      <c r="I168" s="3"/>
      <c r="J168" s="3"/>
      <c r="K168" s="3"/>
      <c r="L168" s="3"/>
      <c r="M168" s="3"/>
      <c r="N168" s="3"/>
      <c r="O168" s="3"/>
      <c r="P168" s="3"/>
    </row>
    <row r="169" spans="1:16">
      <c r="A169" s="2"/>
      <c r="B169" s="2"/>
      <c r="C169" s="2"/>
      <c r="D169" s="2"/>
      <c r="E169" s="3"/>
      <c r="F169" s="2"/>
      <c r="G169" s="2"/>
      <c r="H169" s="3"/>
      <c r="I169" s="3"/>
      <c r="J169" s="3"/>
      <c r="K169" s="3"/>
      <c r="L169" s="3"/>
      <c r="M169" s="3"/>
      <c r="N169" s="3"/>
      <c r="O169" s="3"/>
      <c r="P169" s="3"/>
    </row>
    <row r="170" spans="1:16">
      <c r="A170" s="2"/>
      <c r="B170" s="2"/>
      <c r="C170" s="2"/>
      <c r="D170" s="2"/>
      <c r="E170" s="3"/>
      <c r="F170" s="2"/>
      <c r="G170" s="2"/>
      <c r="H170" s="3"/>
      <c r="I170" s="3"/>
      <c r="J170" s="3"/>
      <c r="K170" s="3"/>
      <c r="L170" s="3"/>
      <c r="M170" s="3"/>
      <c r="N170" s="3"/>
      <c r="O170" s="3"/>
      <c r="P170" s="3"/>
    </row>
    <row r="171" spans="1:16">
      <c r="A171" s="2"/>
      <c r="B171" s="2"/>
      <c r="C171" s="2"/>
      <c r="D171" s="2"/>
      <c r="E171" s="3"/>
      <c r="F171" s="2"/>
      <c r="G171" s="2"/>
      <c r="H171" s="3"/>
      <c r="I171" s="3"/>
      <c r="J171" s="3"/>
      <c r="K171" s="3"/>
      <c r="L171" s="3"/>
      <c r="M171" s="3"/>
      <c r="N171" s="3"/>
      <c r="O171" s="3"/>
      <c r="P171" s="3"/>
    </row>
    <row r="172" spans="1:16">
      <c r="A172" s="2"/>
      <c r="B172" s="2"/>
      <c r="C172" s="2"/>
      <c r="D172" s="2"/>
      <c r="E172" s="3"/>
      <c r="F172" s="2"/>
      <c r="G172" s="2"/>
      <c r="H172" s="3"/>
      <c r="I172" s="3"/>
      <c r="J172" s="3"/>
      <c r="K172" s="3"/>
      <c r="L172" s="3"/>
      <c r="M172" s="3"/>
      <c r="N172" s="3"/>
      <c r="O172" s="3"/>
      <c r="P172" s="3"/>
    </row>
    <row r="173" spans="1:16">
      <c r="A173" s="2"/>
      <c r="B173" s="2"/>
      <c r="C173" s="2"/>
      <c r="D173" s="2"/>
      <c r="E173" s="3"/>
      <c r="F173" s="2"/>
      <c r="G173" s="2"/>
      <c r="H173" s="3"/>
      <c r="I173" s="3"/>
      <c r="J173" s="3"/>
      <c r="K173" s="3"/>
      <c r="L173" s="3"/>
      <c r="M173" s="3"/>
      <c r="N173" s="3"/>
      <c r="O173" s="3"/>
      <c r="P173" s="3"/>
    </row>
    <row r="174" spans="1:16">
      <c r="A174" s="2"/>
      <c r="B174" s="2"/>
      <c r="C174" s="2"/>
      <c r="D174" s="2"/>
      <c r="E174" s="3"/>
      <c r="F174" s="2"/>
      <c r="G174" s="2"/>
      <c r="H174" s="3"/>
      <c r="I174" s="3"/>
      <c r="J174" s="3"/>
      <c r="K174" s="3"/>
      <c r="L174" s="3"/>
      <c r="M174" s="3"/>
      <c r="N174" s="3"/>
      <c r="O174" s="3"/>
      <c r="P174" s="3"/>
    </row>
    <row r="175" spans="1:16">
      <c r="A175" s="2"/>
      <c r="B175" s="2"/>
      <c r="C175" s="2"/>
      <c r="D175" s="2"/>
      <c r="E175" s="3"/>
      <c r="F175" s="2"/>
      <c r="G175" s="2"/>
      <c r="H175" s="3"/>
      <c r="I175" s="3"/>
      <c r="J175" s="3"/>
      <c r="K175" s="3"/>
      <c r="L175" s="3"/>
      <c r="M175" s="3"/>
      <c r="N175" s="3"/>
      <c r="O175" s="3"/>
      <c r="P175" s="3"/>
    </row>
    <row r="176" spans="1:16">
      <c r="A176" s="2"/>
      <c r="B176" s="2"/>
      <c r="C176" s="2"/>
      <c r="D176" s="2"/>
      <c r="E176" s="3"/>
      <c r="F176" s="2"/>
      <c r="G176" s="2"/>
      <c r="H176" s="3"/>
      <c r="I176" s="3"/>
      <c r="J176" s="3"/>
      <c r="K176" s="3"/>
      <c r="L176" s="3"/>
      <c r="M176" s="3"/>
      <c r="N176" s="3"/>
      <c r="O176" s="3"/>
      <c r="P176" s="3"/>
    </row>
    <row r="177" spans="1:16">
      <c r="A177" s="2"/>
      <c r="B177" s="2"/>
      <c r="C177" s="2"/>
      <c r="D177" s="2"/>
      <c r="E177" s="3"/>
      <c r="F177" s="2"/>
      <c r="G177" s="2"/>
      <c r="H177" s="3"/>
      <c r="I177" s="3"/>
      <c r="J177" s="3"/>
      <c r="K177" s="3"/>
      <c r="L177" s="3"/>
      <c r="M177" s="3"/>
      <c r="N177" s="3"/>
      <c r="O177" s="3"/>
      <c r="P177" s="3"/>
    </row>
    <row r="178" spans="1:16">
      <c r="A178" s="2"/>
      <c r="B178" s="2"/>
      <c r="C178" s="2"/>
      <c r="D178" s="2"/>
      <c r="E178" s="3"/>
      <c r="F178" s="2"/>
      <c r="G178" s="2"/>
      <c r="H178" s="3"/>
      <c r="I178" s="3"/>
      <c r="J178" s="3"/>
      <c r="K178" s="3"/>
      <c r="L178" s="3"/>
      <c r="M178" s="3"/>
      <c r="N178" s="3"/>
      <c r="O178" s="3"/>
      <c r="P178" s="3"/>
    </row>
    <row r="179" spans="1:16">
      <c r="A179" s="2"/>
      <c r="B179" s="2"/>
      <c r="C179" s="2"/>
      <c r="D179" s="2"/>
      <c r="E179" s="3"/>
      <c r="F179" s="2"/>
      <c r="G179" s="2"/>
      <c r="H179" s="3"/>
      <c r="I179" s="3"/>
      <c r="J179" s="3"/>
      <c r="K179" s="3"/>
      <c r="L179" s="3"/>
      <c r="M179" s="3"/>
      <c r="N179" s="3"/>
      <c r="O179" s="3"/>
      <c r="P179" s="3"/>
    </row>
    <row r="180" spans="1:16">
      <c r="A180" s="2"/>
      <c r="B180" s="2"/>
      <c r="C180" s="2"/>
      <c r="D180" s="2"/>
      <c r="E180" s="3"/>
      <c r="F180" s="2"/>
      <c r="G180" s="2"/>
      <c r="H180" s="3"/>
      <c r="I180" s="3"/>
      <c r="J180" s="3"/>
      <c r="K180" s="3"/>
      <c r="L180" s="3"/>
      <c r="M180" s="3"/>
      <c r="N180" s="3"/>
      <c r="O180" s="3"/>
      <c r="P180" s="3"/>
    </row>
    <row r="181" spans="1:16">
      <c r="A181" s="2"/>
      <c r="B181" s="2"/>
      <c r="C181" s="2"/>
      <c r="D181" s="2"/>
      <c r="E181" s="3"/>
      <c r="F181" s="2"/>
      <c r="G181" s="2"/>
      <c r="H181" s="3"/>
      <c r="I181" s="3"/>
      <c r="J181" s="3"/>
      <c r="K181" s="3"/>
      <c r="L181" s="3"/>
      <c r="M181" s="3"/>
      <c r="N181" s="3"/>
      <c r="O181" s="3"/>
      <c r="P181" s="3"/>
    </row>
    <row r="182" spans="1:16">
      <c r="A182" s="2"/>
      <c r="B182" s="2"/>
      <c r="C182" s="2"/>
      <c r="D182" s="2"/>
      <c r="E182" s="3"/>
      <c r="F182" s="2"/>
      <c r="G182" s="2"/>
      <c r="H182" s="3"/>
      <c r="I182" s="3"/>
      <c r="J182" s="3"/>
      <c r="K182" s="3"/>
      <c r="L182" s="3"/>
      <c r="M182" s="3"/>
      <c r="N182" s="3"/>
      <c r="O182" s="3"/>
      <c r="P182" s="3"/>
    </row>
    <row r="183" spans="1:16">
      <c r="A183" s="2"/>
      <c r="B183" s="2"/>
      <c r="C183" s="2"/>
      <c r="D183" s="2"/>
      <c r="E183" s="3"/>
      <c r="F183" s="2"/>
      <c r="G183" s="2"/>
      <c r="H183" s="3"/>
      <c r="I183" s="3"/>
      <c r="J183" s="3"/>
      <c r="K183" s="3"/>
      <c r="L183" s="3"/>
      <c r="M183" s="3"/>
      <c r="N183" s="3"/>
      <c r="O183" s="3"/>
      <c r="P183" s="3"/>
    </row>
    <row r="184" spans="1:16">
      <c r="A184" s="2"/>
      <c r="B184" s="2"/>
      <c r="C184" s="2"/>
      <c r="D184" s="2"/>
      <c r="E184" s="3"/>
      <c r="F184" s="2"/>
      <c r="G184" s="2"/>
      <c r="H184" s="3"/>
      <c r="I184" s="3"/>
      <c r="J184" s="3"/>
      <c r="K184" s="3"/>
      <c r="L184" s="3"/>
      <c r="M184" s="3"/>
      <c r="N184" s="3"/>
      <c r="O184" s="3"/>
      <c r="P184" s="3"/>
    </row>
    <row r="185" spans="1:16">
      <c r="A185" s="2"/>
      <c r="B185" s="2"/>
      <c r="C185" s="2"/>
      <c r="D185" s="2"/>
      <c r="E185" s="3"/>
      <c r="F185" s="2"/>
      <c r="G185" s="2"/>
      <c r="H185" s="3"/>
      <c r="I185" s="3"/>
      <c r="J185" s="3"/>
      <c r="K185" s="3"/>
      <c r="L185" s="3"/>
      <c r="M185" s="3"/>
      <c r="N185" s="3"/>
      <c r="O185" s="3"/>
      <c r="P185" s="3"/>
    </row>
    <row r="186" spans="1:16">
      <c r="A186" s="2"/>
      <c r="B186" s="2"/>
      <c r="C186" s="2"/>
      <c r="D186" s="2"/>
      <c r="E186" s="3"/>
      <c r="F186" s="2"/>
      <c r="G186" s="2"/>
      <c r="H186" s="3"/>
      <c r="I186" s="3"/>
      <c r="J186" s="3"/>
      <c r="K186" s="3"/>
      <c r="L186" s="3"/>
      <c r="M186" s="3"/>
      <c r="N186" s="3"/>
      <c r="O186" s="3"/>
      <c r="P186" s="3"/>
    </row>
    <row r="187" spans="1:16">
      <c r="A187" s="2"/>
      <c r="B187" s="2"/>
      <c r="C187" s="2"/>
      <c r="D187" s="2"/>
      <c r="E187" s="3"/>
      <c r="F187" s="2"/>
      <c r="G187" s="2"/>
      <c r="H187" s="3"/>
      <c r="I187" s="3"/>
      <c r="J187" s="3"/>
      <c r="K187" s="3"/>
      <c r="L187" s="3"/>
      <c r="M187" s="3"/>
      <c r="N187" s="3"/>
      <c r="O187" s="3"/>
      <c r="P187" s="3"/>
    </row>
    <row r="188" spans="1:16">
      <c r="A188" s="2"/>
      <c r="B188" s="2"/>
      <c r="C188" s="2"/>
      <c r="D188" s="2"/>
      <c r="E188" s="3"/>
      <c r="F188" s="2"/>
      <c r="G188" s="2"/>
      <c r="H188" s="3"/>
      <c r="I188" s="3"/>
      <c r="J188" s="3"/>
      <c r="K188" s="3"/>
      <c r="L188" s="3"/>
      <c r="M188" s="3"/>
      <c r="N188" s="3"/>
      <c r="O188" s="3"/>
      <c r="P188" s="3"/>
    </row>
    <row r="189" spans="1:16">
      <c r="A189" s="2"/>
      <c r="B189" s="2"/>
      <c r="C189" s="2"/>
      <c r="D189" s="2"/>
      <c r="E189" s="3"/>
      <c r="F189" s="2"/>
      <c r="G189" s="2"/>
      <c r="H189" s="3"/>
      <c r="I189" s="3"/>
      <c r="J189" s="3"/>
      <c r="K189" s="3"/>
      <c r="L189" s="3"/>
      <c r="M189" s="3"/>
      <c r="N189" s="3"/>
      <c r="O189" s="3"/>
      <c r="P189" s="3"/>
    </row>
    <row r="190" spans="1:16">
      <c r="A190" s="2"/>
      <c r="B190" s="2"/>
      <c r="C190" s="2"/>
      <c r="D190" s="2"/>
      <c r="E190" s="3"/>
      <c r="F190" s="2"/>
      <c r="G190" s="2"/>
      <c r="H190" s="3"/>
      <c r="I190" s="3"/>
      <c r="J190" s="3"/>
      <c r="K190" s="3"/>
      <c r="L190" s="3"/>
      <c r="M190" s="3"/>
      <c r="N190" s="3"/>
      <c r="O190" s="3"/>
      <c r="P190" s="3"/>
    </row>
    <row r="191" spans="1:16">
      <c r="A191" s="2"/>
      <c r="B191" s="2"/>
      <c r="C191" s="2"/>
      <c r="D191" s="2"/>
      <c r="E191" s="3"/>
      <c r="F191" s="2"/>
      <c r="G191" s="2"/>
      <c r="H191" s="3"/>
      <c r="I191" s="3"/>
      <c r="J191" s="3"/>
      <c r="K191" s="3"/>
      <c r="L191" s="3"/>
      <c r="M191" s="3"/>
      <c r="N191" s="3"/>
      <c r="O191" s="3"/>
      <c r="P191" s="3"/>
    </row>
    <row r="192" spans="1:16">
      <c r="A192" s="2"/>
      <c r="B192" s="2"/>
      <c r="C192" s="2"/>
      <c r="D192" s="2"/>
      <c r="E192" s="3"/>
      <c r="F192" s="2"/>
      <c r="G192" s="2"/>
      <c r="H192" s="3"/>
      <c r="I192" s="3"/>
      <c r="J192" s="3"/>
      <c r="K192" s="3"/>
      <c r="L192" s="3"/>
      <c r="M192" s="3"/>
      <c r="N192" s="3"/>
      <c r="O192" s="3"/>
      <c r="P192" s="3"/>
    </row>
    <row r="193" spans="1:16">
      <c r="A193" s="2"/>
      <c r="B193" s="2"/>
      <c r="C193" s="2"/>
      <c r="D193" s="2"/>
      <c r="E193" s="3"/>
      <c r="F193" s="2"/>
      <c r="G193" s="2"/>
      <c r="H193" s="3"/>
      <c r="I193" s="3"/>
      <c r="J193" s="3"/>
      <c r="K193" s="3"/>
      <c r="L193" s="3"/>
      <c r="M193" s="3"/>
      <c r="N193" s="3"/>
      <c r="O193" s="3"/>
      <c r="P193" s="3"/>
    </row>
    <row r="194" spans="1:16">
      <c r="A194" s="2"/>
      <c r="B194" s="2"/>
      <c r="C194" s="2"/>
      <c r="D194" s="2"/>
      <c r="E194" s="3"/>
      <c r="F194" s="2"/>
      <c r="G194" s="2"/>
      <c r="H194" s="3"/>
      <c r="I194" s="3"/>
      <c r="J194" s="3"/>
      <c r="K194" s="3"/>
      <c r="L194" s="3"/>
      <c r="M194" s="3"/>
      <c r="N194" s="3"/>
      <c r="O194" s="3"/>
      <c r="P194" s="3"/>
    </row>
    <row r="195" spans="1:16">
      <c r="A195" s="2"/>
      <c r="B195" s="2"/>
      <c r="C195" s="2"/>
      <c r="D195" s="2"/>
      <c r="E195" s="3"/>
      <c r="F195" s="2"/>
      <c r="G195" s="2"/>
      <c r="H195" s="3"/>
      <c r="I195" s="3"/>
      <c r="J195" s="3"/>
      <c r="K195" s="3"/>
      <c r="L195" s="3"/>
      <c r="M195" s="3"/>
      <c r="N195" s="3"/>
      <c r="O195" s="3"/>
      <c r="P195" s="3"/>
    </row>
    <row r="196" spans="1:16">
      <c r="A196" s="2"/>
      <c r="B196" s="2"/>
      <c r="C196" s="2"/>
      <c r="D196" s="2"/>
      <c r="E196" s="3"/>
      <c r="F196" s="2"/>
      <c r="G196" s="2"/>
      <c r="H196" s="3"/>
      <c r="I196" s="3"/>
      <c r="J196" s="3"/>
      <c r="K196" s="3"/>
      <c r="L196" s="3"/>
      <c r="M196" s="3"/>
      <c r="N196" s="3"/>
      <c r="O196" s="3"/>
      <c r="P196" s="3"/>
    </row>
    <row r="197" spans="1:16">
      <c r="A197" s="2"/>
      <c r="B197" s="2"/>
      <c r="C197" s="2"/>
      <c r="D197" s="2"/>
      <c r="E197" s="3"/>
      <c r="F197" s="2"/>
      <c r="G197" s="2"/>
      <c r="H197" s="3"/>
      <c r="I197" s="3"/>
      <c r="J197" s="3"/>
      <c r="K197" s="3"/>
      <c r="L197" s="3"/>
      <c r="M197" s="3"/>
      <c r="N197" s="3"/>
      <c r="O197" s="3"/>
      <c r="P197" s="3"/>
    </row>
    <row r="198" spans="1:16">
      <c r="A198" s="2"/>
      <c r="B198" s="2"/>
      <c r="C198" s="2"/>
      <c r="D198" s="2"/>
      <c r="E198" s="3"/>
      <c r="F198" s="2"/>
      <c r="G198" s="2"/>
      <c r="H198" s="3"/>
      <c r="I198" s="3"/>
      <c r="J198" s="3"/>
      <c r="K198" s="3"/>
      <c r="L198" s="3"/>
      <c r="M198" s="3"/>
      <c r="N198" s="3"/>
      <c r="O198" s="3"/>
      <c r="P198" s="3"/>
    </row>
    <row r="199" spans="1:16">
      <c r="A199" s="2"/>
      <c r="B199" s="2"/>
      <c r="C199" s="2"/>
      <c r="D199" s="2"/>
      <c r="E199" s="3"/>
      <c r="F199" s="2"/>
      <c r="G199" s="2"/>
      <c r="H199" s="3"/>
      <c r="I199" s="3"/>
      <c r="J199" s="3"/>
      <c r="K199" s="3"/>
      <c r="L199" s="3"/>
      <c r="M199" s="3"/>
      <c r="N199" s="3"/>
      <c r="O199" s="3"/>
      <c r="P199" s="3"/>
    </row>
    <row r="200" spans="1:16">
      <c r="A200" s="2"/>
      <c r="B200" s="2"/>
      <c r="C200" s="2"/>
      <c r="D200" s="2"/>
      <c r="E200" s="3"/>
      <c r="F200" s="2"/>
      <c r="G200" s="2"/>
      <c r="H200" s="3"/>
      <c r="I200" s="3"/>
      <c r="J200" s="3"/>
      <c r="K200" s="3"/>
      <c r="L200" s="3"/>
      <c r="M200" s="3"/>
      <c r="N200" s="3"/>
      <c r="O200" s="3"/>
      <c r="P200" s="3"/>
    </row>
    <row r="201" spans="1:16">
      <c r="A201" s="2"/>
      <c r="B201" s="2"/>
      <c r="C201" s="2"/>
      <c r="D201" s="2"/>
      <c r="E201" s="2"/>
      <c r="F201" s="2"/>
      <c r="G201" s="2"/>
      <c r="H201" s="3"/>
      <c r="I201" s="3"/>
      <c r="J201" s="3"/>
      <c r="K201" s="3"/>
      <c r="L201" s="3"/>
      <c r="M201" s="3"/>
      <c r="N201" s="3"/>
      <c r="O201" s="3"/>
      <c r="P201" s="3"/>
    </row>
    <row r="202" spans="1:16">
      <c r="A202" s="2"/>
      <c r="B202" s="2"/>
      <c r="C202" s="2"/>
      <c r="D202" s="2"/>
      <c r="E202" s="2"/>
      <c r="F202" s="2"/>
      <c r="G202" s="2"/>
      <c r="H202" s="3"/>
      <c r="I202" s="3"/>
      <c r="J202" s="3"/>
      <c r="K202" s="3"/>
      <c r="L202" s="3"/>
      <c r="M202" s="3"/>
      <c r="N202" s="3"/>
      <c r="O202" s="3"/>
      <c r="P202" s="3"/>
    </row>
    <row r="203" spans="1:16">
      <c r="A203" s="2"/>
      <c r="B203" s="2"/>
      <c r="C203" s="2"/>
      <c r="D203" s="2"/>
      <c r="E203" s="3"/>
      <c r="F203" s="2"/>
      <c r="G203" s="2"/>
      <c r="H203" s="3"/>
      <c r="I203" s="3"/>
      <c r="J203" s="3"/>
      <c r="K203" s="3"/>
      <c r="L203" s="3"/>
      <c r="M203" s="3"/>
      <c r="N203" s="3"/>
      <c r="O203" s="3"/>
      <c r="P203" s="3"/>
    </row>
    <row r="204" spans="1:16">
      <c r="A204" s="2"/>
      <c r="B204" s="2"/>
      <c r="C204" s="2"/>
      <c r="D204" s="2"/>
      <c r="E204" s="3"/>
      <c r="F204" s="2"/>
      <c r="G204" s="2"/>
      <c r="H204" s="3"/>
      <c r="I204" s="3"/>
      <c r="J204" s="3"/>
      <c r="K204" s="3"/>
      <c r="L204" s="3"/>
      <c r="M204" s="3"/>
      <c r="N204" s="3"/>
      <c r="O204" s="3"/>
      <c r="P204" s="3"/>
    </row>
    <row r="205" spans="1:16">
      <c r="A205" s="2"/>
      <c r="B205" s="2"/>
      <c r="C205" s="2"/>
      <c r="D205" s="2"/>
      <c r="E205" s="3"/>
      <c r="F205" s="2"/>
      <c r="G205" s="2"/>
      <c r="H205" s="3"/>
      <c r="I205" s="3"/>
      <c r="J205" s="3"/>
      <c r="K205" s="3"/>
      <c r="L205" s="3"/>
      <c r="M205" s="3"/>
      <c r="N205" s="3"/>
      <c r="O205" s="3"/>
      <c r="P205" s="3"/>
    </row>
    <row r="206" spans="1:16">
      <c r="A206" s="2"/>
      <c r="B206" s="2"/>
      <c r="C206" s="2"/>
      <c r="D206" s="2"/>
      <c r="E206" s="3"/>
      <c r="F206" s="2"/>
      <c r="G206" s="2"/>
      <c r="H206" s="3"/>
      <c r="I206" s="3"/>
      <c r="J206" s="3"/>
      <c r="K206" s="3"/>
      <c r="L206" s="3"/>
      <c r="M206" s="3"/>
      <c r="N206" s="3"/>
      <c r="O206" s="3"/>
      <c r="P206" s="3"/>
    </row>
    <row r="207" spans="1:16">
      <c r="A207" s="2"/>
      <c r="B207" s="2"/>
      <c r="C207" s="2"/>
      <c r="D207" s="2"/>
      <c r="E207" s="2"/>
      <c r="F207" s="2"/>
      <c r="G207" s="2"/>
      <c r="H207" s="3"/>
      <c r="I207" s="3"/>
      <c r="J207" s="3"/>
      <c r="K207" s="3"/>
      <c r="L207" s="3"/>
      <c r="M207" s="3"/>
      <c r="N207" s="3"/>
      <c r="O207" s="3"/>
      <c r="P207" s="3"/>
    </row>
    <row r="208" spans="1:16">
      <c r="A208" s="2"/>
      <c r="B208" s="2"/>
      <c r="C208" s="2"/>
      <c r="D208" s="2"/>
      <c r="E208" s="2"/>
      <c r="F208" s="2"/>
      <c r="G208" s="2"/>
      <c r="H208" s="3"/>
      <c r="I208" s="3"/>
      <c r="J208" s="3"/>
      <c r="K208" s="3"/>
      <c r="L208" s="3"/>
      <c r="M208" s="3"/>
      <c r="N208" s="3"/>
      <c r="O208" s="3"/>
      <c r="P208" s="3"/>
    </row>
    <row r="209" spans="1:16">
      <c r="A209" s="2"/>
      <c r="B209" s="2"/>
      <c r="C209" s="2"/>
      <c r="D209" s="2"/>
      <c r="E209" s="3"/>
      <c r="F209" s="2"/>
      <c r="G209" s="2"/>
      <c r="H209" s="3"/>
      <c r="I209" s="3"/>
      <c r="J209" s="3"/>
      <c r="K209" s="3"/>
      <c r="L209" s="3"/>
      <c r="M209" s="3"/>
      <c r="N209" s="3"/>
      <c r="O209" s="3"/>
      <c r="P209" s="3"/>
    </row>
    <row r="210" spans="1:16">
      <c r="A210" s="2"/>
      <c r="B210" s="2"/>
      <c r="C210" s="2"/>
      <c r="D210" s="2"/>
      <c r="E210" s="3"/>
      <c r="F210" s="2"/>
      <c r="G210" s="2"/>
      <c r="H210" s="3"/>
      <c r="I210" s="3"/>
      <c r="J210" s="3"/>
      <c r="K210" s="3"/>
      <c r="L210" s="3"/>
      <c r="M210" s="3"/>
      <c r="N210" s="3"/>
      <c r="O210" s="3"/>
      <c r="P210" s="3"/>
    </row>
    <row r="211" spans="1:16">
      <c r="A211" s="2"/>
      <c r="B211" s="2"/>
      <c r="C211" s="2"/>
      <c r="D211" s="2"/>
      <c r="E211" s="3"/>
      <c r="F211" s="2"/>
      <c r="G211" s="2"/>
      <c r="H211" s="3"/>
      <c r="I211" s="3"/>
      <c r="J211" s="3"/>
      <c r="K211" s="3"/>
      <c r="L211" s="3"/>
      <c r="M211" s="3"/>
      <c r="N211" s="3"/>
      <c r="O211" s="3"/>
      <c r="P211" s="3"/>
    </row>
    <row r="212" spans="1:16">
      <c r="A212" s="2"/>
      <c r="B212" s="2"/>
      <c r="C212" s="2"/>
      <c r="D212" s="2"/>
      <c r="E212" s="3"/>
      <c r="F212" s="2"/>
      <c r="G212" s="2"/>
      <c r="H212" s="3"/>
      <c r="I212" s="3"/>
      <c r="J212" s="3"/>
      <c r="K212" s="3"/>
      <c r="L212" s="3"/>
      <c r="M212" s="3"/>
      <c r="N212" s="3"/>
      <c r="O212" s="3"/>
      <c r="P212" s="3"/>
    </row>
    <row r="213" spans="1:16">
      <c r="A213" s="2"/>
      <c r="B213" s="2"/>
      <c r="C213" s="2"/>
      <c r="D213" s="2"/>
      <c r="E213" s="3"/>
      <c r="F213" s="2"/>
      <c r="G213" s="2"/>
      <c r="H213" s="3"/>
      <c r="I213" s="3"/>
      <c r="J213" s="3"/>
      <c r="K213" s="3"/>
      <c r="L213" s="3"/>
      <c r="M213" s="3"/>
      <c r="N213" s="3"/>
      <c r="O213" s="3"/>
      <c r="P213" s="3"/>
    </row>
    <row r="214" spans="1:16">
      <c r="A214" s="2"/>
      <c r="B214" s="2"/>
      <c r="C214" s="2"/>
      <c r="D214" s="2"/>
      <c r="E214" s="3"/>
      <c r="F214" s="2"/>
      <c r="G214" s="2"/>
      <c r="H214" s="3"/>
      <c r="I214" s="3"/>
      <c r="J214" s="3"/>
      <c r="K214" s="3"/>
      <c r="L214" s="3"/>
      <c r="M214" s="3"/>
      <c r="N214" s="3"/>
      <c r="O214" s="3"/>
      <c r="P214" s="3"/>
    </row>
    <row r="215" spans="1:16">
      <c r="A215" s="2"/>
      <c r="B215" s="2"/>
      <c r="C215" s="2"/>
      <c r="D215" s="2"/>
      <c r="E215" s="3"/>
      <c r="F215" s="2"/>
      <c r="G215" s="2"/>
      <c r="H215" s="3"/>
      <c r="I215" s="3"/>
      <c r="J215" s="3"/>
      <c r="K215" s="3"/>
      <c r="L215" s="3"/>
      <c r="M215" s="3"/>
      <c r="N215" s="3"/>
      <c r="O215" s="3"/>
      <c r="P215" s="3"/>
    </row>
    <row r="216" spans="1:16">
      <c r="A216" s="2"/>
      <c r="B216" s="2"/>
      <c r="C216" s="2"/>
      <c r="D216" s="2"/>
      <c r="E216" s="3"/>
      <c r="F216" s="2"/>
      <c r="G216" s="2"/>
      <c r="H216" s="3"/>
      <c r="I216" s="3"/>
      <c r="J216" s="3"/>
      <c r="K216" s="3"/>
      <c r="L216" s="3"/>
      <c r="M216" s="3"/>
      <c r="N216" s="3"/>
      <c r="O216" s="3"/>
      <c r="P216" s="3"/>
    </row>
    <row r="217" spans="1:16">
      <c r="A217" s="2"/>
      <c r="B217" s="2"/>
      <c r="C217" s="2"/>
      <c r="D217" s="2"/>
      <c r="E217" s="3"/>
      <c r="F217" s="2"/>
      <c r="G217" s="2"/>
      <c r="H217" s="3"/>
      <c r="I217" s="3"/>
      <c r="J217" s="3"/>
      <c r="K217" s="3"/>
      <c r="L217" s="3"/>
      <c r="M217" s="3"/>
      <c r="N217" s="3"/>
      <c r="O217" s="3"/>
      <c r="P217" s="3"/>
    </row>
    <row r="218" spans="1:16">
      <c r="A218" s="2"/>
      <c r="B218" s="2"/>
      <c r="C218" s="2"/>
      <c r="D218" s="2"/>
      <c r="E218" s="3"/>
      <c r="F218" s="2"/>
      <c r="G218" s="2"/>
      <c r="H218" s="3"/>
      <c r="I218" s="3"/>
      <c r="J218" s="3"/>
      <c r="K218" s="3"/>
      <c r="L218" s="3"/>
      <c r="M218" s="3"/>
      <c r="N218" s="3"/>
      <c r="O218" s="3"/>
      <c r="P218" s="3"/>
    </row>
    <row r="219" spans="1:16">
      <c r="A219" s="2"/>
      <c r="B219" s="2"/>
      <c r="C219" s="2"/>
      <c r="D219" s="2"/>
      <c r="E219" s="3"/>
      <c r="F219" s="2"/>
      <c r="G219" s="2"/>
      <c r="H219" s="3"/>
      <c r="I219" s="3"/>
      <c r="J219" s="3"/>
      <c r="K219" s="3"/>
      <c r="L219" s="3"/>
      <c r="M219" s="3"/>
      <c r="N219" s="3"/>
      <c r="O219" s="3"/>
      <c r="P219" s="3"/>
    </row>
    <row r="220" spans="1:16">
      <c r="A220" s="2"/>
      <c r="B220" s="2"/>
      <c r="C220" s="2"/>
      <c r="D220" s="2"/>
      <c r="E220" s="3"/>
      <c r="F220" s="2"/>
      <c r="G220" s="2"/>
      <c r="H220" s="3"/>
      <c r="I220" s="3"/>
      <c r="J220" s="3"/>
      <c r="K220" s="3"/>
      <c r="L220" s="3"/>
      <c r="M220" s="3"/>
      <c r="N220" s="3"/>
      <c r="O220" s="3"/>
      <c r="P220" s="3"/>
    </row>
    <row r="221" spans="1:16">
      <c r="A221" s="2"/>
      <c r="B221" s="2"/>
      <c r="C221" s="2"/>
      <c r="D221" s="2"/>
      <c r="E221" s="3"/>
      <c r="F221" s="2"/>
      <c r="G221" s="2"/>
      <c r="H221" s="3"/>
      <c r="I221" s="3"/>
      <c r="J221" s="3"/>
      <c r="K221" s="3"/>
      <c r="L221" s="3"/>
      <c r="M221" s="3"/>
      <c r="N221" s="3"/>
      <c r="O221" s="3"/>
      <c r="P221" s="3"/>
    </row>
    <row r="222" spans="1:16">
      <c r="A222" s="2"/>
      <c r="B222" s="2"/>
      <c r="C222" s="2"/>
      <c r="D222" s="2"/>
      <c r="E222" s="3"/>
      <c r="F222" s="2"/>
      <c r="G222" s="2"/>
      <c r="H222" s="3"/>
      <c r="I222" s="3"/>
      <c r="J222" s="3"/>
      <c r="K222" s="3"/>
      <c r="L222" s="3"/>
      <c r="M222" s="3"/>
      <c r="N222" s="3"/>
      <c r="O222" s="3"/>
      <c r="P222" s="3"/>
    </row>
    <row r="223" spans="1:16">
      <c r="A223" s="2"/>
      <c r="B223" s="2"/>
      <c r="C223" s="2"/>
      <c r="D223" s="2"/>
      <c r="E223" s="3"/>
      <c r="F223" s="2"/>
      <c r="G223" s="2"/>
      <c r="H223" s="3"/>
      <c r="I223" s="3"/>
      <c r="J223" s="3"/>
      <c r="K223" s="3"/>
      <c r="L223" s="3"/>
      <c r="M223" s="3"/>
      <c r="N223" s="3"/>
      <c r="O223" s="3"/>
      <c r="P223" s="3"/>
    </row>
    <row r="224" spans="1:16">
      <c r="A224" s="2"/>
      <c r="B224" s="2"/>
      <c r="C224" s="2"/>
      <c r="D224" s="2"/>
      <c r="E224" s="3"/>
      <c r="F224" s="2"/>
      <c r="G224" s="2"/>
      <c r="H224" s="3"/>
      <c r="I224" s="3"/>
      <c r="J224" s="3"/>
      <c r="K224" s="3"/>
      <c r="L224" s="3"/>
      <c r="M224" s="3"/>
      <c r="N224" s="3"/>
      <c r="O224" s="3"/>
      <c r="P224" s="3"/>
    </row>
    <row r="225" spans="1:16">
      <c r="A225" s="2"/>
      <c r="B225" s="2"/>
      <c r="C225" s="2"/>
      <c r="D225" s="2"/>
      <c r="E225" s="3"/>
      <c r="F225" s="2"/>
      <c r="G225" s="2"/>
      <c r="H225" s="3"/>
      <c r="I225" s="3"/>
      <c r="J225" s="3"/>
      <c r="K225" s="3"/>
      <c r="L225" s="3"/>
      <c r="M225" s="3"/>
      <c r="N225" s="3"/>
      <c r="O225" s="3"/>
      <c r="P225" s="3"/>
    </row>
    <row r="226" spans="1:16">
      <c r="A226" s="2"/>
      <c r="B226" s="2"/>
      <c r="C226" s="2"/>
      <c r="D226" s="2"/>
      <c r="E226" s="3"/>
      <c r="F226" s="2"/>
      <c r="G226" s="2"/>
      <c r="H226" s="3"/>
      <c r="I226" s="3"/>
      <c r="J226" s="3"/>
      <c r="K226" s="3"/>
      <c r="L226" s="3"/>
      <c r="M226" s="3"/>
      <c r="N226" s="3"/>
      <c r="O226" s="3"/>
      <c r="P226" s="3"/>
    </row>
    <row r="227" spans="1:16">
      <c r="A227" s="2"/>
      <c r="B227" s="2"/>
      <c r="C227" s="2"/>
      <c r="D227" s="2"/>
      <c r="E227" s="3"/>
      <c r="F227" s="2"/>
      <c r="G227" s="2"/>
      <c r="H227" s="3"/>
      <c r="I227" s="3"/>
      <c r="J227" s="3"/>
      <c r="K227" s="3"/>
      <c r="L227" s="3"/>
      <c r="M227" s="3"/>
      <c r="N227" s="3"/>
      <c r="O227" s="3"/>
      <c r="P227" s="3"/>
    </row>
    <row r="228" spans="1:16">
      <c r="A228" s="2"/>
      <c r="B228" s="2"/>
      <c r="C228" s="2"/>
      <c r="D228" s="2"/>
      <c r="E228" s="3"/>
      <c r="F228" s="2"/>
      <c r="G228" s="2"/>
      <c r="H228" s="3"/>
      <c r="I228" s="3"/>
      <c r="J228" s="3"/>
      <c r="K228" s="3"/>
      <c r="L228" s="3"/>
      <c r="M228" s="3"/>
      <c r="N228" s="3"/>
      <c r="O228" s="3"/>
      <c r="P228" s="3"/>
    </row>
    <row r="229" spans="1:16">
      <c r="A229" s="2"/>
      <c r="B229" s="2"/>
      <c r="C229" s="2"/>
      <c r="D229" s="2"/>
      <c r="E229" s="3"/>
      <c r="F229" s="2"/>
      <c r="G229" s="2"/>
      <c r="H229" s="3"/>
      <c r="I229" s="3"/>
      <c r="J229" s="3"/>
      <c r="K229" s="3"/>
      <c r="L229" s="3"/>
      <c r="M229" s="3"/>
      <c r="N229" s="3"/>
      <c r="O229" s="3"/>
      <c r="P229" s="3"/>
    </row>
    <row r="230" spans="1:16">
      <c r="A230" s="2"/>
      <c r="B230" s="2"/>
      <c r="C230" s="2"/>
      <c r="D230" s="2"/>
      <c r="E230" s="3"/>
      <c r="F230" s="2"/>
      <c r="G230" s="2"/>
      <c r="H230" s="3"/>
      <c r="I230" s="3"/>
      <c r="J230" s="3"/>
      <c r="K230" s="3"/>
      <c r="L230" s="3"/>
      <c r="M230" s="3"/>
      <c r="N230" s="3"/>
      <c r="O230" s="3"/>
      <c r="P230" s="3"/>
    </row>
    <row r="231" spans="1:16">
      <c r="A231" s="2"/>
      <c r="B231" s="2"/>
      <c r="C231" s="2"/>
      <c r="D231" s="2"/>
      <c r="E231" s="3"/>
      <c r="F231" s="2"/>
      <c r="G231" s="2"/>
      <c r="H231" s="3"/>
      <c r="I231" s="3"/>
      <c r="J231" s="3"/>
      <c r="K231" s="3"/>
      <c r="L231" s="3"/>
      <c r="M231" s="3"/>
      <c r="N231" s="3"/>
      <c r="O231" s="3"/>
      <c r="P231" s="3"/>
    </row>
    <row r="232" spans="1:16">
      <c r="A232" s="2"/>
      <c r="B232" s="2"/>
      <c r="C232" s="2"/>
      <c r="D232" s="2"/>
      <c r="E232" s="3"/>
      <c r="F232" s="2"/>
      <c r="G232" s="2"/>
      <c r="H232" s="3"/>
      <c r="I232" s="3"/>
      <c r="J232" s="3"/>
      <c r="K232" s="3"/>
      <c r="L232" s="3"/>
      <c r="M232" s="3"/>
      <c r="N232" s="3"/>
      <c r="O232" s="3"/>
      <c r="P232" s="3"/>
    </row>
    <row r="233" spans="1:16">
      <c r="A233" s="2"/>
      <c r="B233" s="2"/>
      <c r="C233" s="2"/>
      <c r="D233" s="2"/>
      <c r="E233" s="3"/>
      <c r="F233" s="2"/>
      <c r="G233" s="2"/>
      <c r="H233" s="3"/>
      <c r="I233" s="3"/>
      <c r="J233" s="3"/>
      <c r="K233" s="3"/>
      <c r="L233" s="3"/>
      <c r="M233" s="3"/>
      <c r="N233" s="3"/>
      <c r="O233" s="3"/>
      <c r="P233" s="3"/>
    </row>
    <row r="234" spans="1:16">
      <c r="A234" s="2"/>
      <c r="B234" s="2"/>
      <c r="C234" s="2"/>
      <c r="D234" s="2"/>
      <c r="E234" s="3"/>
      <c r="F234" s="2"/>
      <c r="G234" s="2"/>
      <c r="H234" s="3"/>
      <c r="I234" s="3"/>
      <c r="J234" s="3"/>
      <c r="K234" s="3"/>
      <c r="L234" s="3"/>
      <c r="M234" s="3"/>
      <c r="N234" s="3"/>
      <c r="O234" s="3"/>
      <c r="P234" s="3"/>
    </row>
    <row r="235" spans="1:16">
      <c r="A235" s="2"/>
      <c r="B235" s="2"/>
      <c r="C235" s="2"/>
      <c r="D235" s="2"/>
      <c r="E235" s="3"/>
      <c r="F235" s="2"/>
      <c r="G235" s="2"/>
      <c r="H235" s="3"/>
      <c r="I235" s="3"/>
      <c r="J235" s="3"/>
      <c r="K235" s="3"/>
      <c r="L235" s="3"/>
      <c r="M235" s="3"/>
      <c r="N235" s="3"/>
      <c r="O235" s="3"/>
      <c r="P235" s="3"/>
    </row>
    <row r="236" spans="1:16">
      <c r="A236" s="2"/>
      <c r="B236" s="2"/>
      <c r="C236" s="2"/>
      <c r="D236" s="2"/>
      <c r="E236" s="3"/>
      <c r="F236" s="2"/>
      <c r="G236" s="2"/>
      <c r="H236" s="3"/>
      <c r="I236" s="3"/>
      <c r="J236" s="3"/>
      <c r="K236" s="3"/>
      <c r="L236" s="3"/>
      <c r="M236" s="3"/>
      <c r="N236" s="3"/>
      <c r="O236" s="3"/>
      <c r="P236" s="3"/>
    </row>
    <row r="237" spans="1:16">
      <c r="A237" s="2"/>
      <c r="B237" s="2"/>
      <c r="C237" s="2"/>
      <c r="D237" s="2"/>
      <c r="E237" s="3"/>
      <c r="F237" s="2"/>
      <c r="G237" s="2"/>
      <c r="H237" s="3"/>
      <c r="I237" s="3"/>
      <c r="J237" s="3"/>
      <c r="K237" s="3"/>
      <c r="L237" s="3"/>
      <c r="M237" s="3"/>
      <c r="N237" s="3"/>
      <c r="O237" s="3"/>
      <c r="P237" s="3"/>
    </row>
    <row r="238" spans="1:16">
      <c r="A238" s="2"/>
      <c r="B238" s="2"/>
      <c r="C238" s="2"/>
      <c r="D238" s="2"/>
      <c r="E238" s="3"/>
      <c r="F238" s="2"/>
      <c r="G238" s="2"/>
      <c r="H238" s="3"/>
      <c r="I238" s="3"/>
      <c r="J238" s="3"/>
      <c r="K238" s="3"/>
      <c r="L238" s="3"/>
      <c r="M238" s="3"/>
      <c r="N238" s="3"/>
      <c r="O238" s="3"/>
      <c r="P238" s="3"/>
    </row>
    <row r="239" spans="1:16">
      <c r="A239" s="2"/>
      <c r="B239" s="2"/>
      <c r="C239" s="2"/>
      <c r="D239" s="2"/>
      <c r="E239" s="3"/>
      <c r="F239" s="2"/>
      <c r="G239" s="2"/>
      <c r="H239" s="3"/>
      <c r="I239" s="3"/>
      <c r="J239" s="3"/>
      <c r="K239" s="3"/>
      <c r="L239" s="3"/>
      <c r="M239" s="3"/>
      <c r="N239" s="3"/>
      <c r="O239" s="3"/>
      <c r="P239" s="3"/>
    </row>
    <row r="240" spans="1:16">
      <c r="A240" s="2"/>
      <c r="B240" s="2"/>
      <c r="C240" s="2"/>
      <c r="D240" s="2"/>
      <c r="E240" s="3"/>
      <c r="F240" s="2"/>
      <c r="G240" s="2"/>
      <c r="H240" s="3"/>
      <c r="I240" s="3"/>
      <c r="J240" s="3"/>
      <c r="K240" s="3"/>
      <c r="L240" s="3"/>
      <c r="M240" s="3"/>
      <c r="N240" s="3"/>
      <c r="O240" s="3"/>
      <c r="P240" s="3"/>
    </row>
    <row r="241" spans="1:16">
      <c r="A241" s="2"/>
      <c r="B241" s="2"/>
      <c r="C241" s="2"/>
      <c r="D241" s="2"/>
      <c r="E241" s="3"/>
      <c r="F241" s="2"/>
      <c r="G241" s="2"/>
      <c r="H241" s="3"/>
      <c r="I241" s="3"/>
      <c r="J241" s="3"/>
      <c r="K241" s="3"/>
      <c r="L241" s="3"/>
      <c r="M241" s="3"/>
      <c r="N241" s="3"/>
      <c r="O241" s="3"/>
      <c r="P241" s="3"/>
    </row>
    <row r="242" spans="1:16">
      <c r="A242" s="2"/>
      <c r="B242" s="2"/>
      <c r="C242" s="2"/>
      <c r="D242" s="2"/>
      <c r="E242" s="3"/>
      <c r="F242" s="2"/>
      <c r="G242" s="2"/>
      <c r="H242" s="3"/>
      <c r="I242" s="3"/>
      <c r="J242" s="3"/>
      <c r="K242" s="3"/>
      <c r="L242" s="3"/>
      <c r="M242" s="3"/>
      <c r="N242" s="3"/>
      <c r="O242" s="3"/>
      <c r="P242" s="3"/>
    </row>
    <row r="243" spans="1:16">
      <c r="A243" s="2"/>
      <c r="B243" s="2"/>
      <c r="C243" s="2"/>
      <c r="D243" s="2"/>
      <c r="E243" s="3"/>
      <c r="F243" s="2"/>
      <c r="G243" s="2"/>
      <c r="H243" s="3"/>
      <c r="I243" s="3"/>
      <c r="J243" s="3"/>
      <c r="K243" s="3"/>
      <c r="L243" s="3"/>
      <c r="M243" s="3"/>
      <c r="N243" s="3"/>
      <c r="O243" s="3"/>
      <c r="P243" s="3"/>
    </row>
    <row r="244" spans="1:16">
      <c r="A244" s="2"/>
      <c r="B244" s="2"/>
      <c r="C244" s="2"/>
      <c r="D244" s="2"/>
      <c r="E244" s="3"/>
      <c r="F244" s="2"/>
      <c r="G244" s="2"/>
      <c r="H244" s="3"/>
      <c r="I244" s="3"/>
      <c r="J244" s="3"/>
      <c r="K244" s="3"/>
      <c r="L244" s="3"/>
      <c r="M244" s="3"/>
      <c r="N244" s="3"/>
      <c r="O244" s="3"/>
      <c r="P244" s="3"/>
    </row>
    <row r="245" spans="1:16">
      <c r="A245" s="2"/>
      <c r="B245" s="2"/>
      <c r="C245" s="2"/>
      <c r="D245" s="2"/>
      <c r="E245" s="3"/>
      <c r="F245" s="2"/>
      <c r="G245" s="2"/>
      <c r="H245" s="3"/>
      <c r="I245" s="3"/>
      <c r="J245" s="3"/>
      <c r="K245" s="3"/>
      <c r="L245" s="3"/>
      <c r="M245" s="3"/>
      <c r="N245" s="3"/>
      <c r="O245" s="3"/>
      <c r="P245" s="3"/>
    </row>
    <row r="246" spans="1:16">
      <c r="A246" s="2"/>
      <c r="B246" s="2"/>
      <c r="C246" s="2"/>
      <c r="D246" s="2"/>
      <c r="E246" s="3"/>
      <c r="F246" s="2"/>
      <c r="G246" s="2"/>
      <c r="H246" s="3"/>
      <c r="I246" s="3"/>
      <c r="J246" s="3"/>
      <c r="K246" s="3"/>
      <c r="L246" s="3"/>
      <c r="M246" s="3"/>
      <c r="N246" s="3"/>
      <c r="O246" s="3"/>
      <c r="P246" s="3"/>
    </row>
    <row r="247" spans="1:16">
      <c r="A247" s="2"/>
      <c r="B247" s="2"/>
      <c r="C247" s="2"/>
      <c r="D247" s="2"/>
      <c r="E247" s="3"/>
      <c r="F247" s="2"/>
      <c r="G247" s="2"/>
      <c r="H247" s="3"/>
      <c r="I247" s="3"/>
      <c r="J247" s="3"/>
      <c r="K247" s="3"/>
      <c r="L247" s="3"/>
      <c r="M247" s="3"/>
      <c r="N247" s="3"/>
      <c r="O247" s="3"/>
      <c r="P247" s="3"/>
    </row>
    <row r="248" spans="1:16">
      <c r="A248" s="2"/>
      <c r="B248" s="2"/>
      <c r="C248" s="2"/>
      <c r="D248" s="2"/>
      <c r="E248" s="3"/>
      <c r="F248" s="2"/>
      <c r="G248" s="2"/>
      <c r="H248" s="3"/>
      <c r="I248" s="3"/>
      <c r="J248" s="3"/>
      <c r="K248" s="3"/>
      <c r="L248" s="3"/>
      <c r="M248" s="3"/>
      <c r="N248" s="3"/>
      <c r="O248" s="3"/>
      <c r="P248" s="3"/>
    </row>
    <row r="249" spans="1:16">
      <c r="A249" s="2"/>
      <c r="B249" s="2"/>
      <c r="C249" s="2"/>
      <c r="D249" s="2"/>
      <c r="E249" s="3"/>
      <c r="F249" s="2"/>
      <c r="G249" s="2"/>
      <c r="H249" s="3"/>
      <c r="I249" s="3"/>
      <c r="J249" s="3"/>
      <c r="K249" s="3"/>
      <c r="L249" s="3"/>
      <c r="M249" s="3"/>
      <c r="N249" s="3"/>
      <c r="O249" s="3"/>
      <c r="P249" s="3"/>
    </row>
    <row r="250" spans="1:16">
      <c r="A250" s="2"/>
      <c r="B250" s="2"/>
      <c r="C250" s="2"/>
      <c r="D250" s="2"/>
      <c r="E250" s="3"/>
      <c r="F250" s="2"/>
      <c r="G250" s="2"/>
      <c r="H250" s="3"/>
      <c r="I250" s="3"/>
      <c r="J250" s="3"/>
      <c r="K250" s="3"/>
      <c r="L250" s="3"/>
      <c r="M250" s="3"/>
      <c r="N250" s="3"/>
      <c r="O250" s="3"/>
      <c r="P250" s="3"/>
    </row>
    <row r="251" spans="1:16">
      <c r="A251" s="2"/>
      <c r="B251" s="2"/>
      <c r="C251" s="2"/>
      <c r="D251" s="2"/>
      <c r="E251" s="3"/>
      <c r="F251" s="2"/>
      <c r="G251" s="2"/>
      <c r="H251" s="3"/>
      <c r="I251" s="3"/>
      <c r="J251" s="3"/>
      <c r="K251" s="3"/>
      <c r="L251" s="3"/>
      <c r="M251" s="3"/>
      <c r="N251" s="3"/>
      <c r="O251" s="3"/>
      <c r="P251" s="3"/>
    </row>
    <row r="252" spans="1:16">
      <c r="A252" s="2"/>
      <c r="B252" s="2"/>
      <c r="C252" s="2"/>
      <c r="D252" s="2"/>
      <c r="E252" s="3"/>
      <c r="F252" s="2"/>
      <c r="G252" s="2"/>
      <c r="H252" s="3"/>
      <c r="I252" s="3"/>
      <c r="J252" s="3"/>
      <c r="K252" s="3"/>
      <c r="L252" s="3"/>
      <c r="M252" s="3"/>
      <c r="N252" s="3"/>
      <c r="O252" s="3"/>
      <c r="P252" s="3"/>
    </row>
    <row r="253" spans="1:16">
      <c r="A253" s="2"/>
      <c r="B253" s="2"/>
      <c r="C253" s="2"/>
      <c r="D253" s="2"/>
      <c r="E253" s="3"/>
      <c r="F253" s="2"/>
      <c r="G253" s="2"/>
      <c r="H253" s="3"/>
      <c r="I253" s="3"/>
      <c r="J253" s="3"/>
      <c r="K253" s="3"/>
      <c r="L253" s="3"/>
      <c r="M253" s="3"/>
      <c r="N253" s="3"/>
      <c r="O253" s="3"/>
      <c r="P253" s="3"/>
    </row>
    <row r="254" spans="1:16">
      <c r="A254" s="2"/>
      <c r="B254" s="2"/>
      <c r="C254" s="2"/>
      <c r="D254" s="2"/>
      <c r="E254" s="3"/>
      <c r="F254" s="2"/>
      <c r="G254" s="2"/>
      <c r="H254" s="3"/>
      <c r="I254" s="3"/>
      <c r="J254" s="3"/>
      <c r="K254" s="3"/>
      <c r="L254" s="3"/>
      <c r="M254" s="3"/>
      <c r="N254" s="3"/>
      <c r="O254" s="3"/>
      <c r="P254" s="3"/>
    </row>
    <row r="255" spans="1:16">
      <c r="A255" s="2"/>
      <c r="B255" s="2"/>
      <c r="C255" s="2"/>
      <c r="D255" s="2"/>
      <c r="E255" s="3"/>
      <c r="F255" s="2"/>
      <c r="G255" s="2"/>
      <c r="H255" s="3"/>
      <c r="I255" s="3"/>
      <c r="J255" s="3"/>
      <c r="K255" s="3"/>
      <c r="L255" s="3"/>
      <c r="M255" s="3"/>
      <c r="N255" s="3"/>
      <c r="O255" s="3"/>
      <c r="P255" s="3"/>
    </row>
    <row r="256" spans="1:16">
      <c r="A256" s="2"/>
      <c r="B256" s="2"/>
      <c r="C256" s="2"/>
      <c r="D256" s="2"/>
      <c r="E256" s="3"/>
      <c r="F256" s="2"/>
      <c r="G256" s="2"/>
      <c r="H256" s="3"/>
      <c r="I256" s="3"/>
      <c r="J256" s="3"/>
      <c r="K256" s="3"/>
      <c r="L256" s="3"/>
      <c r="M256" s="3"/>
      <c r="N256" s="3"/>
      <c r="O256" s="3"/>
      <c r="P256" s="3"/>
    </row>
    <row r="257" spans="1:16">
      <c r="A257" s="2"/>
      <c r="B257" s="2"/>
      <c r="C257" s="2"/>
      <c r="D257" s="2"/>
      <c r="E257" s="3"/>
      <c r="F257" s="2"/>
      <c r="G257" s="2"/>
      <c r="H257" s="3"/>
      <c r="I257" s="3"/>
      <c r="J257" s="3"/>
      <c r="K257" s="3"/>
      <c r="L257" s="3"/>
      <c r="M257" s="3"/>
      <c r="N257" s="3"/>
      <c r="O257" s="3"/>
      <c r="P257" s="3"/>
    </row>
    <row r="258" spans="1:16">
      <c r="A258" s="2"/>
      <c r="B258" s="2"/>
      <c r="C258" s="2"/>
      <c r="D258" s="2"/>
      <c r="E258" s="3"/>
      <c r="F258" s="2"/>
      <c r="G258" s="2"/>
      <c r="H258" s="3"/>
      <c r="I258" s="3"/>
      <c r="J258" s="3"/>
      <c r="K258" s="3"/>
      <c r="L258" s="3"/>
      <c r="M258" s="3"/>
      <c r="N258" s="3"/>
      <c r="O258" s="3"/>
      <c r="P258" s="3"/>
    </row>
    <row r="259" spans="1:16">
      <c r="A259" s="2"/>
      <c r="B259" s="2"/>
      <c r="C259" s="2"/>
      <c r="D259" s="2"/>
      <c r="E259" s="3"/>
      <c r="F259" s="2"/>
      <c r="G259" s="2"/>
      <c r="H259" s="3"/>
      <c r="I259" s="3"/>
      <c r="J259" s="3"/>
      <c r="K259" s="3"/>
      <c r="L259" s="3"/>
      <c r="M259" s="3"/>
      <c r="N259" s="3"/>
      <c r="O259" s="3"/>
      <c r="P259" s="3"/>
    </row>
    <row r="260" spans="1:16">
      <c r="A260" s="2"/>
      <c r="B260" s="2"/>
      <c r="C260" s="2"/>
      <c r="D260" s="2"/>
      <c r="E260" s="3"/>
      <c r="F260" s="2"/>
      <c r="G260" s="2"/>
      <c r="H260" s="3"/>
      <c r="I260" s="3"/>
      <c r="J260" s="3"/>
      <c r="K260" s="3"/>
      <c r="L260" s="3"/>
      <c r="M260" s="3"/>
      <c r="N260" s="3"/>
      <c r="O260" s="3"/>
      <c r="P260" s="3"/>
    </row>
    <row r="261" spans="1:16">
      <c r="A261" s="2"/>
      <c r="B261" s="2"/>
      <c r="C261" s="2"/>
      <c r="D261" s="2"/>
      <c r="E261" s="3"/>
      <c r="F261" s="2"/>
      <c r="G261" s="2"/>
      <c r="H261" s="3"/>
      <c r="I261" s="3"/>
      <c r="J261" s="3"/>
      <c r="K261" s="3"/>
      <c r="L261" s="3"/>
      <c r="M261" s="3"/>
      <c r="N261" s="3"/>
      <c r="O261" s="3"/>
      <c r="P261" s="3"/>
    </row>
    <row r="262" spans="1:16">
      <c r="A262" s="2"/>
      <c r="B262" s="2"/>
      <c r="C262" s="2"/>
      <c r="D262" s="2"/>
      <c r="E262" s="3"/>
      <c r="F262" s="2"/>
      <c r="G262" s="2"/>
      <c r="H262" s="3"/>
      <c r="I262" s="3"/>
      <c r="J262" s="3"/>
      <c r="K262" s="3"/>
      <c r="L262" s="3"/>
      <c r="M262" s="3"/>
      <c r="N262" s="3"/>
      <c r="O262" s="3"/>
      <c r="P262" s="3"/>
    </row>
    <row r="263" spans="1:16">
      <c r="A263" s="2"/>
      <c r="B263" s="2"/>
      <c r="C263" s="2"/>
      <c r="D263" s="2"/>
      <c r="E263" s="3"/>
      <c r="F263" s="2"/>
      <c r="G263" s="2"/>
      <c r="H263" s="3"/>
      <c r="I263" s="3"/>
      <c r="J263" s="3"/>
      <c r="K263" s="3"/>
      <c r="L263" s="3"/>
      <c r="M263" s="3"/>
      <c r="N263" s="3"/>
      <c r="O263" s="3"/>
      <c r="P263" s="3"/>
    </row>
    <row r="264" spans="1:16">
      <c r="A264" s="2"/>
      <c r="B264" s="2"/>
      <c r="C264" s="2"/>
      <c r="D264" s="2"/>
      <c r="E264" s="3"/>
      <c r="F264" s="2"/>
      <c r="G264" s="2"/>
      <c r="H264" s="3"/>
      <c r="I264" s="3"/>
      <c r="J264" s="3"/>
      <c r="K264" s="3"/>
      <c r="L264" s="3"/>
      <c r="M264" s="3"/>
      <c r="N264" s="3"/>
      <c r="O264" s="3"/>
      <c r="P264" s="3"/>
    </row>
    <row r="265" spans="1:16">
      <c r="A265" s="2"/>
      <c r="B265" s="2"/>
      <c r="C265" s="2"/>
      <c r="D265" s="2"/>
      <c r="E265" s="3"/>
      <c r="F265" s="2"/>
      <c r="G265" s="2"/>
      <c r="H265" s="3"/>
      <c r="I265" s="3"/>
      <c r="J265" s="3"/>
      <c r="K265" s="3"/>
      <c r="L265" s="3"/>
      <c r="M265" s="3"/>
      <c r="N265" s="3"/>
      <c r="O265" s="3"/>
      <c r="P265" s="3"/>
    </row>
    <row r="266" spans="1:16">
      <c r="A266" s="2"/>
      <c r="B266" s="2"/>
      <c r="C266" s="2"/>
      <c r="D266" s="2"/>
      <c r="E266" s="3"/>
      <c r="F266" s="2"/>
      <c r="G266" s="2"/>
      <c r="H266" s="3"/>
      <c r="I266" s="3"/>
      <c r="J266" s="3"/>
      <c r="K266" s="3"/>
      <c r="L266" s="3"/>
      <c r="M266" s="3"/>
      <c r="N266" s="3"/>
      <c r="O266" s="3"/>
      <c r="P266" s="3"/>
    </row>
    <row r="267" spans="1:16">
      <c r="A267" s="2"/>
      <c r="B267" s="2"/>
      <c r="C267" s="2"/>
      <c r="D267" s="2"/>
      <c r="E267" s="3"/>
      <c r="F267" s="2"/>
      <c r="G267" s="2"/>
      <c r="H267" s="3"/>
      <c r="I267" s="3"/>
      <c r="J267" s="3"/>
      <c r="K267" s="3"/>
      <c r="L267" s="3"/>
      <c r="M267" s="3"/>
      <c r="N267" s="3"/>
      <c r="O267" s="3"/>
      <c r="P267" s="3"/>
    </row>
    <row r="268" spans="1:16">
      <c r="A268" s="2"/>
      <c r="B268" s="2"/>
      <c r="C268" s="2"/>
      <c r="D268" s="2"/>
      <c r="E268" s="3"/>
      <c r="F268" s="2"/>
      <c r="G268" s="2"/>
      <c r="H268" s="3"/>
      <c r="I268" s="3"/>
      <c r="J268" s="3"/>
      <c r="K268" s="3"/>
      <c r="L268" s="3"/>
      <c r="M268" s="3"/>
      <c r="N268" s="3"/>
      <c r="O268" s="3"/>
      <c r="P268" s="3"/>
    </row>
    <row r="269" spans="1:16">
      <c r="A269" s="2"/>
      <c r="B269" s="2"/>
      <c r="C269" s="2"/>
      <c r="D269" s="2"/>
      <c r="E269" s="3"/>
      <c r="F269" s="2"/>
      <c r="G269" s="2"/>
      <c r="H269" s="3"/>
      <c r="I269" s="3"/>
      <c r="J269" s="3"/>
      <c r="K269" s="3"/>
      <c r="L269" s="3"/>
      <c r="M269" s="3"/>
      <c r="N269" s="3"/>
      <c r="O269" s="3"/>
      <c r="P269" s="3"/>
    </row>
    <row r="270" spans="1:16" ht="15.75" customHeight="1">
      <c r="A270" s="162"/>
      <c r="B270" s="154"/>
      <c r="C270" s="154"/>
      <c r="D270" s="154"/>
      <c r="E270" s="3"/>
      <c r="F270" s="3"/>
      <c r="G270" s="3"/>
      <c r="H270" s="3"/>
      <c r="I270" s="3"/>
      <c r="J270" s="3"/>
      <c r="K270" s="3"/>
      <c r="L270" s="3"/>
      <c r="M270" s="3"/>
      <c r="N270" s="3"/>
      <c r="O270" s="3"/>
      <c r="P270" s="3"/>
    </row>
    <row r="271" spans="1:16" ht="15.75" customHeight="1">
      <c r="A271" s="11"/>
      <c r="B271" s="11"/>
      <c r="C271" s="11"/>
      <c r="D271" s="11"/>
      <c r="E271" s="3"/>
      <c r="F271" s="3"/>
      <c r="G271" s="3"/>
      <c r="H271" s="3"/>
      <c r="I271" s="3"/>
      <c r="J271" s="3"/>
      <c r="K271" s="3"/>
      <c r="L271" s="3"/>
      <c r="M271" s="3"/>
      <c r="N271" s="3"/>
      <c r="O271" s="3"/>
      <c r="P271" s="3"/>
    </row>
    <row r="272" spans="1:16" ht="15.75" customHeight="1">
      <c r="A272" s="16"/>
      <c r="I272" s="3"/>
      <c r="J272" s="3"/>
      <c r="K272" s="3"/>
      <c r="L272" s="3"/>
      <c r="M272" s="3"/>
      <c r="N272" s="3"/>
      <c r="O272" s="3"/>
      <c r="P272" s="3"/>
    </row>
    <row r="273" spans="1:16" ht="15.75" customHeight="1">
      <c r="A273" s="16"/>
      <c r="I273" s="3"/>
      <c r="J273" s="3"/>
      <c r="K273" s="3"/>
      <c r="L273" s="3"/>
      <c r="M273" s="3"/>
      <c r="N273" s="3"/>
      <c r="O273" s="3"/>
      <c r="P273" s="3"/>
    </row>
    <row r="274" spans="1:16" ht="15.75" customHeight="1">
      <c r="A274" s="16"/>
      <c r="I274" s="3"/>
      <c r="J274" s="3"/>
      <c r="K274" s="3"/>
      <c r="L274" s="3"/>
      <c r="M274" s="3"/>
      <c r="N274" s="3"/>
      <c r="O274" s="3"/>
      <c r="P274" s="3"/>
    </row>
    <row r="275" spans="1:16" ht="15.75" customHeight="1">
      <c r="A275" s="20"/>
      <c r="I275" s="3"/>
      <c r="J275" s="3"/>
      <c r="K275" s="3"/>
      <c r="L275" s="3"/>
      <c r="M275" s="3"/>
      <c r="N275" s="3"/>
      <c r="O275" s="3"/>
      <c r="P275" s="3"/>
    </row>
    <row r="276" spans="1:16" ht="15.75" customHeight="1">
      <c r="A276" s="20"/>
      <c r="I276" s="3"/>
      <c r="J276" s="3"/>
      <c r="K276" s="3"/>
      <c r="L276" s="3"/>
      <c r="M276" s="3"/>
      <c r="N276" s="3"/>
      <c r="O276" s="3"/>
      <c r="P276" s="3"/>
    </row>
    <row r="277" spans="1:16" ht="15.75" customHeight="1">
      <c r="A277" s="16"/>
      <c r="I277" s="3"/>
      <c r="J277" s="3"/>
      <c r="K277" s="3"/>
      <c r="L277" s="3"/>
      <c r="M277" s="3"/>
      <c r="N277" s="3"/>
      <c r="O277" s="3"/>
      <c r="P277" s="3"/>
    </row>
    <row r="278" spans="1:16" ht="15.75" customHeight="1">
      <c r="A278" s="16"/>
      <c r="I278" s="3"/>
      <c r="J278" s="3"/>
      <c r="K278" s="3"/>
      <c r="L278" s="3"/>
      <c r="M278" s="3"/>
      <c r="N278" s="3"/>
      <c r="O278" s="3"/>
      <c r="P278" s="3"/>
    </row>
    <row r="279" spans="1:16" ht="15.75" customHeight="1">
      <c r="A279" s="16"/>
      <c r="I279" s="3"/>
      <c r="J279" s="3"/>
      <c r="K279" s="3"/>
      <c r="L279" s="3"/>
      <c r="M279" s="3"/>
      <c r="N279" s="3"/>
      <c r="O279" s="3"/>
      <c r="P279" s="3"/>
    </row>
    <row r="280" spans="1:16" ht="15.75" customHeight="1">
      <c r="A280" s="16"/>
      <c r="I280" s="3"/>
      <c r="J280" s="3"/>
      <c r="K280" s="3"/>
      <c r="L280" s="3"/>
      <c r="M280" s="3"/>
      <c r="N280" s="3"/>
      <c r="O280" s="3"/>
      <c r="P280" s="3"/>
    </row>
    <row r="281" spans="1:16" ht="15.75" customHeight="1">
      <c r="A281" s="16"/>
      <c r="I281" s="3"/>
      <c r="J281" s="3"/>
      <c r="K281" s="3"/>
      <c r="L281" s="3"/>
      <c r="M281" s="3"/>
      <c r="N281" s="3"/>
      <c r="O281" s="3"/>
      <c r="P281" s="3"/>
    </row>
    <row r="282" spans="1:16" ht="15.75" customHeight="1">
      <c r="A282" s="16"/>
      <c r="I282" s="3"/>
      <c r="J282" s="3"/>
      <c r="K282" s="3"/>
      <c r="L282" s="3"/>
      <c r="M282" s="3"/>
      <c r="N282" s="3"/>
      <c r="O282" s="3"/>
      <c r="P282" s="3"/>
    </row>
  </sheetData>
  <mergeCells count="2">
    <mergeCell ref="A270:D270"/>
    <mergeCell ref="A16:D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G231"/>
  <sheetViews>
    <sheetView workbookViewId="0">
      <pane ySplit="2" topLeftCell="A3" activePane="bottomLeft" state="frozen"/>
      <selection pane="bottomLeft" activeCell="B4" sqref="B4"/>
    </sheetView>
  </sheetViews>
  <sheetFormatPr defaultColWidth="17.28515625" defaultRowHeight="15" customHeight="1"/>
  <cols>
    <col min="1" max="5" width="8.7109375" customWidth="1"/>
    <col min="6" max="6" width="13.5703125" customWidth="1"/>
    <col min="7" max="7" width="10.5703125" customWidth="1"/>
    <col min="8" max="9" width="9.140625" customWidth="1"/>
    <col min="10" max="10" width="8.7109375" customWidth="1"/>
    <col min="11" max="11" width="9.140625" customWidth="1"/>
    <col min="12" max="19" width="8.7109375" customWidth="1"/>
    <col min="20" max="23" width="8.140625" customWidth="1"/>
    <col min="24" max="24" width="8.7109375" customWidth="1"/>
    <col min="25" max="26" width="11.140625" customWidth="1"/>
    <col min="27" max="27" width="18" customWidth="1"/>
    <col min="28" max="28" width="9.140625" customWidth="1"/>
    <col min="29" max="30" width="8.7109375" customWidth="1"/>
    <col min="31" max="31" width="18.28515625" customWidth="1"/>
    <col min="32" max="32" width="9.140625" customWidth="1"/>
    <col min="33" max="33" width="17.28515625" customWidth="1"/>
  </cols>
  <sheetData>
    <row r="1" spans="1:33" ht="18" customHeight="1">
      <c r="A1" s="2"/>
      <c r="B1" s="2"/>
      <c r="C1" s="2"/>
      <c r="D1" s="2"/>
      <c r="E1" s="163" t="s">
        <v>96</v>
      </c>
      <c r="F1" s="154"/>
      <c r="G1" s="154"/>
      <c r="H1" s="154"/>
      <c r="I1" s="154"/>
      <c r="J1" s="154"/>
      <c r="K1" s="154"/>
      <c r="L1" s="154"/>
      <c r="M1" s="154"/>
      <c r="N1" s="154"/>
      <c r="O1" s="154"/>
      <c r="P1" s="154"/>
      <c r="Q1" s="154"/>
      <c r="R1" s="154"/>
      <c r="S1" s="154"/>
      <c r="T1" s="154"/>
      <c r="U1" s="154"/>
      <c r="V1" s="154"/>
      <c r="W1" s="154"/>
      <c r="X1" s="154"/>
      <c r="Y1" s="2"/>
      <c r="Z1" s="2"/>
      <c r="AA1" s="55" t="s">
        <v>97</v>
      </c>
      <c r="AB1" s="2"/>
      <c r="AC1" s="2"/>
      <c r="AD1" s="2"/>
      <c r="AE1" s="55" t="s">
        <v>98</v>
      </c>
      <c r="AF1" s="2"/>
    </row>
    <row r="2" spans="1:33">
      <c r="A2" s="6" t="s">
        <v>51</v>
      </c>
      <c r="B2" s="6" t="s">
        <v>52</v>
      </c>
      <c r="C2" s="6" t="s">
        <v>53</v>
      </c>
      <c r="D2" s="6" t="s">
        <v>54</v>
      </c>
      <c r="E2" s="6" t="s">
        <v>55</v>
      </c>
      <c r="F2" s="6" t="s">
        <v>56</v>
      </c>
      <c r="G2" s="6" t="s">
        <v>57</v>
      </c>
      <c r="H2" s="6" t="s">
        <v>58</v>
      </c>
      <c r="I2" s="6" t="s">
        <v>59</v>
      </c>
      <c r="J2" s="6" t="s">
        <v>60</v>
      </c>
      <c r="K2" s="6" t="s">
        <v>61</v>
      </c>
      <c r="L2" s="6" t="s">
        <v>62</v>
      </c>
      <c r="M2" s="2" t="s">
        <v>63</v>
      </c>
      <c r="N2" s="2" t="s">
        <v>64</v>
      </c>
      <c r="O2" s="2" t="s">
        <v>65</v>
      </c>
      <c r="P2" s="2" t="s">
        <v>66</v>
      </c>
      <c r="Q2" s="2" t="s">
        <v>67</v>
      </c>
      <c r="R2" s="2" t="s">
        <v>68</v>
      </c>
      <c r="S2" s="2" t="s">
        <v>69</v>
      </c>
      <c r="T2" s="2" t="s">
        <v>70</v>
      </c>
      <c r="U2" s="2" t="s">
        <v>71</v>
      </c>
      <c r="V2" s="2" t="s">
        <v>72</v>
      </c>
      <c r="W2" s="2" t="s">
        <v>73</v>
      </c>
      <c r="X2" s="2" t="s">
        <v>74</v>
      </c>
      <c r="Y2" s="61" t="s">
        <v>99</v>
      </c>
      <c r="Z2" s="61" t="s">
        <v>100</v>
      </c>
      <c r="AA2" s="2" t="s">
        <v>75</v>
      </c>
      <c r="AB2" s="2" t="s">
        <v>74</v>
      </c>
      <c r="AC2" s="3"/>
      <c r="AD2" s="3"/>
      <c r="AE2" s="2" t="s">
        <v>75</v>
      </c>
      <c r="AF2" s="2" t="s">
        <v>74</v>
      </c>
    </row>
    <row r="3" spans="1:33">
      <c r="A3" s="2" t="s">
        <v>78</v>
      </c>
      <c r="B3" s="2" t="s">
        <v>79</v>
      </c>
      <c r="C3" s="2">
        <v>1</v>
      </c>
      <c r="D3" s="2">
        <v>1</v>
      </c>
      <c r="E3" s="2">
        <v>0</v>
      </c>
      <c r="F3" s="2">
        <v>0</v>
      </c>
      <c r="G3" s="2">
        <v>0</v>
      </c>
      <c r="H3" s="2">
        <v>0</v>
      </c>
      <c r="I3" s="2">
        <v>16.399999999999999</v>
      </c>
      <c r="J3" s="2">
        <v>0</v>
      </c>
      <c r="K3" s="2">
        <v>0</v>
      </c>
      <c r="L3" s="2">
        <v>13.5</v>
      </c>
      <c r="M3" s="2">
        <v>1.3</v>
      </c>
      <c r="N3" s="2">
        <v>0.5</v>
      </c>
      <c r="O3" s="2">
        <v>0.1</v>
      </c>
      <c r="P3" s="2">
        <v>0</v>
      </c>
      <c r="Q3" s="2">
        <v>4.9000000000000004</v>
      </c>
      <c r="R3" s="2">
        <v>1.3</v>
      </c>
      <c r="S3" s="2">
        <v>2.4</v>
      </c>
      <c r="T3" s="2">
        <v>0</v>
      </c>
      <c r="U3" s="2">
        <v>16.100000000000001</v>
      </c>
      <c r="V3" s="2">
        <v>1.3</v>
      </c>
      <c r="W3" s="60">
        <f t="shared" ref="W3:W16" si="0">SUM(E3:N3,P3:Q3,S3:V3)</f>
        <v>56.4</v>
      </c>
      <c r="X3" s="3"/>
      <c r="Y3" s="3">
        <f>(W3-X7)/X7*100</f>
        <v>-10.674691162496043</v>
      </c>
      <c r="Z3" s="3"/>
      <c r="AA3" s="62">
        <v>10.199999999999999</v>
      </c>
      <c r="AB3" s="2"/>
      <c r="AC3" s="3"/>
      <c r="AD3" s="3"/>
      <c r="AE3" s="2">
        <v>15.3</v>
      </c>
      <c r="AF3" s="2"/>
    </row>
    <row r="4" spans="1:33">
      <c r="A4" s="2"/>
      <c r="B4" s="2"/>
      <c r="C4" s="2"/>
      <c r="D4" s="2">
        <v>2</v>
      </c>
      <c r="E4" s="2">
        <v>0</v>
      </c>
      <c r="F4" s="2">
        <v>0</v>
      </c>
      <c r="G4" s="2">
        <v>0</v>
      </c>
      <c r="H4" s="2">
        <v>0</v>
      </c>
      <c r="I4" s="2">
        <v>25.8</v>
      </c>
      <c r="J4" s="2">
        <v>0</v>
      </c>
      <c r="K4" s="2">
        <v>0</v>
      </c>
      <c r="L4" s="2">
        <v>5.9</v>
      </c>
      <c r="M4" s="2">
        <v>2.2999999999999998</v>
      </c>
      <c r="N4" s="2">
        <v>0</v>
      </c>
      <c r="O4" s="2">
        <v>0</v>
      </c>
      <c r="P4" s="2">
        <v>0</v>
      </c>
      <c r="Q4" s="2">
        <v>2.1</v>
      </c>
      <c r="R4" s="2">
        <v>0.4</v>
      </c>
      <c r="S4" s="2">
        <v>4.0999999999999996</v>
      </c>
      <c r="T4" s="2">
        <v>0</v>
      </c>
      <c r="U4" s="2">
        <v>5.5</v>
      </c>
      <c r="V4" s="2">
        <v>0.9</v>
      </c>
      <c r="W4" s="60">
        <f t="shared" si="0"/>
        <v>46.6</v>
      </c>
      <c r="X4" s="3"/>
      <c r="Y4" s="3">
        <f>(W4-X7)/X7*100</f>
        <v>-26.195755464048144</v>
      </c>
      <c r="Z4" s="3"/>
      <c r="AA4" s="62">
        <v>11.5</v>
      </c>
      <c r="AB4" s="2"/>
      <c r="AC4" s="3"/>
      <c r="AD4" s="3"/>
      <c r="AE4" s="2">
        <v>3.3</v>
      </c>
      <c r="AF4" s="2"/>
    </row>
    <row r="5" spans="1:33">
      <c r="A5" s="2"/>
      <c r="B5" s="2"/>
      <c r="C5" s="2"/>
      <c r="D5" s="2">
        <v>3</v>
      </c>
      <c r="E5" s="2">
        <v>10</v>
      </c>
      <c r="F5" s="2">
        <v>0</v>
      </c>
      <c r="G5" s="2">
        <v>0</v>
      </c>
      <c r="H5" s="2">
        <v>0</v>
      </c>
      <c r="I5" s="2">
        <v>17.5</v>
      </c>
      <c r="J5" s="2">
        <v>0.3</v>
      </c>
      <c r="K5" s="2">
        <v>0</v>
      </c>
      <c r="L5" s="2">
        <v>3.9</v>
      </c>
      <c r="M5" s="2">
        <v>8.6</v>
      </c>
      <c r="N5" s="2">
        <v>0</v>
      </c>
      <c r="O5" s="2">
        <v>0.1</v>
      </c>
      <c r="P5" s="2">
        <v>3.3</v>
      </c>
      <c r="Q5" s="2">
        <v>3</v>
      </c>
      <c r="R5" s="2">
        <v>1.2</v>
      </c>
      <c r="S5" s="2">
        <v>3.8</v>
      </c>
      <c r="T5" s="2">
        <v>0</v>
      </c>
      <c r="U5" s="2">
        <v>20.100000000000001</v>
      </c>
      <c r="V5" s="2">
        <v>2.8</v>
      </c>
      <c r="W5" s="60">
        <f t="shared" si="0"/>
        <v>73.3</v>
      </c>
      <c r="X5" s="3"/>
      <c r="Y5" s="3">
        <f>(W5-X7)/X7*100</f>
        <v>16.091225847323404</v>
      </c>
      <c r="Z5" s="3"/>
      <c r="AA5" s="62">
        <v>10.8</v>
      </c>
      <c r="AB5" s="2"/>
      <c r="AC5" s="3"/>
      <c r="AD5" s="3"/>
      <c r="AE5" s="60">
        <v>23.6</v>
      </c>
      <c r="AF5" s="2"/>
    </row>
    <row r="6" spans="1:33">
      <c r="A6" s="2"/>
      <c r="B6" s="2"/>
      <c r="C6" s="2"/>
      <c r="D6" s="2">
        <v>4</v>
      </c>
      <c r="E6" s="2">
        <v>1.3</v>
      </c>
      <c r="F6" s="2">
        <v>0</v>
      </c>
      <c r="G6" s="2">
        <v>0</v>
      </c>
      <c r="H6" s="2">
        <v>0</v>
      </c>
      <c r="I6" s="2">
        <v>17.399999999999999</v>
      </c>
      <c r="J6" s="2">
        <v>0</v>
      </c>
      <c r="K6" s="2">
        <v>0</v>
      </c>
      <c r="L6" s="2">
        <v>6.6</v>
      </c>
      <c r="M6" s="2">
        <v>0.7</v>
      </c>
      <c r="N6" s="2">
        <v>0</v>
      </c>
      <c r="O6" s="2">
        <v>0.1</v>
      </c>
      <c r="P6" s="2">
        <v>0.3</v>
      </c>
      <c r="Q6" s="2">
        <v>7.8</v>
      </c>
      <c r="R6" s="2">
        <v>0.3</v>
      </c>
      <c r="S6" s="2">
        <v>2.1</v>
      </c>
      <c r="T6" s="2">
        <v>0</v>
      </c>
      <c r="U6" s="2">
        <v>29.2</v>
      </c>
      <c r="V6" s="2">
        <v>2.2999999999999998</v>
      </c>
      <c r="W6" s="60">
        <f t="shared" si="0"/>
        <v>67.699999999999989</v>
      </c>
      <c r="X6" s="3"/>
      <c r="Y6" s="3">
        <f>(W6-X7)/X7*100</f>
        <v>7.222046246436471</v>
      </c>
      <c r="Z6" s="3"/>
      <c r="AA6" s="62">
        <v>16.7</v>
      </c>
      <c r="AB6" s="2"/>
      <c r="AC6" s="3"/>
      <c r="AD6" s="3"/>
      <c r="AE6" s="2">
        <v>3.9</v>
      </c>
      <c r="AF6" s="2"/>
    </row>
    <row r="7" spans="1:33">
      <c r="A7" s="2"/>
      <c r="B7" s="2"/>
      <c r="C7" s="2"/>
      <c r="D7" s="2">
        <v>5</v>
      </c>
      <c r="E7" s="2">
        <v>0.2</v>
      </c>
      <c r="F7" s="2">
        <v>0.2</v>
      </c>
      <c r="G7" s="2">
        <v>0</v>
      </c>
      <c r="H7" s="2">
        <v>0</v>
      </c>
      <c r="I7" s="2">
        <v>10.7</v>
      </c>
      <c r="J7" s="2">
        <v>0</v>
      </c>
      <c r="K7" s="2">
        <v>0</v>
      </c>
      <c r="L7" s="2">
        <v>14.1</v>
      </c>
      <c r="M7" s="2">
        <v>1.4</v>
      </c>
      <c r="N7" s="2">
        <v>0</v>
      </c>
      <c r="O7" s="2">
        <v>0.2</v>
      </c>
      <c r="P7" s="2">
        <v>2.6</v>
      </c>
      <c r="Q7" s="2">
        <v>2.5</v>
      </c>
      <c r="R7" s="2">
        <v>0.4</v>
      </c>
      <c r="S7" s="2">
        <v>3.2</v>
      </c>
      <c r="T7" s="2">
        <v>0</v>
      </c>
      <c r="U7" s="2">
        <v>30.9</v>
      </c>
      <c r="V7" s="2">
        <v>5.9</v>
      </c>
      <c r="W7" s="60">
        <f t="shared" si="0"/>
        <v>71.7</v>
      </c>
      <c r="X7" s="2">
        <f>AVERAGE(W3:W7)</f>
        <v>63.14</v>
      </c>
      <c r="Y7" s="3">
        <f>(W7-X7)/X7*100</f>
        <v>13.557174532784291</v>
      </c>
      <c r="Z7" s="3">
        <f>STDEV(W3:W7)</f>
        <v>11.361029882893513</v>
      </c>
      <c r="AA7" s="62">
        <v>10.9</v>
      </c>
      <c r="AB7" s="62">
        <f>AVERAGE(AA3:AA7)</f>
        <v>12.02</v>
      </c>
      <c r="AC7" s="3"/>
      <c r="AD7" s="3"/>
      <c r="AE7" s="2">
        <v>4.7</v>
      </c>
      <c r="AF7" s="2">
        <f>AVERAGE(AE3:AE7)</f>
        <v>10.16</v>
      </c>
      <c r="AG7" s="2"/>
    </row>
    <row r="8" spans="1:33">
      <c r="A8" s="2"/>
      <c r="B8" s="2"/>
      <c r="C8" s="2">
        <v>2</v>
      </c>
      <c r="D8" s="2">
        <v>1</v>
      </c>
      <c r="E8" s="2">
        <v>1.88</v>
      </c>
      <c r="F8" s="2">
        <v>0</v>
      </c>
      <c r="G8" s="2">
        <v>0.19</v>
      </c>
      <c r="H8" s="2">
        <v>0</v>
      </c>
      <c r="I8" s="2">
        <v>11.91</v>
      </c>
      <c r="J8" s="2">
        <v>0</v>
      </c>
      <c r="K8" s="2">
        <v>0</v>
      </c>
      <c r="L8" s="2">
        <v>11.72</v>
      </c>
      <c r="M8" s="2">
        <v>4.43</v>
      </c>
      <c r="N8" s="2">
        <v>0</v>
      </c>
      <c r="O8" s="2">
        <v>2.35</v>
      </c>
      <c r="P8" s="2">
        <v>0</v>
      </c>
      <c r="Q8" s="2">
        <v>0</v>
      </c>
      <c r="R8" s="2">
        <v>0</v>
      </c>
      <c r="S8" s="2">
        <v>2.99</v>
      </c>
      <c r="T8" s="2">
        <v>0</v>
      </c>
      <c r="U8" s="2">
        <v>24.5</v>
      </c>
      <c r="V8" s="2">
        <v>5</v>
      </c>
      <c r="W8" s="60">
        <f t="shared" si="0"/>
        <v>62.620000000000005</v>
      </c>
      <c r="X8" s="3"/>
      <c r="Y8" s="3">
        <f>(W8-X12)/X12*100</f>
        <v>1.491085899513779</v>
      </c>
      <c r="Z8" s="3"/>
      <c r="AA8" s="62">
        <v>1.4</v>
      </c>
      <c r="AB8" s="2"/>
      <c r="AC8" s="3"/>
      <c r="AD8" s="3"/>
      <c r="AE8" s="2">
        <v>4.5</v>
      </c>
      <c r="AF8" s="2"/>
    </row>
    <row r="9" spans="1:33">
      <c r="A9" s="2"/>
      <c r="B9" s="2"/>
      <c r="C9" s="2"/>
      <c r="D9" s="2">
        <v>2</v>
      </c>
      <c r="E9" s="2">
        <v>0.05</v>
      </c>
      <c r="F9" s="2">
        <v>0</v>
      </c>
      <c r="G9" s="2">
        <v>0</v>
      </c>
      <c r="H9" s="2">
        <v>0</v>
      </c>
      <c r="I9" s="2">
        <v>27.84</v>
      </c>
      <c r="J9" s="2">
        <v>0</v>
      </c>
      <c r="K9" s="2">
        <v>0</v>
      </c>
      <c r="L9" s="2">
        <v>6.56</v>
      </c>
      <c r="M9" s="2">
        <v>0.48</v>
      </c>
      <c r="N9" s="2">
        <v>0</v>
      </c>
      <c r="O9" s="2">
        <v>0</v>
      </c>
      <c r="P9" s="2">
        <v>0</v>
      </c>
      <c r="Q9" s="2">
        <v>0.18</v>
      </c>
      <c r="R9" s="2">
        <v>0</v>
      </c>
      <c r="S9" s="2">
        <v>4.82</v>
      </c>
      <c r="T9" s="2">
        <v>0</v>
      </c>
      <c r="U9" s="2">
        <v>28.04</v>
      </c>
      <c r="V9" s="2">
        <v>9.6300000000000008</v>
      </c>
      <c r="W9" s="60">
        <f t="shared" si="0"/>
        <v>77.599999999999994</v>
      </c>
      <c r="X9" s="3"/>
      <c r="Y9" s="3">
        <f>(W9-X12)/X12*100</f>
        <v>25.76985413290112</v>
      </c>
      <c r="Z9" s="3"/>
      <c r="AA9" s="62">
        <v>10</v>
      </c>
      <c r="AB9" s="2"/>
      <c r="AC9" s="3"/>
      <c r="AD9" s="3"/>
      <c r="AE9" s="2">
        <v>4.8</v>
      </c>
      <c r="AF9" s="2"/>
    </row>
    <row r="10" spans="1:33">
      <c r="A10" s="2"/>
      <c r="B10" s="2"/>
      <c r="C10" s="2"/>
      <c r="D10" s="2">
        <v>3</v>
      </c>
      <c r="E10" s="2">
        <v>0</v>
      </c>
      <c r="F10" s="2">
        <v>0</v>
      </c>
      <c r="G10" s="2">
        <v>0</v>
      </c>
      <c r="H10" s="2">
        <v>0</v>
      </c>
      <c r="I10" s="2">
        <v>10.199999999999999</v>
      </c>
      <c r="J10" s="2">
        <v>0</v>
      </c>
      <c r="K10" s="2">
        <v>0</v>
      </c>
      <c r="L10" s="2">
        <v>5.6</v>
      </c>
      <c r="M10" s="2">
        <v>2.6</v>
      </c>
      <c r="N10" s="2">
        <v>0</v>
      </c>
      <c r="O10" s="2">
        <v>0</v>
      </c>
      <c r="P10" s="2">
        <v>0</v>
      </c>
      <c r="Q10" s="2">
        <v>0.3</v>
      </c>
      <c r="R10" s="2">
        <v>0.3</v>
      </c>
      <c r="S10" s="2">
        <v>5.5</v>
      </c>
      <c r="T10" s="2">
        <v>0.6</v>
      </c>
      <c r="U10" s="2">
        <v>18.399999999999999</v>
      </c>
      <c r="V10" s="2">
        <v>2</v>
      </c>
      <c r="W10" s="60">
        <f t="shared" si="0"/>
        <v>45.2</v>
      </c>
      <c r="X10" s="3"/>
      <c r="Y10" s="3">
        <f>(W10-X12)/X12*100</f>
        <v>-26.742301458670987</v>
      </c>
      <c r="Z10" s="3"/>
      <c r="AA10" s="62">
        <v>10.6</v>
      </c>
      <c r="AB10" s="2"/>
      <c r="AC10" s="3"/>
      <c r="AD10" s="3"/>
      <c r="AE10" s="2">
        <v>2.1</v>
      </c>
      <c r="AF10" s="2"/>
    </row>
    <row r="11" spans="1:33">
      <c r="A11" s="2"/>
      <c r="B11" s="2"/>
      <c r="C11" s="2"/>
      <c r="D11" s="2">
        <v>4</v>
      </c>
      <c r="E11" s="2">
        <v>0.6</v>
      </c>
      <c r="F11" s="2">
        <v>0</v>
      </c>
      <c r="G11" s="2">
        <v>0</v>
      </c>
      <c r="H11" s="2">
        <v>0</v>
      </c>
      <c r="I11" s="2">
        <v>15.2</v>
      </c>
      <c r="J11" s="2">
        <v>0</v>
      </c>
      <c r="K11" s="2">
        <v>0</v>
      </c>
      <c r="L11" s="2">
        <v>15.1</v>
      </c>
      <c r="M11" s="2">
        <v>3.1</v>
      </c>
      <c r="N11" s="2">
        <v>0</v>
      </c>
      <c r="O11" s="2">
        <v>0.1</v>
      </c>
      <c r="P11" s="2">
        <v>0.9</v>
      </c>
      <c r="Q11" s="2">
        <v>2</v>
      </c>
      <c r="R11" s="2">
        <v>0.5</v>
      </c>
      <c r="S11" s="2">
        <v>1.7</v>
      </c>
      <c r="T11" s="2">
        <v>0</v>
      </c>
      <c r="U11" s="2">
        <v>12.1</v>
      </c>
      <c r="V11" s="2">
        <v>6</v>
      </c>
      <c r="W11" s="60">
        <f t="shared" si="0"/>
        <v>56.7</v>
      </c>
      <c r="X11" s="2"/>
      <c r="Y11" s="3">
        <f>(W11-X12)/X12*100</f>
        <v>-8.1037277147487838</v>
      </c>
      <c r="Z11" s="3"/>
      <c r="AA11" s="63">
        <f>AVERAGE(AA8,AA9,AA10,AA12)</f>
        <v>7.0250000000000004</v>
      </c>
      <c r="AB11" s="2"/>
      <c r="AC11" s="3"/>
      <c r="AD11" s="3"/>
      <c r="AE11" s="2">
        <v>2.9</v>
      </c>
      <c r="AF11" s="2"/>
    </row>
    <row r="12" spans="1:33">
      <c r="A12" s="2"/>
      <c r="B12" s="2"/>
      <c r="C12" s="2"/>
      <c r="D12" s="2">
        <v>5</v>
      </c>
      <c r="E12" s="2">
        <v>0</v>
      </c>
      <c r="F12" s="2">
        <v>0</v>
      </c>
      <c r="G12" s="2">
        <v>0</v>
      </c>
      <c r="H12" s="2">
        <v>0</v>
      </c>
      <c r="I12" s="2">
        <v>18.510000000000002</v>
      </c>
      <c r="J12" s="2">
        <v>0</v>
      </c>
      <c r="K12" s="2">
        <v>0</v>
      </c>
      <c r="L12" s="2">
        <v>14.55</v>
      </c>
      <c r="M12" s="2">
        <v>4.38</v>
      </c>
      <c r="N12" s="2">
        <v>0</v>
      </c>
      <c r="O12" s="2">
        <v>0</v>
      </c>
      <c r="P12" s="2">
        <v>0.09</v>
      </c>
      <c r="Q12" s="2">
        <v>5.32</v>
      </c>
      <c r="R12" s="2">
        <v>0</v>
      </c>
      <c r="S12" s="2">
        <v>2.3199999999999998</v>
      </c>
      <c r="T12" s="2">
        <v>0</v>
      </c>
      <c r="U12" s="2">
        <v>20.309999999999999</v>
      </c>
      <c r="V12" s="2">
        <v>0.9</v>
      </c>
      <c r="W12" s="60">
        <f t="shared" si="0"/>
        <v>66.38000000000001</v>
      </c>
      <c r="X12" s="2">
        <f>AVERAGE(W8:W12)</f>
        <v>61.7</v>
      </c>
      <c r="Y12" s="3">
        <f>(W12-X12)/X12*100</f>
        <v>7.5850891410048735</v>
      </c>
      <c r="Z12" s="3">
        <f>STDEV(W8:W12)</f>
        <v>11.966712163330437</v>
      </c>
      <c r="AA12" s="62">
        <v>6.1</v>
      </c>
      <c r="AB12" s="62">
        <f>AVERAGE(AA8:AA12)</f>
        <v>7.0250000000000004</v>
      </c>
      <c r="AC12" s="3"/>
      <c r="AD12" s="3"/>
      <c r="AE12" s="2">
        <v>9.1</v>
      </c>
      <c r="AF12" s="2">
        <f>AVERAGE(AE8:AE12)</f>
        <v>4.68</v>
      </c>
      <c r="AG12" s="2"/>
    </row>
    <row r="13" spans="1:33">
      <c r="A13" s="2"/>
      <c r="B13" s="2"/>
      <c r="C13" s="2">
        <v>3</v>
      </c>
      <c r="D13" s="2">
        <v>1</v>
      </c>
      <c r="E13" s="2">
        <v>0.1</v>
      </c>
      <c r="F13" s="2">
        <v>0</v>
      </c>
      <c r="G13" s="2">
        <v>0</v>
      </c>
      <c r="H13" s="2">
        <v>0</v>
      </c>
      <c r="I13" s="2">
        <v>19.600000000000001</v>
      </c>
      <c r="J13" s="2">
        <v>0</v>
      </c>
      <c r="K13" s="2">
        <v>0</v>
      </c>
      <c r="L13" s="2">
        <v>3.9</v>
      </c>
      <c r="M13" s="2">
        <v>1.2</v>
      </c>
      <c r="N13" s="2">
        <v>0</v>
      </c>
      <c r="O13" s="2">
        <v>0</v>
      </c>
      <c r="P13" s="2">
        <v>0</v>
      </c>
      <c r="Q13" s="2">
        <v>0</v>
      </c>
      <c r="R13" s="2">
        <v>2.2000000000000002</v>
      </c>
      <c r="S13" s="2">
        <v>2.8</v>
      </c>
      <c r="T13" s="2">
        <v>0</v>
      </c>
      <c r="U13" s="2">
        <v>17.8</v>
      </c>
      <c r="V13" s="2">
        <v>0.3</v>
      </c>
      <c r="W13" s="60">
        <f t="shared" si="0"/>
        <v>45.7</v>
      </c>
      <c r="X13" s="3"/>
      <c r="Y13" s="3">
        <f>(W13-X17)/X17*100</f>
        <v>-20.614930299213956</v>
      </c>
      <c r="Z13" s="3"/>
      <c r="AA13" s="62">
        <v>9.6999999999999993</v>
      </c>
      <c r="AB13" s="2"/>
      <c r="AC13" s="3"/>
      <c r="AD13" s="3"/>
      <c r="AE13" s="2">
        <v>3.1</v>
      </c>
      <c r="AF13" s="2"/>
    </row>
    <row r="14" spans="1:33">
      <c r="A14" s="2"/>
      <c r="B14" s="2"/>
      <c r="C14" s="2"/>
      <c r="D14" s="2">
        <v>2</v>
      </c>
      <c r="E14" s="2">
        <v>0</v>
      </c>
      <c r="F14" s="2">
        <v>0</v>
      </c>
      <c r="G14" s="2">
        <v>0</v>
      </c>
      <c r="H14" s="2">
        <v>0</v>
      </c>
      <c r="I14" s="2">
        <v>17</v>
      </c>
      <c r="J14" s="2">
        <v>0</v>
      </c>
      <c r="K14" s="2">
        <v>0</v>
      </c>
      <c r="L14" s="2">
        <v>5.8</v>
      </c>
      <c r="M14" s="2">
        <v>2.4</v>
      </c>
      <c r="N14" s="2">
        <v>0</v>
      </c>
      <c r="O14" s="2">
        <v>0</v>
      </c>
      <c r="P14" s="2">
        <v>0.6</v>
      </c>
      <c r="Q14" s="2">
        <v>1.3</v>
      </c>
      <c r="R14" s="2">
        <v>0.7</v>
      </c>
      <c r="S14" s="2">
        <v>2.4</v>
      </c>
      <c r="T14" s="2">
        <v>0</v>
      </c>
      <c r="U14" s="2">
        <v>23</v>
      </c>
      <c r="V14" s="2">
        <v>6</v>
      </c>
      <c r="W14" s="60">
        <f t="shared" si="0"/>
        <v>58.5</v>
      </c>
      <c r="X14" s="3"/>
      <c r="Y14" s="3">
        <f>(W14-X17)/X17*100</f>
        <v>1.6198375819690007</v>
      </c>
      <c r="Z14" s="3"/>
      <c r="AA14" s="62">
        <v>15.2</v>
      </c>
      <c r="AB14" s="2"/>
      <c r="AC14" s="3"/>
      <c r="AD14" s="3"/>
      <c r="AE14" s="2">
        <v>4.2</v>
      </c>
      <c r="AF14" s="2"/>
    </row>
    <row r="15" spans="1:33">
      <c r="A15" s="2"/>
      <c r="B15" s="2"/>
      <c r="C15" s="2"/>
      <c r="D15" s="2">
        <v>3</v>
      </c>
      <c r="E15" s="2">
        <v>0</v>
      </c>
      <c r="F15" s="2">
        <v>0</v>
      </c>
      <c r="G15" s="2">
        <v>0</v>
      </c>
      <c r="H15" s="2">
        <v>0</v>
      </c>
      <c r="I15" s="2">
        <v>21.96</v>
      </c>
      <c r="J15" s="2">
        <v>0</v>
      </c>
      <c r="K15" s="2">
        <v>0</v>
      </c>
      <c r="L15" s="2">
        <v>8.51</v>
      </c>
      <c r="M15" s="2">
        <v>2.5499999999999998</v>
      </c>
      <c r="N15" s="2">
        <v>0</v>
      </c>
      <c r="O15" s="2">
        <v>0.02</v>
      </c>
      <c r="P15" s="2">
        <v>0.43</v>
      </c>
      <c r="Q15" s="2">
        <v>0.24</v>
      </c>
      <c r="R15" s="2">
        <v>0</v>
      </c>
      <c r="S15" s="2">
        <v>4.75</v>
      </c>
      <c r="T15" s="2">
        <v>0</v>
      </c>
      <c r="U15" s="2">
        <v>28.33</v>
      </c>
      <c r="V15" s="2">
        <v>4.5999999999999996</v>
      </c>
      <c r="W15" s="60">
        <f t="shared" si="0"/>
        <v>71.36999999999999</v>
      </c>
      <c r="X15" s="2"/>
      <c r="Y15" s="3">
        <f>(W15-X17)/X17*100</f>
        <v>23.976201850002166</v>
      </c>
      <c r="Z15" s="3"/>
      <c r="AA15" s="62">
        <v>9.1999999999999993</v>
      </c>
      <c r="AB15" s="2"/>
      <c r="AC15" s="3"/>
      <c r="AD15" s="3"/>
      <c r="AE15" s="2">
        <v>5.4</v>
      </c>
      <c r="AF15" s="2"/>
    </row>
    <row r="16" spans="1:33">
      <c r="A16" s="2"/>
      <c r="B16" s="2"/>
      <c r="C16" s="2"/>
      <c r="D16" s="2">
        <v>4</v>
      </c>
      <c r="E16" s="2">
        <v>0</v>
      </c>
      <c r="F16" s="2">
        <v>0</v>
      </c>
      <c r="G16" s="2">
        <v>0</v>
      </c>
      <c r="H16" s="2">
        <v>0</v>
      </c>
      <c r="I16" s="2">
        <v>13</v>
      </c>
      <c r="J16" s="2">
        <v>0</v>
      </c>
      <c r="K16" s="2">
        <v>0</v>
      </c>
      <c r="L16" s="2">
        <v>5.8</v>
      </c>
      <c r="M16" s="2">
        <v>2</v>
      </c>
      <c r="N16" s="2">
        <v>0</v>
      </c>
      <c r="O16" s="2">
        <v>0</v>
      </c>
      <c r="P16" s="2">
        <v>0</v>
      </c>
      <c r="Q16" s="2">
        <v>0.8</v>
      </c>
      <c r="R16" s="2">
        <v>0.2</v>
      </c>
      <c r="S16" s="2">
        <v>7.7</v>
      </c>
      <c r="T16" s="2">
        <v>0</v>
      </c>
      <c r="U16" s="2">
        <v>16.600000000000001</v>
      </c>
      <c r="V16" s="2">
        <v>8.8000000000000007</v>
      </c>
      <c r="W16" s="60">
        <f t="shared" si="0"/>
        <v>54.7</v>
      </c>
      <c r="X16" s="3"/>
      <c r="Y16" s="3">
        <f>(W16-X17)/X17*100</f>
        <v>-4.9811091327571857</v>
      </c>
      <c r="Z16" s="3"/>
      <c r="AA16" s="62">
        <v>3.4</v>
      </c>
      <c r="AB16" s="2"/>
      <c r="AC16" s="3"/>
      <c r="AD16" s="3"/>
      <c r="AE16" s="2">
        <v>5.5</v>
      </c>
      <c r="AF16" s="2"/>
    </row>
    <row r="17" spans="1:33">
      <c r="A17" s="2"/>
      <c r="B17" s="2"/>
      <c r="C17" s="2"/>
      <c r="D17" s="2">
        <v>5</v>
      </c>
      <c r="E17" s="5"/>
      <c r="F17" s="5"/>
      <c r="G17" s="5"/>
      <c r="H17" s="5"/>
      <c r="I17" s="5"/>
      <c r="J17" s="5"/>
      <c r="K17" s="5"/>
      <c r="L17" s="5"/>
      <c r="M17" s="5"/>
      <c r="N17" s="5"/>
      <c r="O17" s="5"/>
      <c r="P17" s="5"/>
      <c r="Q17" s="5"/>
      <c r="R17" s="5"/>
      <c r="S17" s="5"/>
      <c r="T17" s="5"/>
      <c r="U17" s="5"/>
      <c r="V17" s="5"/>
      <c r="W17" s="60"/>
      <c r="X17" s="2">
        <f>AVERAGE(W13:W17)</f>
        <v>57.567499999999995</v>
      </c>
      <c r="Y17" s="3"/>
      <c r="Z17" s="3">
        <f>STDEV(W13:W16)</f>
        <v>10.652678458178194</v>
      </c>
      <c r="AA17" s="62">
        <v>11.1</v>
      </c>
      <c r="AB17" s="62">
        <f>AVERAGE(AA13:AA17)</f>
        <v>9.7199999999999989</v>
      </c>
      <c r="AC17" s="3"/>
      <c r="AD17" s="3"/>
      <c r="AE17" s="2">
        <v>5</v>
      </c>
      <c r="AF17" s="2">
        <f>AVERAGE(AE13:AE17)</f>
        <v>4.6400000000000006</v>
      </c>
      <c r="AG17" s="2"/>
    </row>
    <row r="18" spans="1:33">
      <c r="A18" s="2"/>
      <c r="B18" s="2"/>
      <c r="C18" s="2">
        <v>4</v>
      </c>
      <c r="D18" s="2">
        <v>1</v>
      </c>
      <c r="E18" s="2">
        <v>0</v>
      </c>
      <c r="F18" s="2">
        <v>0</v>
      </c>
      <c r="G18" s="2">
        <v>0</v>
      </c>
      <c r="H18" s="2">
        <v>0</v>
      </c>
      <c r="I18" s="2">
        <v>16.54</v>
      </c>
      <c r="J18" s="2">
        <v>0</v>
      </c>
      <c r="K18" s="2">
        <v>0</v>
      </c>
      <c r="L18" s="2">
        <v>8.49</v>
      </c>
      <c r="M18" s="2">
        <v>5</v>
      </c>
      <c r="N18" s="2">
        <v>0</v>
      </c>
      <c r="O18" s="2">
        <v>0</v>
      </c>
      <c r="P18" s="2">
        <v>0</v>
      </c>
      <c r="Q18" s="2">
        <v>0</v>
      </c>
      <c r="R18" s="2">
        <v>0</v>
      </c>
      <c r="S18" s="2">
        <v>3.84</v>
      </c>
      <c r="T18" s="2">
        <v>2.0499999999999998</v>
      </c>
      <c r="U18" s="2">
        <v>33.25</v>
      </c>
      <c r="V18" s="2">
        <v>0.57999999999999996</v>
      </c>
      <c r="W18" s="60">
        <f t="shared" ref="W18:W54" si="1">SUM(E18:N18,P18:Q18,S18:V18)</f>
        <v>69.75</v>
      </c>
      <c r="X18" s="3"/>
      <c r="Y18" s="3">
        <f>(W18-X22)/X22*100</f>
        <v>15.518383570718788</v>
      </c>
      <c r="Z18" s="3"/>
      <c r="AA18" s="62">
        <v>8.3000000000000007</v>
      </c>
      <c r="AB18" s="2"/>
      <c r="AC18" s="3"/>
      <c r="AD18" s="3"/>
      <c r="AE18" s="2">
        <v>3</v>
      </c>
      <c r="AF18" s="2"/>
    </row>
    <row r="19" spans="1:33">
      <c r="A19" s="2"/>
      <c r="B19" s="2"/>
      <c r="C19" s="2"/>
      <c r="D19" s="2">
        <v>2</v>
      </c>
      <c r="E19" s="2">
        <v>0</v>
      </c>
      <c r="F19" s="2">
        <v>0</v>
      </c>
      <c r="G19" s="2">
        <v>0</v>
      </c>
      <c r="H19" s="2">
        <v>0</v>
      </c>
      <c r="I19" s="2">
        <v>21.1</v>
      </c>
      <c r="J19" s="2">
        <v>0</v>
      </c>
      <c r="K19" s="2">
        <v>0</v>
      </c>
      <c r="L19" s="2">
        <v>4.7</v>
      </c>
      <c r="M19" s="2">
        <v>4.9000000000000004</v>
      </c>
      <c r="N19" s="2">
        <v>0</v>
      </c>
      <c r="O19" s="2">
        <v>0.2</v>
      </c>
      <c r="P19" s="2">
        <v>0</v>
      </c>
      <c r="Q19" s="2">
        <v>0</v>
      </c>
      <c r="R19" s="2">
        <v>0.8</v>
      </c>
      <c r="S19" s="2">
        <v>3.2</v>
      </c>
      <c r="T19" s="2">
        <v>0</v>
      </c>
      <c r="U19" s="2">
        <v>9.6</v>
      </c>
      <c r="V19" s="2">
        <v>1.4</v>
      </c>
      <c r="W19" s="60">
        <f t="shared" si="1"/>
        <v>44.900000000000006</v>
      </c>
      <c r="X19" s="3"/>
      <c r="Y19" s="3">
        <f>(W19-X22)/X22*100</f>
        <v>-25.637628353759506</v>
      </c>
      <c r="Z19" s="3"/>
      <c r="AA19" s="62">
        <v>6.2</v>
      </c>
      <c r="AB19" s="2"/>
      <c r="AC19" s="3"/>
      <c r="AD19" s="3"/>
      <c r="AE19" s="2">
        <v>4.8</v>
      </c>
      <c r="AF19" s="2"/>
    </row>
    <row r="20" spans="1:33">
      <c r="A20" s="2"/>
      <c r="B20" s="2"/>
      <c r="C20" s="2"/>
      <c r="D20" s="2">
        <v>3</v>
      </c>
      <c r="E20" s="2">
        <v>0</v>
      </c>
      <c r="F20" s="2">
        <v>0</v>
      </c>
      <c r="G20" s="2">
        <v>0</v>
      </c>
      <c r="H20" s="2">
        <v>0</v>
      </c>
      <c r="I20" s="2">
        <v>14.4</v>
      </c>
      <c r="J20" s="2">
        <v>0</v>
      </c>
      <c r="K20" s="2">
        <v>0</v>
      </c>
      <c r="L20" s="2">
        <v>8.5</v>
      </c>
      <c r="M20" s="2">
        <v>6.9</v>
      </c>
      <c r="N20" s="2">
        <v>0</v>
      </c>
      <c r="O20" s="2">
        <v>0.1</v>
      </c>
      <c r="P20" s="2">
        <v>0</v>
      </c>
      <c r="Q20" s="2">
        <v>0.8</v>
      </c>
      <c r="R20" s="2">
        <v>0.6</v>
      </c>
      <c r="S20" s="2">
        <v>2.1</v>
      </c>
      <c r="T20" s="2">
        <v>0</v>
      </c>
      <c r="U20" s="2">
        <v>24.9</v>
      </c>
      <c r="V20" s="2">
        <v>4.9000000000000004</v>
      </c>
      <c r="W20" s="60">
        <f t="shared" si="1"/>
        <v>62.499999999999993</v>
      </c>
      <c r="X20" s="2"/>
      <c r="Y20" s="3">
        <f>(W20-X22)/X22*100</f>
        <v>3.5110963895329541</v>
      </c>
      <c r="Z20" s="3"/>
      <c r="AA20" s="62">
        <v>6.6</v>
      </c>
      <c r="AB20" s="2"/>
      <c r="AC20" s="3"/>
      <c r="AD20" s="3"/>
      <c r="AE20" s="2">
        <v>7.4</v>
      </c>
      <c r="AF20" s="2"/>
    </row>
    <row r="21" spans="1:33">
      <c r="A21" s="2"/>
      <c r="B21" s="2"/>
      <c r="C21" s="2"/>
      <c r="D21" s="2">
        <v>4</v>
      </c>
      <c r="E21" s="2">
        <v>0</v>
      </c>
      <c r="F21" s="2">
        <v>0</v>
      </c>
      <c r="G21" s="2">
        <v>0</v>
      </c>
      <c r="H21" s="2">
        <v>0</v>
      </c>
      <c r="I21" s="2">
        <v>9.3699999999999992</v>
      </c>
      <c r="J21" s="2">
        <v>0</v>
      </c>
      <c r="K21" s="2">
        <v>0</v>
      </c>
      <c r="L21" s="2">
        <v>10.76</v>
      </c>
      <c r="M21" s="2">
        <v>7.53</v>
      </c>
      <c r="N21" s="2">
        <v>0</v>
      </c>
      <c r="O21" s="2">
        <v>0</v>
      </c>
      <c r="P21" s="2">
        <v>0</v>
      </c>
      <c r="Q21" s="2">
        <v>1.57</v>
      </c>
      <c r="R21" s="2">
        <v>0</v>
      </c>
      <c r="S21" s="2">
        <v>4.54</v>
      </c>
      <c r="T21" s="2">
        <v>0.1</v>
      </c>
      <c r="U21" s="2">
        <v>28.25</v>
      </c>
      <c r="V21" s="2">
        <v>2.13</v>
      </c>
      <c r="W21" s="60">
        <f t="shared" si="1"/>
        <v>64.25</v>
      </c>
      <c r="X21" s="3"/>
      <c r="Y21" s="3">
        <f>(W21-X22)/X22*100</f>
        <v>6.409407088439889</v>
      </c>
      <c r="Z21" s="3"/>
      <c r="AA21" s="62">
        <v>11.6</v>
      </c>
      <c r="AB21" s="2"/>
      <c r="AC21" s="3"/>
      <c r="AD21" s="3"/>
      <c r="AE21" s="2">
        <v>3.3</v>
      </c>
      <c r="AF21" s="2"/>
    </row>
    <row r="22" spans="1:33">
      <c r="A22" s="2"/>
      <c r="B22" s="2"/>
      <c r="C22" s="2"/>
      <c r="D22" s="2">
        <v>5</v>
      </c>
      <c r="E22" s="2">
        <v>0</v>
      </c>
      <c r="F22" s="2">
        <v>0</v>
      </c>
      <c r="G22" s="2">
        <v>0</v>
      </c>
      <c r="H22" s="2">
        <v>0</v>
      </c>
      <c r="I22" s="2">
        <v>15.3</v>
      </c>
      <c r="J22" s="2">
        <v>0</v>
      </c>
      <c r="K22" s="2">
        <v>0</v>
      </c>
      <c r="L22" s="2">
        <v>11.1</v>
      </c>
      <c r="M22" s="2">
        <v>6.9</v>
      </c>
      <c r="N22" s="2">
        <v>0</v>
      </c>
      <c r="O22" s="2">
        <v>0.1</v>
      </c>
      <c r="P22" s="2">
        <v>0.6</v>
      </c>
      <c r="Q22" s="2">
        <v>0.6</v>
      </c>
      <c r="R22" s="2">
        <v>0.1</v>
      </c>
      <c r="S22" s="2">
        <v>5.3</v>
      </c>
      <c r="T22" s="2">
        <v>0</v>
      </c>
      <c r="U22" s="2">
        <v>19.8</v>
      </c>
      <c r="V22" s="2">
        <v>0.9</v>
      </c>
      <c r="W22" s="60">
        <f t="shared" si="1"/>
        <v>60.499999999999993</v>
      </c>
      <c r="X22" s="2">
        <f>AVERAGE(W18:W22)</f>
        <v>60.379999999999995</v>
      </c>
      <c r="Y22" s="3">
        <f>(W22-X22)/X22*100</f>
        <v>0.19874130506789905</v>
      </c>
      <c r="Z22" s="3">
        <f>STDEV(W18:W22)</f>
        <v>9.3128003307276011</v>
      </c>
      <c r="AA22" s="62">
        <v>15.4</v>
      </c>
      <c r="AB22" s="62">
        <f>AVERAGE(AA18:AA22)</f>
        <v>9.620000000000001</v>
      </c>
      <c r="AC22" s="3"/>
      <c r="AD22" s="3"/>
      <c r="AE22" s="2">
        <v>3.7</v>
      </c>
      <c r="AF22" s="2">
        <f>AVERAGE(AE18:AE22)</f>
        <v>4.4399999999999995</v>
      </c>
      <c r="AG22" s="2"/>
    </row>
    <row r="23" spans="1:33">
      <c r="A23" s="2" t="s">
        <v>78</v>
      </c>
      <c r="B23" s="2" t="s">
        <v>94</v>
      </c>
      <c r="C23" s="2">
        <v>1</v>
      </c>
      <c r="D23" s="2">
        <v>1</v>
      </c>
      <c r="E23" s="2">
        <v>0</v>
      </c>
      <c r="F23" s="2">
        <v>0</v>
      </c>
      <c r="G23" s="2">
        <v>0</v>
      </c>
      <c r="H23" s="2">
        <v>0</v>
      </c>
      <c r="I23" s="2">
        <v>28.04</v>
      </c>
      <c r="J23" s="2">
        <v>0</v>
      </c>
      <c r="K23" s="2">
        <v>0</v>
      </c>
      <c r="L23" s="2">
        <v>3.51</v>
      </c>
      <c r="M23" s="2">
        <v>16.14</v>
      </c>
      <c r="N23" s="2">
        <v>0</v>
      </c>
      <c r="O23" s="2">
        <v>0</v>
      </c>
      <c r="P23" s="2">
        <v>0</v>
      </c>
      <c r="Q23" s="2">
        <v>0</v>
      </c>
      <c r="R23" s="2">
        <v>0</v>
      </c>
      <c r="S23" s="2">
        <v>0.3</v>
      </c>
      <c r="T23" s="2">
        <v>0</v>
      </c>
      <c r="U23" s="2">
        <v>7.54</v>
      </c>
      <c r="V23" s="2">
        <v>3.92</v>
      </c>
      <c r="W23" s="60">
        <f t="shared" si="1"/>
        <v>59.449999999999996</v>
      </c>
      <c r="X23" s="3"/>
      <c r="Y23" s="3">
        <f>(W23-X27)/X27*100</f>
        <v>-4.6542211957916368</v>
      </c>
      <c r="Z23" s="3"/>
      <c r="AA23" s="62">
        <v>8</v>
      </c>
      <c r="AB23" s="2"/>
      <c r="AC23" s="3"/>
      <c r="AD23" s="3"/>
      <c r="AE23" s="2">
        <v>1.2</v>
      </c>
      <c r="AF23" s="2"/>
    </row>
    <row r="24" spans="1:33">
      <c r="A24" s="2"/>
      <c r="B24" s="2"/>
      <c r="C24" s="2"/>
      <c r="D24" s="2">
        <v>2</v>
      </c>
      <c r="E24" s="2">
        <v>0</v>
      </c>
      <c r="F24" s="2">
        <v>0</v>
      </c>
      <c r="G24" s="2">
        <v>0</v>
      </c>
      <c r="H24" s="2">
        <v>0</v>
      </c>
      <c r="I24" s="2">
        <v>33.840000000000003</v>
      </c>
      <c r="J24" s="2">
        <v>0</v>
      </c>
      <c r="K24" s="2">
        <v>0</v>
      </c>
      <c r="L24" s="2">
        <v>2.5099999999999998</v>
      </c>
      <c r="M24" s="2">
        <v>12.77</v>
      </c>
      <c r="N24" s="2">
        <v>0</v>
      </c>
      <c r="O24" s="2">
        <v>0</v>
      </c>
      <c r="P24" s="2">
        <v>0</v>
      </c>
      <c r="Q24" s="2">
        <v>0</v>
      </c>
      <c r="R24" s="2">
        <v>0</v>
      </c>
      <c r="S24" s="2">
        <v>0.66</v>
      </c>
      <c r="T24" s="2">
        <v>0</v>
      </c>
      <c r="U24" s="2">
        <v>4.91</v>
      </c>
      <c r="V24" s="2">
        <v>0.85</v>
      </c>
      <c r="W24" s="60">
        <f t="shared" si="1"/>
        <v>55.54</v>
      </c>
      <c r="X24" s="3"/>
      <c r="Y24" s="3">
        <f>(W24-X27)/X27*100</f>
        <v>-10.925070567102896</v>
      </c>
      <c r="Z24" s="3"/>
      <c r="AA24" s="62">
        <v>6.1</v>
      </c>
      <c r="AB24" s="2"/>
      <c r="AC24" s="3"/>
      <c r="AD24" s="3"/>
      <c r="AE24" s="2">
        <v>2.1</v>
      </c>
      <c r="AF24" s="2"/>
    </row>
    <row r="25" spans="1:33">
      <c r="A25" s="2"/>
      <c r="B25" s="2"/>
      <c r="C25" s="2"/>
      <c r="D25" s="2">
        <v>3</v>
      </c>
      <c r="E25" s="2">
        <v>0</v>
      </c>
      <c r="F25" s="2">
        <v>0</v>
      </c>
      <c r="G25" s="2">
        <v>0</v>
      </c>
      <c r="H25" s="2">
        <v>0</v>
      </c>
      <c r="I25" s="2">
        <v>37.79</v>
      </c>
      <c r="J25" s="2">
        <v>0</v>
      </c>
      <c r="K25" s="2">
        <v>0</v>
      </c>
      <c r="L25" s="2">
        <v>0</v>
      </c>
      <c r="M25" s="2">
        <v>17.059999999999999</v>
      </c>
      <c r="N25" s="2">
        <v>0</v>
      </c>
      <c r="O25" s="2">
        <v>0.2</v>
      </c>
      <c r="P25" s="2">
        <v>0</v>
      </c>
      <c r="Q25" s="2">
        <v>5.03</v>
      </c>
      <c r="R25" s="2">
        <v>0</v>
      </c>
      <c r="S25" s="2">
        <v>1.77</v>
      </c>
      <c r="T25" s="2">
        <v>0</v>
      </c>
      <c r="U25" s="2">
        <v>6.64</v>
      </c>
      <c r="V25" s="2">
        <v>0.86</v>
      </c>
      <c r="W25" s="60">
        <f t="shared" si="1"/>
        <v>69.149999999999991</v>
      </c>
      <c r="X25" s="3"/>
      <c r="Y25" s="3">
        <f>(W25-X27)/X27*100</f>
        <v>10.902617397998453</v>
      </c>
      <c r="Z25" s="3"/>
      <c r="AA25" s="62">
        <v>9.4</v>
      </c>
      <c r="AB25" s="2"/>
      <c r="AC25" s="3"/>
      <c r="AD25" s="3"/>
      <c r="AE25" s="2">
        <v>1.9</v>
      </c>
      <c r="AF25" s="2"/>
    </row>
    <row r="26" spans="1:33">
      <c r="A26" s="2"/>
      <c r="B26" s="2"/>
      <c r="C26" s="2"/>
      <c r="D26" s="2">
        <v>4</v>
      </c>
      <c r="E26" s="2">
        <v>0</v>
      </c>
      <c r="F26" s="2">
        <v>0</v>
      </c>
      <c r="G26" s="2">
        <v>0</v>
      </c>
      <c r="H26" s="2">
        <v>0</v>
      </c>
      <c r="I26" s="2">
        <v>32.5</v>
      </c>
      <c r="J26" s="2">
        <v>0</v>
      </c>
      <c r="K26" s="2">
        <v>0</v>
      </c>
      <c r="L26" s="2">
        <v>5.2</v>
      </c>
      <c r="M26" s="2">
        <v>9.15</v>
      </c>
      <c r="N26" s="2">
        <v>0</v>
      </c>
      <c r="O26" s="2">
        <v>0.01</v>
      </c>
      <c r="P26" s="2">
        <v>0</v>
      </c>
      <c r="Q26" s="2">
        <v>0</v>
      </c>
      <c r="R26" s="2">
        <v>0</v>
      </c>
      <c r="S26" s="2">
        <v>2.06</v>
      </c>
      <c r="T26" s="2">
        <v>0</v>
      </c>
      <c r="U26" s="2">
        <v>11.2</v>
      </c>
      <c r="V26" s="2">
        <v>2.52</v>
      </c>
      <c r="W26" s="60">
        <f t="shared" si="1"/>
        <v>62.63</v>
      </c>
      <c r="X26" s="3"/>
      <c r="Y26" s="3">
        <f>(W26-X27)/X27*100</f>
        <v>0.44585578650244706</v>
      </c>
      <c r="Z26" s="3"/>
      <c r="AA26" s="62">
        <v>6.2</v>
      </c>
      <c r="AB26" s="2"/>
      <c r="AC26" s="3"/>
      <c r="AD26" s="3"/>
      <c r="AE26" s="2">
        <v>1.1000000000000001</v>
      </c>
      <c r="AF26" s="2"/>
    </row>
    <row r="27" spans="1:33">
      <c r="A27" s="2"/>
      <c r="B27" s="2"/>
      <c r="C27" s="2"/>
      <c r="D27" s="2">
        <v>5</v>
      </c>
      <c r="E27" s="2">
        <v>0</v>
      </c>
      <c r="F27" s="2">
        <v>0</v>
      </c>
      <c r="G27" s="2">
        <v>0</v>
      </c>
      <c r="H27" s="2">
        <v>0</v>
      </c>
      <c r="I27" s="2">
        <v>54.19</v>
      </c>
      <c r="J27" s="2">
        <v>0</v>
      </c>
      <c r="K27" s="2">
        <v>0</v>
      </c>
      <c r="L27" s="2">
        <v>4.13</v>
      </c>
      <c r="M27" s="2">
        <v>2.91</v>
      </c>
      <c r="N27" s="2">
        <v>0</v>
      </c>
      <c r="O27" s="2">
        <v>0.86</v>
      </c>
      <c r="P27" s="2">
        <v>0</v>
      </c>
      <c r="Q27" s="2">
        <v>0.26</v>
      </c>
      <c r="R27" s="2">
        <v>0</v>
      </c>
      <c r="S27" s="2">
        <v>0.93</v>
      </c>
      <c r="T27" s="2">
        <v>0</v>
      </c>
      <c r="U27" s="2">
        <v>2.29</v>
      </c>
      <c r="V27" s="2">
        <v>0.28000000000000003</v>
      </c>
      <c r="W27" s="60">
        <f t="shared" si="1"/>
        <v>64.990000000000009</v>
      </c>
      <c r="X27" s="2">
        <f>AVERAGE(W23:W27)</f>
        <v>62.351999999999997</v>
      </c>
      <c r="Y27" s="3">
        <f>(W27-X27)/X27*100</f>
        <v>4.2308185783936558</v>
      </c>
      <c r="Z27" s="3">
        <f>STDEV(W23:W27)</f>
        <v>5.1979342050472308</v>
      </c>
      <c r="AA27" s="62">
        <v>5.4</v>
      </c>
      <c r="AB27" s="62">
        <f>AVERAGE(AA23:AA27)</f>
        <v>7.0200000000000005</v>
      </c>
      <c r="AC27" s="3"/>
      <c r="AD27" s="3"/>
      <c r="AE27" s="2">
        <v>1.7</v>
      </c>
      <c r="AF27" s="2">
        <f>AVERAGE(AE23:AE27)</f>
        <v>1.5999999999999999</v>
      </c>
    </row>
    <row r="28" spans="1:33">
      <c r="A28" s="2"/>
      <c r="B28" s="2"/>
      <c r="C28" s="2">
        <v>2</v>
      </c>
      <c r="D28" s="2">
        <v>1</v>
      </c>
      <c r="E28" s="2">
        <v>0</v>
      </c>
      <c r="F28" s="2">
        <v>0</v>
      </c>
      <c r="G28" s="2">
        <v>0</v>
      </c>
      <c r="H28" s="2">
        <v>0</v>
      </c>
      <c r="I28" s="2">
        <v>39.51</v>
      </c>
      <c r="J28" s="2">
        <v>0</v>
      </c>
      <c r="K28" s="2">
        <v>0</v>
      </c>
      <c r="L28" s="2">
        <v>7.46</v>
      </c>
      <c r="M28" s="2">
        <v>0.46</v>
      </c>
      <c r="N28" s="2">
        <v>0</v>
      </c>
      <c r="O28" s="2">
        <v>0</v>
      </c>
      <c r="P28" s="2">
        <v>0</v>
      </c>
      <c r="Q28" s="2">
        <v>0</v>
      </c>
      <c r="R28" s="2">
        <v>0</v>
      </c>
      <c r="S28" s="2">
        <v>0.8</v>
      </c>
      <c r="T28" s="2">
        <v>0</v>
      </c>
      <c r="U28" s="2">
        <v>13.53</v>
      </c>
      <c r="V28" s="2">
        <v>0.19</v>
      </c>
      <c r="W28" s="60">
        <f t="shared" si="1"/>
        <v>61.949999999999996</v>
      </c>
      <c r="X28" s="2"/>
      <c r="Y28" s="3">
        <f>(W28-X32)/X32*100</f>
        <v>-14.075286415711952</v>
      </c>
      <c r="Z28" s="3"/>
      <c r="AA28" s="62">
        <v>6.9</v>
      </c>
      <c r="AB28" s="2"/>
      <c r="AC28" s="3"/>
      <c r="AD28" s="3"/>
      <c r="AE28" s="2">
        <v>3</v>
      </c>
      <c r="AF28" s="2"/>
    </row>
    <row r="29" spans="1:33">
      <c r="A29" s="2"/>
      <c r="B29" s="2"/>
      <c r="C29" s="2"/>
      <c r="D29" s="2">
        <v>2</v>
      </c>
      <c r="E29" s="2">
        <v>0</v>
      </c>
      <c r="F29" s="2">
        <v>0</v>
      </c>
      <c r="G29" s="2">
        <v>0</v>
      </c>
      <c r="H29" s="2">
        <v>0</v>
      </c>
      <c r="I29" s="2">
        <v>18.05</v>
      </c>
      <c r="J29" s="2">
        <v>0</v>
      </c>
      <c r="K29" s="2">
        <v>0</v>
      </c>
      <c r="L29" s="2">
        <v>18.989999999999998</v>
      </c>
      <c r="M29" s="2">
        <v>4.8899999999999997</v>
      </c>
      <c r="N29" s="2">
        <v>0</v>
      </c>
      <c r="O29" s="2">
        <v>0</v>
      </c>
      <c r="P29" s="2">
        <v>0</v>
      </c>
      <c r="Q29" s="2">
        <v>0</v>
      </c>
      <c r="R29" s="2">
        <v>0</v>
      </c>
      <c r="S29" s="2">
        <v>3.81</v>
      </c>
      <c r="T29" s="2">
        <v>0</v>
      </c>
      <c r="U29" s="2">
        <v>14.81</v>
      </c>
      <c r="V29" s="2">
        <v>5.08</v>
      </c>
      <c r="W29" s="60">
        <f t="shared" si="1"/>
        <v>65.63000000000001</v>
      </c>
      <c r="X29" s="2"/>
      <c r="Y29" s="3">
        <f>(W29-X32)/X32*100</f>
        <v>-8.9711226386307388</v>
      </c>
      <c r="Z29" s="3"/>
      <c r="AA29" s="62">
        <v>6.6</v>
      </c>
      <c r="AB29" s="2"/>
      <c r="AC29" s="3"/>
      <c r="AD29" s="3"/>
      <c r="AE29" s="2">
        <v>2.6</v>
      </c>
      <c r="AF29" s="2"/>
    </row>
    <row r="30" spans="1:33">
      <c r="A30" s="2"/>
      <c r="B30" s="2"/>
      <c r="C30" s="2"/>
      <c r="D30" s="2">
        <v>3</v>
      </c>
      <c r="E30" s="2">
        <v>0</v>
      </c>
      <c r="F30" s="2">
        <v>0</v>
      </c>
      <c r="G30" s="2">
        <v>0</v>
      </c>
      <c r="H30" s="2">
        <v>0</v>
      </c>
      <c r="I30" s="2">
        <v>14.26</v>
      </c>
      <c r="J30" s="2">
        <v>0</v>
      </c>
      <c r="K30" s="2">
        <v>0</v>
      </c>
      <c r="L30" s="2">
        <v>7.61</v>
      </c>
      <c r="M30" s="2">
        <v>52.1</v>
      </c>
      <c r="N30" s="2">
        <v>0</v>
      </c>
      <c r="O30" s="2">
        <v>0</v>
      </c>
      <c r="P30" s="2">
        <v>0</v>
      </c>
      <c r="Q30" s="2">
        <v>0.49</v>
      </c>
      <c r="R30" s="2">
        <v>0</v>
      </c>
      <c r="S30" s="2">
        <v>1.78</v>
      </c>
      <c r="T30" s="2">
        <v>0</v>
      </c>
      <c r="U30" s="2">
        <v>9.3699999999999992</v>
      </c>
      <c r="V30" s="2">
        <v>5.9</v>
      </c>
      <c r="W30" s="60">
        <f t="shared" si="1"/>
        <v>91.51</v>
      </c>
      <c r="X30" s="2"/>
      <c r="Y30" s="3">
        <f>(W30-X32)/X32*100</f>
        <v>26.924463924103314</v>
      </c>
      <c r="Z30" s="3"/>
      <c r="AA30" s="62">
        <v>8</v>
      </c>
      <c r="AB30" s="2"/>
      <c r="AC30" s="3"/>
      <c r="AD30" s="3"/>
      <c r="AE30" s="2">
        <v>3.3</v>
      </c>
      <c r="AF30" s="2"/>
    </row>
    <row r="31" spans="1:33">
      <c r="A31" s="2"/>
      <c r="B31" s="2"/>
      <c r="C31" s="2"/>
      <c r="D31" s="2">
        <v>4</v>
      </c>
      <c r="E31" s="2">
        <v>0</v>
      </c>
      <c r="F31" s="2">
        <v>0</v>
      </c>
      <c r="G31" s="2">
        <v>0</v>
      </c>
      <c r="H31" s="2">
        <v>0</v>
      </c>
      <c r="I31" s="2">
        <v>14.35</v>
      </c>
      <c r="J31" s="2">
        <v>0</v>
      </c>
      <c r="K31" s="2">
        <v>0</v>
      </c>
      <c r="L31" s="2">
        <v>14.36</v>
      </c>
      <c r="M31" s="2">
        <v>14.5</v>
      </c>
      <c r="N31" s="2">
        <v>0</v>
      </c>
      <c r="O31" s="2">
        <v>0</v>
      </c>
      <c r="P31" s="2">
        <v>0</v>
      </c>
      <c r="Q31" s="2">
        <v>0.14000000000000001</v>
      </c>
      <c r="R31" s="2">
        <v>0</v>
      </c>
      <c r="S31" s="2">
        <v>0.78</v>
      </c>
      <c r="T31" s="2">
        <v>0</v>
      </c>
      <c r="U31" s="2">
        <v>18.72</v>
      </c>
      <c r="V31" s="2">
        <v>6.4</v>
      </c>
      <c r="W31" s="60">
        <f t="shared" si="1"/>
        <v>69.25</v>
      </c>
      <c r="X31" s="2"/>
      <c r="Y31" s="3">
        <f>(W31-X32)/X32*100</f>
        <v>-3.9501789231324018</v>
      </c>
      <c r="Z31" s="3"/>
      <c r="AA31" s="62">
        <v>6.8</v>
      </c>
      <c r="AB31" s="2"/>
      <c r="AC31" s="3"/>
      <c r="AD31" s="3"/>
      <c r="AE31" s="2">
        <v>2.9</v>
      </c>
      <c r="AF31" s="2"/>
    </row>
    <row r="32" spans="1:33">
      <c r="A32" s="2"/>
      <c r="B32" s="2"/>
      <c r="C32" s="2"/>
      <c r="D32" s="2">
        <v>5</v>
      </c>
      <c r="E32" s="2">
        <v>0</v>
      </c>
      <c r="F32" s="2">
        <v>0</v>
      </c>
      <c r="G32" s="2">
        <v>0</v>
      </c>
      <c r="H32" s="2">
        <v>0</v>
      </c>
      <c r="I32" s="2">
        <v>23.92</v>
      </c>
      <c r="J32" s="2">
        <v>0</v>
      </c>
      <c r="K32" s="2">
        <v>0</v>
      </c>
      <c r="L32" s="2">
        <v>7.29</v>
      </c>
      <c r="M32" s="2">
        <v>38.269999999999996</v>
      </c>
      <c r="N32" s="2">
        <v>0</v>
      </c>
      <c r="O32" s="2">
        <v>0</v>
      </c>
      <c r="P32" s="2">
        <v>0</v>
      </c>
      <c r="Q32" s="2">
        <v>0</v>
      </c>
      <c r="R32" s="2">
        <v>0</v>
      </c>
      <c r="S32" s="2">
        <v>0.73</v>
      </c>
      <c r="T32" s="2">
        <v>0</v>
      </c>
      <c r="U32" s="2">
        <v>0</v>
      </c>
      <c r="V32" s="2">
        <v>1.94</v>
      </c>
      <c r="W32" s="60">
        <f t="shared" si="1"/>
        <v>72.149999999999991</v>
      </c>
      <c r="X32" s="2">
        <f>AVERAGE(W28:W32)</f>
        <v>72.097999999999999</v>
      </c>
      <c r="Y32" s="3">
        <f>(W32-X32)/X32*100</f>
        <v>7.2124053371789093E-2</v>
      </c>
      <c r="Z32" s="3">
        <f>STDEV(W28:W32)</f>
        <v>11.508219671174125</v>
      </c>
      <c r="AA32" s="62">
        <v>8</v>
      </c>
      <c r="AB32" s="62">
        <f>AVERAGE(AA28:AA32)</f>
        <v>7.26</v>
      </c>
      <c r="AC32" s="3"/>
      <c r="AD32" s="3"/>
      <c r="AE32" s="2">
        <v>2.8</v>
      </c>
      <c r="AF32" s="2">
        <f>AVERAGE(AE28:AE32)</f>
        <v>2.9199999999999995</v>
      </c>
    </row>
    <row r="33" spans="1:32">
      <c r="A33" s="2"/>
      <c r="B33" s="2"/>
      <c r="C33" s="2">
        <v>3</v>
      </c>
      <c r="D33" s="2">
        <v>1</v>
      </c>
      <c r="E33" s="2">
        <v>2.34</v>
      </c>
      <c r="F33" s="2">
        <v>0</v>
      </c>
      <c r="G33" s="2">
        <v>0</v>
      </c>
      <c r="H33" s="2">
        <v>0</v>
      </c>
      <c r="I33" s="2">
        <v>24.950000000000003</v>
      </c>
      <c r="J33" s="2">
        <v>0</v>
      </c>
      <c r="K33" s="2">
        <v>0</v>
      </c>
      <c r="L33" s="2">
        <v>6.51</v>
      </c>
      <c r="M33" s="2">
        <v>6.85</v>
      </c>
      <c r="N33" s="2">
        <v>0</v>
      </c>
      <c r="O33" s="2">
        <v>0</v>
      </c>
      <c r="P33" s="2">
        <v>0.09</v>
      </c>
      <c r="Q33" s="2">
        <v>0.45</v>
      </c>
      <c r="R33" s="2">
        <v>0</v>
      </c>
      <c r="S33" s="2">
        <v>0.38</v>
      </c>
      <c r="T33" s="2">
        <v>0</v>
      </c>
      <c r="U33" s="2">
        <v>23.61</v>
      </c>
      <c r="V33" s="2">
        <v>2.69</v>
      </c>
      <c r="W33" s="60">
        <f t="shared" si="1"/>
        <v>67.87</v>
      </c>
      <c r="X33" s="2"/>
      <c r="Y33" s="3">
        <f>(W33-X37)/X37*100</f>
        <v>-3.4401320282267132</v>
      </c>
      <c r="Z33" s="3"/>
      <c r="AA33" s="62">
        <v>8.5</v>
      </c>
      <c r="AB33" s="2"/>
      <c r="AC33" s="3"/>
      <c r="AD33" s="3"/>
      <c r="AE33" s="2">
        <v>6.5</v>
      </c>
      <c r="AF33" s="2"/>
    </row>
    <row r="34" spans="1:32">
      <c r="A34" s="2"/>
      <c r="B34" s="2"/>
      <c r="C34" s="2"/>
      <c r="D34" s="2">
        <v>2</v>
      </c>
      <c r="E34" s="2">
        <v>0</v>
      </c>
      <c r="F34" s="2">
        <v>0</v>
      </c>
      <c r="G34" s="2">
        <v>0</v>
      </c>
      <c r="H34" s="2">
        <v>0</v>
      </c>
      <c r="I34" s="2">
        <v>18.93</v>
      </c>
      <c r="J34" s="2">
        <v>0</v>
      </c>
      <c r="K34" s="2">
        <v>0</v>
      </c>
      <c r="L34" s="2">
        <v>3.06</v>
      </c>
      <c r="M34" s="2">
        <v>51.31</v>
      </c>
      <c r="N34" s="2">
        <v>0</v>
      </c>
      <c r="O34" s="2">
        <v>0</v>
      </c>
      <c r="P34" s="2">
        <v>0.15</v>
      </c>
      <c r="Q34" s="2">
        <v>0</v>
      </c>
      <c r="R34" s="2">
        <v>0</v>
      </c>
      <c r="S34" s="2">
        <v>0</v>
      </c>
      <c r="T34" s="2">
        <v>0</v>
      </c>
      <c r="U34" s="2">
        <v>2.71</v>
      </c>
      <c r="V34" s="2">
        <v>0</v>
      </c>
      <c r="W34" s="60">
        <f t="shared" si="1"/>
        <v>76.16</v>
      </c>
      <c r="X34" s="2"/>
      <c r="Y34" s="3">
        <f>(W34-X37)/X37*100</f>
        <v>8.3541998634190762</v>
      </c>
      <c r="Z34" s="3"/>
      <c r="AA34" s="62">
        <v>5.8</v>
      </c>
      <c r="AB34" s="2"/>
      <c r="AC34" s="3"/>
      <c r="AD34" s="3"/>
      <c r="AE34" s="2">
        <v>2.2000000000000002</v>
      </c>
      <c r="AF34" s="2"/>
    </row>
    <row r="35" spans="1:32">
      <c r="A35" s="2"/>
      <c r="B35" s="2"/>
      <c r="C35" s="2"/>
      <c r="D35" s="2">
        <v>3</v>
      </c>
      <c r="E35" s="2">
        <v>0</v>
      </c>
      <c r="F35" s="2">
        <v>0</v>
      </c>
      <c r="G35" s="2">
        <v>0</v>
      </c>
      <c r="H35" s="2">
        <v>0</v>
      </c>
      <c r="I35" s="2">
        <v>34.870000000000005</v>
      </c>
      <c r="J35" s="2">
        <v>0</v>
      </c>
      <c r="K35" s="2">
        <v>0</v>
      </c>
      <c r="L35" s="2">
        <v>1.92</v>
      </c>
      <c r="M35" s="2">
        <v>6.93</v>
      </c>
      <c r="N35" s="2">
        <v>0</v>
      </c>
      <c r="O35" s="2">
        <v>0</v>
      </c>
      <c r="P35" s="2">
        <v>0</v>
      </c>
      <c r="Q35" s="2">
        <v>7.16</v>
      </c>
      <c r="R35" s="2">
        <v>0</v>
      </c>
      <c r="S35" s="2">
        <v>0.89</v>
      </c>
      <c r="T35" s="2">
        <v>0</v>
      </c>
      <c r="U35" s="2">
        <v>2.23</v>
      </c>
      <c r="V35" s="2">
        <v>7.41</v>
      </c>
      <c r="W35" s="60">
        <f t="shared" si="1"/>
        <v>61.410000000000011</v>
      </c>
      <c r="X35" s="2"/>
      <c r="Y35" s="3">
        <f>(W35-X37)/X37*100</f>
        <v>-12.630890052355999</v>
      </c>
      <c r="Z35" s="3"/>
      <c r="AA35" s="62">
        <v>8.5</v>
      </c>
      <c r="AB35" s="2"/>
      <c r="AC35" s="3"/>
      <c r="AD35" s="3"/>
      <c r="AE35" s="2">
        <v>1.2</v>
      </c>
      <c r="AF35" s="2"/>
    </row>
    <row r="36" spans="1:32">
      <c r="A36" s="2"/>
      <c r="B36" s="2"/>
      <c r="C36" s="2"/>
      <c r="D36" s="2">
        <v>4</v>
      </c>
      <c r="E36" s="2">
        <v>1.48</v>
      </c>
      <c r="F36" s="2">
        <v>0</v>
      </c>
      <c r="G36" s="2">
        <v>0</v>
      </c>
      <c r="H36" s="2">
        <v>0</v>
      </c>
      <c r="I36" s="2">
        <v>21.63</v>
      </c>
      <c r="J36" s="2">
        <v>0</v>
      </c>
      <c r="K36" s="2">
        <v>0</v>
      </c>
      <c r="L36" s="2">
        <v>6.64</v>
      </c>
      <c r="M36" s="2">
        <v>11.85</v>
      </c>
      <c r="N36" s="2">
        <v>0</v>
      </c>
      <c r="O36" s="2">
        <v>0</v>
      </c>
      <c r="P36" s="2">
        <v>0</v>
      </c>
      <c r="Q36" s="2">
        <v>0.3</v>
      </c>
      <c r="R36" s="2">
        <v>0</v>
      </c>
      <c r="S36" s="2">
        <v>0.99</v>
      </c>
      <c r="T36" s="2">
        <v>0</v>
      </c>
      <c r="U36" s="2">
        <v>29.36</v>
      </c>
      <c r="V36" s="2">
        <v>7.31</v>
      </c>
      <c r="W36" s="60">
        <f t="shared" si="1"/>
        <v>79.56</v>
      </c>
      <c r="X36" s="2"/>
      <c r="Y36" s="3">
        <f>(W36-X37)/X37*100</f>
        <v>13.191440928750293</v>
      </c>
      <c r="Z36" s="3"/>
      <c r="AA36" s="62">
        <v>8.1</v>
      </c>
      <c r="AB36" s="2"/>
      <c r="AC36" s="3"/>
      <c r="AD36" s="3"/>
      <c r="AE36" s="2">
        <v>1.9</v>
      </c>
      <c r="AF36" s="2"/>
    </row>
    <row r="37" spans="1:32">
      <c r="A37" s="2"/>
      <c r="B37" s="2"/>
      <c r="C37" s="2"/>
      <c r="D37" s="2">
        <v>5</v>
      </c>
      <c r="E37" s="2">
        <v>0.16</v>
      </c>
      <c r="F37" s="2">
        <v>0</v>
      </c>
      <c r="G37" s="2">
        <v>0</v>
      </c>
      <c r="H37" s="2">
        <v>0</v>
      </c>
      <c r="I37" s="2">
        <v>28.08</v>
      </c>
      <c r="J37" s="2">
        <v>0</v>
      </c>
      <c r="K37" s="2">
        <v>0</v>
      </c>
      <c r="L37" s="2">
        <v>11.43</v>
      </c>
      <c r="M37" s="2">
        <v>8.11</v>
      </c>
      <c r="N37" s="2">
        <v>0</v>
      </c>
      <c r="O37" s="2">
        <v>0</v>
      </c>
      <c r="P37" s="2">
        <v>0</v>
      </c>
      <c r="Q37" s="2">
        <v>3.18</v>
      </c>
      <c r="R37" s="2">
        <v>0</v>
      </c>
      <c r="S37" s="2">
        <v>0.72</v>
      </c>
      <c r="T37" s="2">
        <v>0</v>
      </c>
      <c r="U37" s="2">
        <v>7.39</v>
      </c>
      <c r="V37" s="2">
        <v>7.37</v>
      </c>
      <c r="W37" s="60">
        <f t="shared" si="1"/>
        <v>66.44</v>
      </c>
      <c r="X37" s="2">
        <f>AVERAGE(W33:W37)</f>
        <v>70.287999999999997</v>
      </c>
      <c r="Y37" s="3">
        <f>(W37-X37)/X37*100</f>
        <v>-5.4746187115866141</v>
      </c>
      <c r="Z37" s="3">
        <f>STDEV(W33:W37)</f>
        <v>7.4149018874156356</v>
      </c>
      <c r="AA37" s="62">
        <v>3.9</v>
      </c>
      <c r="AB37" s="62">
        <f>AVERAGE(AA33:AA37)</f>
        <v>6.9599999999999991</v>
      </c>
      <c r="AC37" s="3"/>
      <c r="AD37" s="3"/>
      <c r="AE37" s="2">
        <v>2.1</v>
      </c>
      <c r="AF37" s="2">
        <f>AVERAGE(AE33:AE37)</f>
        <v>2.78</v>
      </c>
    </row>
    <row r="38" spans="1:32">
      <c r="A38" s="2"/>
      <c r="B38" s="2"/>
      <c r="C38" s="2">
        <v>4</v>
      </c>
      <c r="D38" s="2">
        <v>1</v>
      </c>
      <c r="E38" s="2">
        <v>0</v>
      </c>
      <c r="F38" s="2">
        <v>0</v>
      </c>
      <c r="G38" s="2">
        <v>0</v>
      </c>
      <c r="H38" s="2">
        <v>0</v>
      </c>
      <c r="I38" s="2">
        <v>17.25</v>
      </c>
      <c r="J38" s="2">
        <v>0</v>
      </c>
      <c r="K38" s="2">
        <v>0</v>
      </c>
      <c r="L38" s="2">
        <v>10.87</v>
      </c>
      <c r="M38" s="2">
        <v>13.3</v>
      </c>
      <c r="N38" s="2">
        <v>0</v>
      </c>
      <c r="O38" s="2">
        <v>0</v>
      </c>
      <c r="P38" s="2">
        <v>0</v>
      </c>
      <c r="Q38" s="2">
        <v>2.09</v>
      </c>
      <c r="R38" s="2">
        <v>0</v>
      </c>
      <c r="S38" s="2">
        <v>0.85</v>
      </c>
      <c r="T38" s="2">
        <v>0</v>
      </c>
      <c r="U38" s="2">
        <v>22.74</v>
      </c>
      <c r="V38" s="2">
        <v>1.18</v>
      </c>
      <c r="W38" s="60">
        <f t="shared" si="1"/>
        <v>68.280000000000015</v>
      </c>
      <c r="X38" s="2"/>
      <c r="Y38" s="3">
        <f>(W38-X42)/X42*100</f>
        <v>4.3972845697510916</v>
      </c>
      <c r="Z38" s="3"/>
      <c r="AA38" s="62">
        <v>8</v>
      </c>
      <c r="AB38" s="2"/>
      <c r="AC38" s="3"/>
      <c r="AD38" s="3"/>
      <c r="AE38" s="2">
        <v>6.1</v>
      </c>
      <c r="AF38" s="2"/>
    </row>
    <row r="39" spans="1:32">
      <c r="A39" s="2"/>
      <c r="B39" s="2"/>
      <c r="C39" s="2"/>
      <c r="D39" s="2">
        <v>2</v>
      </c>
      <c r="E39" s="2">
        <v>0</v>
      </c>
      <c r="F39" s="2">
        <v>0</v>
      </c>
      <c r="G39" s="2">
        <v>0</v>
      </c>
      <c r="H39" s="2">
        <v>0</v>
      </c>
      <c r="I39" s="2">
        <v>27.2</v>
      </c>
      <c r="J39" s="2">
        <v>0</v>
      </c>
      <c r="K39" s="2">
        <v>0</v>
      </c>
      <c r="L39" s="2">
        <v>7.23</v>
      </c>
      <c r="M39" s="2">
        <v>12.31</v>
      </c>
      <c r="N39" s="2">
        <v>0</v>
      </c>
      <c r="O39" s="2">
        <v>0</v>
      </c>
      <c r="P39" s="2">
        <v>0</v>
      </c>
      <c r="Q39" s="2">
        <v>0</v>
      </c>
      <c r="R39" s="2">
        <v>0</v>
      </c>
      <c r="S39" s="2">
        <v>2.44</v>
      </c>
      <c r="T39" s="2">
        <v>0</v>
      </c>
      <c r="U39" s="2">
        <v>10.83</v>
      </c>
      <c r="V39" s="2">
        <v>0.94</v>
      </c>
      <c r="W39" s="60">
        <f t="shared" si="1"/>
        <v>60.949999999999996</v>
      </c>
      <c r="X39" s="2"/>
      <c r="Y39" s="3">
        <f>(W39-X42)/X42*100</f>
        <v>-6.8099810409149502</v>
      </c>
      <c r="Z39" s="3"/>
      <c r="AA39" s="62">
        <v>9.6999999999999993</v>
      </c>
      <c r="AB39" s="2"/>
      <c r="AC39" s="3"/>
      <c r="AD39" s="3"/>
      <c r="AE39" s="2">
        <v>1.8</v>
      </c>
      <c r="AF39" s="2"/>
    </row>
    <row r="40" spans="1:32">
      <c r="A40" s="2"/>
      <c r="B40" s="2"/>
      <c r="C40" s="2"/>
      <c r="D40" s="2">
        <v>3</v>
      </c>
      <c r="E40" s="2">
        <v>0.11</v>
      </c>
      <c r="F40" s="2">
        <v>0</v>
      </c>
      <c r="G40" s="2">
        <v>0</v>
      </c>
      <c r="H40" s="2">
        <v>0</v>
      </c>
      <c r="I40" s="2">
        <v>33.31</v>
      </c>
      <c r="J40" s="2">
        <v>0</v>
      </c>
      <c r="K40" s="2">
        <v>0</v>
      </c>
      <c r="L40" s="2">
        <v>3.1</v>
      </c>
      <c r="M40" s="2">
        <v>17.239999999999998</v>
      </c>
      <c r="N40" s="2">
        <v>0</v>
      </c>
      <c r="O40" s="2">
        <v>0.08</v>
      </c>
      <c r="P40" s="2">
        <v>2.2200000000000002</v>
      </c>
      <c r="Q40" s="2">
        <v>4.58</v>
      </c>
      <c r="R40" s="2">
        <v>0</v>
      </c>
      <c r="S40" s="2">
        <v>1.71</v>
      </c>
      <c r="T40" s="2">
        <v>0</v>
      </c>
      <c r="U40" s="2">
        <v>10.95</v>
      </c>
      <c r="V40" s="2">
        <v>0</v>
      </c>
      <c r="W40" s="60">
        <f t="shared" si="1"/>
        <v>73.22</v>
      </c>
      <c r="X40" s="2"/>
      <c r="Y40" s="3">
        <f>(W40-X42)/X42*100</f>
        <v>11.950339428781094</v>
      </c>
      <c r="Z40" s="3"/>
      <c r="AA40" s="62">
        <v>6.6</v>
      </c>
      <c r="AB40" s="2"/>
      <c r="AC40" s="3"/>
      <c r="AD40" s="3"/>
      <c r="AE40" s="2">
        <v>1.6</v>
      </c>
      <c r="AF40" s="2"/>
    </row>
    <row r="41" spans="1:32">
      <c r="A41" s="2"/>
      <c r="B41" s="2"/>
      <c r="C41" s="2"/>
      <c r="D41" s="2">
        <v>4</v>
      </c>
      <c r="E41" s="2">
        <v>0</v>
      </c>
      <c r="F41" s="2">
        <v>0</v>
      </c>
      <c r="G41" s="2">
        <v>0</v>
      </c>
      <c r="H41" s="2">
        <v>0</v>
      </c>
      <c r="I41" s="2">
        <v>31.509999999999998</v>
      </c>
      <c r="J41" s="2">
        <v>0</v>
      </c>
      <c r="K41" s="2">
        <v>0</v>
      </c>
      <c r="L41" s="2">
        <v>6.41</v>
      </c>
      <c r="M41" s="2">
        <v>1.65</v>
      </c>
      <c r="N41" s="2">
        <v>0</v>
      </c>
      <c r="O41" s="2">
        <v>0.44</v>
      </c>
      <c r="P41" s="2">
        <v>0</v>
      </c>
      <c r="Q41" s="2">
        <v>15.38</v>
      </c>
      <c r="R41" s="2">
        <v>0</v>
      </c>
      <c r="S41" s="2">
        <v>1.59</v>
      </c>
      <c r="T41" s="2">
        <v>0</v>
      </c>
      <c r="U41" s="2">
        <v>13.72</v>
      </c>
      <c r="V41" s="2">
        <v>1.25</v>
      </c>
      <c r="W41" s="60">
        <f t="shared" si="1"/>
        <v>71.510000000000005</v>
      </c>
      <c r="X41" s="2"/>
      <c r="Y41" s="3">
        <f>(W41-X42)/X42*100</f>
        <v>9.3358204391168638</v>
      </c>
      <c r="Z41" s="3"/>
      <c r="AA41" s="62">
        <v>6.3</v>
      </c>
      <c r="AB41" s="2"/>
      <c r="AC41" s="3"/>
      <c r="AD41" s="3"/>
      <c r="AE41" s="2">
        <v>1</v>
      </c>
      <c r="AF41" s="2"/>
    </row>
    <row r="42" spans="1:32">
      <c r="A42" s="2"/>
      <c r="B42" s="2"/>
      <c r="C42" s="2"/>
      <c r="D42" s="2">
        <v>5</v>
      </c>
      <c r="E42" s="2">
        <v>0</v>
      </c>
      <c r="F42" s="2">
        <v>0</v>
      </c>
      <c r="G42" s="2">
        <v>0</v>
      </c>
      <c r="H42" s="2">
        <v>0</v>
      </c>
      <c r="I42" s="2">
        <v>14.41</v>
      </c>
      <c r="J42" s="2">
        <v>0</v>
      </c>
      <c r="K42" s="2">
        <v>0</v>
      </c>
      <c r="L42" s="2">
        <v>1.19</v>
      </c>
      <c r="M42" s="2">
        <v>4.93</v>
      </c>
      <c r="N42" s="2">
        <v>0</v>
      </c>
      <c r="O42" s="2">
        <v>0.24</v>
      </c>
      <c r="P42" s="2">
        <v>0</v>
      </c>
      <c r="Q42" s="2">
        <v>0.18</v>
      </c>
      <c r="R42" s="2">
        <v>0</v>
      </c>
      <c r="S42" s="2">
        <v>0.6</v>
      </c>
      <c r="T42" s="2">
        <v>0</v>
      </c>
      <c r="U42" s="2">
        <v>31.75</v>
      </c>
      <c r="V42" s="2">
        <v>0</v>
      </c>
      <c r="W42" s="60">
        <f t="shared" si="1"/>
        <v>53.06</v>
      </c>
      <c r="X42" s="2">
        <f>AVERAGE(W38:W42)</f>
        <v>65.404000000000011</v>
      </c>
      <c r="Y42" s="3">
        <f>(W42-X42)/X42*100</f>
        <v>-18.873463396734156</v>
      </c>
      <c r="Z42" s="3">
        <f>STDEV(W38:W42)</f>
        <v>8.3495047757337382</v>
      </c>
      <c r="AA42" s="62">
        <v>8.1</v>
      </c>
      <c r="AB42" s="62">
        <f>AVERAGE(AA38:AA42)</f>
        <v>7.7399999999999993</v>
      </c>
      <c r="AC42" s="3"/>
      <c r="AD42" s="3"/>
      <c r="AE42" s="2">
        <v>6.3</v>
      </c>
      <c r="AF42" s="2">
        <f>AVERAGE(AE38:AE42)</f>
        <v>3.3600000000000003</v>
      </c>
    </row>
    <row r="43" spans="1:32">
      <c r="A43" s="2" t="s">
        <v>78</v>
      </c>
      <c r="B43" s="2" t="s">
        <v>95</v>
      </c>
      <c r="C43" s="2">
        <v>1</v>
      </c>
      <c r="D43" s="2">
        <v>1</v>
      </c>
      <c r="E43" s="2">
        <v>0.3</v>
      </c>
      <c r="F43" s="2">
        <v>49.3</v>
      </c>
      <c r="G43" s="2">
        <v>0</v>
      </c>
      <c r="H43" s="2">
        <v>0</v>
      </c>
      <c r="I43" s="2">
        <v>15.8</v>
      </c>
      <c r="J43" s="2">
        <v>0</v>
      </c>
      <c r="K43" s="2">
        <v>0</v>
      </c>
      <c r="L43" s="2">
        <v>0.3</v>
      </c>
      <c r="M43" s="2">
        <v>13.5</v>
      </c>
      <c r="N43" s="2">
        <v>0.2</v>
      </c>
      <c r="O43" s="2">
        <v>0</v>
      </c>
      <c r="P43" s="2">
        <v>0</v>
      </c>
      <c r="Q43" s="2">
        <v>1.6</v>
      </c>
      <c r="R43" s="2">
        <v>2.9</v>
      </c>
      <c r="S43" s="2">
        <v>1</v>
      </c>
      <c r="T43" s="2">
        <v>0</v>
      </c>
      <c r="U43" s="2">
        <v>0</v>
      </c>
      <c r="V43" s="2">
        <v>1</v>
      </c>
      <c r="W43" s="60">
        <f t="shared" si="1"/>
        <v>82.999999999999986</v>
      </c>
      <c r="X43" s="3"/>
      <c r="Y43" s="3">
        <f>(W43-X47)/X47*100</f>
        <v>-0.21639817263766148</v>
      </c>
      <c r="Z43" s="3"/>
      <c r="AA43" s="62">
        <v>2.7</v>
      </c>
      <c r="AB43" s="2"/>
      <c r="AC43" s="3"/>
      <c r="AD43" s="3"/>
      <c r="AE43" s="2">
        <v>0.4</v>
      </c>
      <c r="AF43" s="2"/>
    </row>
    <row r="44" spans="1:32">
      <c r="A44" s="2"/>
      <c r="B44" s="2"/>
      <c r="C44" s="2"/>
      <c r="D44" s="2">
        <v>2</v>
      </c>
      <c r="E44" s="2">
        <v>2.5</v>
      </c>
      <c r="F44" s="2">
        <v>11.1</v>
      </c>
      <c r="G44" s="2">
        <v>0</v>
      </c>
      <c r="H44" s="2">
        <v>0</v>
      </c>
      <c r="I44" s="2">
        <v>20.6</v>
      </c>
      <c r="J44" s="2">
        <v>0</v>
      </c>
      <c r="K44" s="2">
        <v>0</v>
      </c>
      <c r="L44" s="2">
        <v>7.8</v>
      </c>
      <c r="M44" s="2">
        <v>14.6</v>
      </c>
      <c r="N44" s="2">
        <v>0.4</v>
      </c>
      <c r="O44" s="2">
        <v>0.2</v>
      </c>
      <c r="P44" s="2">
        <v>0.7</v>
      </c>
      <c r="Q44" s="2">
        <v>0</v>
      </c>
      <c r="R44" s="2">
        <v>0</v>
      </c>
      <c r="S44" s="2">
        <v>1.9</v>
      </c>
      <c r="T44" s="2">
        <v>0</v>
      </c>
      <c r="U44" s="2">
        <v>31.6</v>
      </c>
      <c r="V44" s="2">
        <v>4.7</v>
      </c>
      <c r="W44" s="60">
        <f t="shared" si="1"/>
        <v>95.9</v>
      </c>
      <c r="X44" s="3"/>
      <c r="Y44" s="3">
        <f>(W44-X47)/X47*100</f>
        <v>15.292137533060849</v>
      </c>
      <c r="Z44" s="3"/>
      <c r="AA44" s="62">
        <v>5.4</v>
      </c>
      <c r="AB44" s="2"/>
      <c r="AC44" s="3"/>
      <c r="AD44" s="3"/>
      <c r="AE44" s="2">
        <v>2.2999999999999998</v>
      </c>
      <c r="AF44" s="2"/>
    </row>
    <row r="45" spans="1:32">
      <c r="A45" s="2"/>
      <c r="B45" s="2"/>
      <c r="C45" s="2"/>
      <c r="D45" s="2">
        <v>3</v>
      </c>
      <c r="E45" s="2">
        <v>0</v>
      </c>
      <c r="F45" s="2">
        <v>19.3</v>
      </c>
      <c r="G45" s="2">
        <v>0</v>
      </c>
      <c r="H45" s="2">
        <v>0</v>
      </c>
      <c r="I45" s="2">
        <v>22.9</v>
      </c>
      <c r="J45" s="2">
        <v>0</v>
      </c>
      <c r="K45" s="2">
        <v>0</v>
      </c>
      <c r="L45" s="2">
        <v>2.6</v>
      </c>
      <c r="M45" s="2">
        <v>19.3</v>
      </c>
      <c r="N45" s="2">
        <v>0</v>
      </c>
      <c r="O45" s="2">
        <v>0</v>
      </c>
      <c r="P45" s="2">
        <v>0</v>
      </c>
      <c r="Q45" s="2">
        <v>0</v>
      </c>
      <c r="R45" s="2">
        <v>2.6</v>
      </c>
      <c r="S45" s="2">
        <v>1.5</v>
      </c>
      <c r="T45" s="2">
        <v>0</v>
      </c>
      <c r="U45" s="2">
        <v>25.3</v>
      </c>
      <c r="V45" s="2">
        <v>0.2</v>
      </c>
      <c r="W45" s="60">
        <f t="shared" si="1"/>
        <v>91.100000000000009</v>
      </c>
      <c r="X45" s="3"/>
      <c r="Y45" s="3">
        <f>(W45-X47)/X47*100</f>
        <v>9.5215195960567645</v>
      </c>
      <c r="Z45" s="3"/>
      <c r="AA45" s="62">
        <v>5.0999999999999996</v>
      </c>
      <c r="AB45" s="2"/>
      <c r="AC45" s="3"/>
      <c r="AD45" s="3"/>
      <c r="AE45" s="2">
        <v>1.4</v>
      </c>
      <c r="AF45" s="2"/>
    </row>
    <row r="46" spans="1:32">
      <c r="A46" s="2"/>
      <c r="B46" s="2"/>
      <c r="C46" s="2"/>
      <c r="D46" s="2">
        <v>4</v>
      </c>
      <c r="E46" s="2">
        <v>0</v>
      </c>
      <c r="F46" s="2">
        <v>21.7</v>
      </c>
      <c r="G46" s="2">
        <v>0</v>
      </c>
      <c r="H46" s="2">
        <v>0</v>
      </c>
      <c r="I46" s="2">
        <v>17</v>
      </c>
      <c r="J46" s="2">
        <v>0</v>
      </c>
      <c r="K46" s="2">
        <v>0</v>
      </c>
      <c r="L46" s="2">
        <v>2.2000000000000002</v>
      </c>
      <c r="M46" s="2">
        <v>15.1</v>
      </c>
      <c r="N46" s="2">
        <v>0</v>
      </c>
      <c r="O46" s="2">
        <v>0</v>
      </c>
      <c r="P46" s="2">
        <v>0</v>
      </c>
      <c r="Q46" s="2">
        <v>0</v>
      </c>
      <c r="R46" s="2">
        <v>1.5</v>
      </c>
      <c r="S46" s="2">
        <v>0.8</v>
      </c>
      <c r="T46" s="2">
        <v>0</v>
      </c>
      <c r="U46" s="2">
        <v>16.7</v>
      </c>
      <c r="V46" s="2">
        <v>0.1</v>
      </c>
      <c r="W46" s="60">
        <f t="shared" si="1"/>
        <v>73.599999999999994</v>
      </c>
      <c r="X46" s="3"/>
      <c r="Y46" s="3">
        <f>(W46-X47)/X47*100</f>
        <v>-11.517191632603991</v>
      </c>
      <c r="Z46" s="3"/>
      <c r="AA46" s="62">
        <v>2.7</v>
      </c>
      <c r="AB46" s="2"/>
      <c r="AC46" s="3"/>
      <c r="AD46" s="3"/>
      <c r="AE46" s="2">
        <v>1</v>
      </c>
      <c r="AF46" s="2"/>
    </row>
    <row r="47" spans="1:32">
      <c r="A47" s="2"/>
      <c r="B47" s="2"/>
      <c r="C47" s="2"/>
      <c r="D47" s="2">
        <v>5</v>
      </c>
      <c r="E47" s="2">
        <v>0</v>
      </c>
      <c r="F47" s="2">
        <v>2</v>
      </c>
      <c r="G47" s="2">
        <v>0</v>
      </c>
      <c r="H47" s="2">
        <v>0</v>
      </c>
      <c r="I47" s="2">
        <v>19.5</v>
      </c>
      <c r="J47" s="2">
        <v>0</v>
      </c>
      <c r="K47" s="2">
        <v>0</v>
      </c>
      <c r="L47" s="2">
        <v>2.9</v>
      </c>
      <c r="M47" s="2">
        <v>4.2</v>
      </c>
      <c r="N47" s="2">
        <v>0.6</v>
      </c>
      <c r="O47" s="2">
        <v>0.2</v>
      </c>
      <c r="P47" s="2">
        <v>0</v>
      </c>
      <c r="Q47" s="2">
        <v>0</v>
      </c>
      <c r="R47" s="2">
        <v>1</v>
      </c>
      <c r="S47" s="2">
        <v>2.2000000000000002</v>
      </c>
      <c r="T47" s="2">
        <v>0</v>
      </c>
      <c r="U47" s="2">
        <v>39.799999999999997</v>
      </c>
      <c r="V47" s="2">
        <v>1.1000000000000001</v>
      </c>
      <c r="W47" s="60">
        <f t="shared" si="1"/>
        <v>72.299999999999983</v>
      </c>
      <c r="X47" s="2">
        <f>AVERAGE(W43:W47)</f>
        <v>83.179999999999993</v>
      </c>
      <c r="Y47" s="3">
        <f>(W47-X47)/X47*100</f>
        <v>-13.080067323875944</v>
      </c>
      <c r="Z47" s="3">
        <f>STDEV(W43:W47)</f>
        <v>10.424826137638924</v>
      </c>
      <c r="AA47" s="62">
        <v>4.8</v>
      </c>
      <c r="AB47" s="62">
        <f>AVERAGE(AA43:AA47)</f>
        <v>4.1400000000000006</v>
      </c>
      <c r="AC47" s="3"/>
      <c r="AD47" s="3"/>
      <c r="AE47" s="2">
        <v>11.2</v>
      </c>
      <c r="AF47" s="2">
        <f>AVERAGE(AE43:AE47)</f>
        <v>3.2599999999999993</v>
      </c>
    </row>
    <row r="48" spans="1:32">
      <c r="A48" s="2"/>
      <c r="B48" s="2"/>
      <c r="C48" s="2">
        <v>2</v>
      </c>
      <c r="D48" s="2">
        <v>1</v>
      </c>
      <c r="E48" s="2">
        <v>0</v>
      </c>
      <c r="F48" s="2">
        <v>0</v>
      </c>
      <c r="G48" s="2">
        <v>40.76</v>
      </c>
      <c r="H48" s="2">
        <v>0</v>
      </c>
      <c r="I48" s="2">
        <v>14.29</v>
      </c>
      <c r="J48" s="2">
        <v>0</v>
      </c>
      <c r="K48" s="2">
        <v>0</v>
      </c>
      <c r="L48" s="2">
        <v>0</v>
      </c>
      <c r="M48" s="2">
        <v>0.68</v>
      </c>
      <c r="N48" s="2">
        <v>0</v>
      </c>
      <c r="O48" s="2">
        <v>0</v>
      </c>
      <c r="P48" s="2">
        <v>0</v>
      </c>
      <c r="Q48" s="2">
        <v>0</v>
      </c>
      <c r="R48" s="2">
        <v>0</v>
      </c>
      <c r="S48" s="2">
        <v>0.28999999999999998</v>
      </c>
      <c r="T48" s="2">
        <v>0</v>
      </c>
      <c r="U48" s="2">
        <v>6.26</v>
      </c>
      <c r="V48" s="2">
        <v>8.8699999999999992</v>
      </c>
      <c r="W48" s="60">
        <f t="shared" si="1"/>
        <v>71.149999999999991</v>
      </c>
      <c r="X48" s="2"/>
      <c r="Y48" s="3">
        <f>(W48-X52)/X52*100</f>
        <v>1.2119832712168255</v>
      </c>
      <c r="Z48" s="3"/>
      <c r="AA48" s="66">
        <f>AVERAGE(AA49:AA52)</f>
        <v>3.4000000000000004</v>
      </c>
      <c r="AB48" s="2"/>
      <c r="AC48" s="3"/>
      <c r="AD48" s="3"/>
      <c r="AE48" s="66">
        <f>AVERAGE(AE49:AE52)</f>
        <v>1.9249999999999998</v>
      </c>
      <c r="AF48" s="2"/>
    </row>
    <row r="49" spans="1:32">
      <c r="A49" s="2"/>
      <c r="B49" s="2"/>
      <c r="C49" s="2"/>
      <c r="D49" s="2">
        <v>2</v>
      </c>
      <c r="E49" s="2">
        <v>0</v>
      </c>
      <c r="F49" s="2">
        <v>0</v>
      </c>
      <c r="G49" s="2">
        <v>44.19</v>
      </c>
      <c r="H49" s="2">
        <v>0</v>
      </c>
      <c r="I49" s="2">
        <v>18.36</v>
      </c>
      <c r="J49" s="2">
        <v>0</v>
      </c>
      <c r="K49" s="2">
        <v>0</v>
      </c>
      <c r="L49" s="2"/>
      <c r="M49" s="2">
        <v>8.48</v>
      </c>
      <c r="N49" s="2">
        <v>0.6</v>
      </c>
      <c r="O49" s="2">
        <v>0</v>
      </c>
      <c r="P49" s="2">
        <v>0</v>
      </c>
      <c r="Q49" s="2">
        <v>0</v>
      </c>
      <c r="R49" s="2">
        <v>0</v>
      </c>
      <c r="S49" s="2">
        <v>0.43</v>
      </c>
      <c r="T49" s="2">
        <v>0</v>
      </c>
      <c r="U49" s="2">
        <v>0.54</v>
      </c>
      <c r="V49" s="2">
        <v>1.72</v>
      </c>
      <c r="W49" s="60">
        <f t="shared" si="1"/>
        <v>74.320000000000007</v>
      </c>
      <c r="X49" s="2"/>
      <c r="Y49" s="3">
        <f>(W49-X52)/X52*100</f>
        <v>5.7213576488662845</v>
      </c>
      <c r="Z49" s="3"/>
      <c r="AA49" s="62">
        <v>2.7</v>
      </c>
      <c r="AB49" s="2"/>
      <c r="AC49" s="3"/>
      <c r="AD49" s="3"/>
      <c r="AE49" s="2">
        <v>2.2999999999999998</v>
      </c>
      <c r="AF49" s="2"/>
    </row>
    <row r="50" spans="1:32">
      <c r="A50" s="2"/>
      <c r="B50" s="2"/>
      <c r="C50" s="2"/>
      <c r="D50" s="2">
        <v>3</v>
      </c>
      <c r="E50" s="2">
        <v>0</v>
      </c>
      <c r="F50" s="2">
        <v>17.100000000000001</v>
      </c>
      <c r="G50" s="2">
        <v>0</v>
      </c>
      <c r="H50" s="2">
        <v>0</v>
      </c>
      <c r="I50" s="2">
        <v>13.8</v>
      </c>
      <c r="J50" s="2">
        <v>0</v>
      </c>
      <c r="K50" s="2">
        <v>0</v>
      </c>
      <c r="L50" s="2">
        <v>0.1</v>
      </c>
      <c r="M50" s="2">
        <v>0.6</v>
      </c>
      <c r="N50" s="2">
        <v>0</v>
      </c>
      <c r="O50" s="2">
        <v>0</v>
      </c>
      <c r="P50" s="2">
        <v>0.6</v>
      </c>
      <c r="Q50" s="2">
        <v>0</v>
      </c>
      <c r="R50" s="2">
        <v>0</v>
      </c>
      <c r="S50" s="2">
        <v>1.4</v>
      </c>
      <c r="T50" s="2">
        <v>0</v>
      </c>
      <c r="U50" s="2">
        <v>28.1</v>
      </c>
      <c r="V50" s="2">
        <v>13.9</v>
      </c>
      <c r="W50" s="60">
        <f t="shared" si="1"/>
        <v>75.600000000000009</v>
      </c>
      <c r="X50" s="2"/>
      <c r="Y50" s="3">
        <f>(W50-X52)/X52*100</f>
        <v>7.5421775868446073</v>
      </c>
      <c r="Z50" s="3"/>
      <c r="AA50" s="62">
        <v>4.5</v>
      </c>
      <c r="AB50" s="2"/>
      <c r="AC50" s="3"/>
      <c r="AD50" s="3"/>
      <c r="AE50" s="2">
        <v>2.4</v>
      </c>
      <c r="AF50" s="2"/>
    </row>
    <row r="51" spans="1:32">
      <c r="A51" s="2"/>
      <c r="B51" s="2"/>
      <c r="C51" s="2"/>
      <c r="D51" s="2">
        <v>4</v>
      </c>
      <c r="E51" s="2">
        <v>0</v>
      </c>
      <c r="F51" s="2">
        <v>0</v>
      </c>
      <c r="G51" s="2">
        <v>19.22</v>
      </c>
      <c r="H51" s="2">
        <v>0</v>
      </c>
      <c r="I51" s="2">
        <v>12.81</v>
      </c>
      <c r="J51" s="2">
        <v>0</v>
      </c>
      <c r="K51" s="2">
        <v>0</v>
      </c>
      <c r="L51" s="2">
        <v>2</v>
      </c>
      <c r="M51" s="2">
        <v>0.74</v>
      </c>
      <c r="N51" s="2">
        <v>0.41</v>
      </c>
      <c r="O51" s="2">
        <v>0</v>
      </c>
      <c r="P51" s="2">
        <v>0.31</v>
      </c>
      <c r="Q51" s="2">
        <v>0</v>
      </c>
      <c r="R51" s="2">
        <v>0</v>
      </c>
      <c r="S51" s="2">
        <v>1.02</v>
      </c>
      <c r="T51" s="2">
        <v>0</v>
      </c>
      <c r="U51" s="2">
        <v>35.83</v>
      </c>
      <c r="V51" s="2">
        <v>0</v>
      </c>
      <c r="W51" s="60">
        <f t="shared" si="1"/>
        <v>72.34</v>
      </c>
      <c r="X51" s="2"/>
      <c r="Y51" s="3">
        <f>(W51-X52)/X52*100</f>
        <v>2.9047768073060629</v>
      </c>
      <c r="Z51" s="3"/>
      <c r="AA51" s="62">
        <v>3.7</v>
      </c>
      <c r="AB51" s="2"/>
      <c r="AC51" s="3"/>
      <c r="AD51" s="3"/>
      <c r="AE51" s="2">
        <v>1.2</v>
      </c>
      <c r="AF51" s="2"/>
    </row>
    <row r="52" spans="1:32">
      <c r="A52" s="2"/>
      <c r="B52" s="2"/>
      <c r="C52" s="2"/>
      <c r="D52" s="2">
        <v>5</v>
      </c>
      <c r="E52" s="2">
        <v>0.32</v>
      </c>
      <c r="F52" s="2">
        <v>0</v>
      </c>
      <c r="G52" s="2">
        <v>33.42</v>
      </c>
      <c r="H52" s="2">
        <v>0</v>
      </c>
      <c r="I52" s="2">
        <v>15.59</v>
      </c>
      <c r="J52" s="2">
        <v>0</v>
      </c>
      <c r="K52" s="2">
        <v>0</v>
      </c>
      <c r="L52" s="2">
        <v>7.0000000000000007E-2</v>
      </c>
      <c r="M52" s="2">
        <v>2.85</v>
      </c>
      <c r="N52" s="2">
        <v>0</v>
      </c>
      <c r="O52" s="2">
        <v>0</v>
      </c>
      <c r="P52" s="2">
        <v>0</v>
      </c>
      <c r="Q52" s="2">
        <v>0.39</v>
      </c>
      <c r="R52" s="2">
        <v>0</v>
      </c>
      <c r="S52" s="2">
        <v>0.35</v>
      </c>
      <c r="T52" s="2">
        <v>0</v>
      </c>
      <c r="U52" s="2">
        <v>3.54</v>
      </c>
      <c r="V52" s="2">
        <v>1.55</v>
      </c>
      <c r="W52" s="60">
        <f t="shared" si="1"/>
        <v>58.08</v>
      </c>
      <c r="X52" s="2">
        <f>AVERAGE(W48:W52)</f>
        <v>70.297999999999988</v>
      </c>
      <c r="Y52" s="3">
        <f>(W52-X52)/X52*100</f>
        <v>-17.380295314233678</v>
      </c>
      <c r="Z52" s="3">
        <f>STDEV(W48:W52)</f>
        <v>7.0438427012533467</v>
      </c>
      <c r="AA52" s="62">
        <v>2.7</v>
      </c>
      <c r="AB52" s="62">
        <f>AVERAGE(AA48:AA52)</f>
        <v>3.4</v>
      </c>
      <c r="AC52" s="3"/>
      <c r="AD52" s="3"/>
      <c r="AE52" s="2">
        <v>1.8</v>
      </c>
      <c r="AF52" s="62">
        <f>AVERAGE(AE48:AE52)</f>
        <v>1.925</v>
      </c>
    </row>
    <row r="53" spans="1:32">
      <c r="A53" s="2"/>
      <c r="B53" s="2"/>
      <c r="C53" s="2">
        <v>3</v>
      </c>
      <c r="D53" s="2">
        <v>1</v>
      </c>
      <c r="E53" s="2">
        <v>3.02</v>
      </c>
      <c r="F53" s="2">
        <v>0</v>
      </c>
      <c r="G53" s="2">
        <v>0</v>
      </c>
      <c r="H53" s="2">
        <v>0</v>
      </c>
      <c r="I53" s="2">
        <v>14.68</v>
      </c>
      <c r="J53" s="2">
        <v>0</v>
      </c>
      <c r="K53" s="2">
        <v>0</v>
      </c>
      <c r="L53" s="2">
        <v>2.5299999999999998</v>
      </c>
      <c r="M53" s="2">
        <v>8.6199999999999992</v>
      </c>
      <c r="N53" s="2">
        <v>0</v>
      </c>
      <c r="O53" s="2">
        <v>0.68</v>
      </c>
      <c r="P53" s="2">
        <v>0.13</v>
      </c>
      <c r="Q53" s="2">
        <v>0</v>
      </c>
      <c r="R53" s="2">
        <v>0</v>
      </c>
      <c r="S53" s="2">
        <v>1.67</v>
      </c>
      <c r="T53" s="2">
        <v>0</v>
      </c>
      <c r="U53" s="2">
        <v>37.26</v>
      </c>
      <c r="V53" s="2">
        <v>7.19</v>
      </c>
      <c r="W53" s="60">
        <f t="shared" si="1"/>
        <v>75.099999999999994</v>
      </c>
      <c r="X53" s="2"/>
      <c r="Y53" s="3">
        <f>(W53-X57)/X57*100</f>
        <v>-8.43138450283484</v>
      </c>
      <c r="Z53" s="3"/>
      <c r="AA53" s="62">
        <v>3.6</v>
      </c>
      <c r="AB53" s="2"/>
      <c r="AC53" s="3"/>
      <c r="AD53" s="3"/>
      <c r="AE53" s="2">
        <v>1.3</v>
      </c>
      <c r="AF53" s="2"/>
    </row>
    <row r="54" spans="1:32">
      <c r="A54" s="2"/>
      <c r="B54" s="2"/>
      <c r="C54" s="2"/>
      <c r="D54" s="2">
        <v>2</v>
      </c>
      <c r="E54" s="2">
        <v>4.53</v>
      </c>
      <c r="F54" s="2">
        <v>0</v>
      </c>
      <c r="G54" s="2">
        <v>1.95</v>
      </c>
      <c r="H54" s="2">
        <v>0</v>
      </c>
      <c r="I54" s="2">
        <v>12.38</v>
      </c>
      <c r="J54" s="2">
        <v>0</v>
      </c>
      <c r="K54" s="2">
        <v>0</v>
      </c>
      <c r="L54" s="2">
        <v>1.64</v>
      </c>
      <c r="M54" s="2">
        <v>6.17</v>
      </c>
      <c r="N54" s="2">
        <v>0</v>
      </c>
      <c r="O54" s="2">
        <v>0</v>
      </c>
      <c r="P54" s="2">
        <v>0.28999999999999998</v>
      </c>
      <c r="Q54" s="2">
        <v>0</v>
      </c>
      <c r="R54" s="2">
        <v>0</v>
      </c>
      <c r="S54" s="2">
        <v>0.86</v>
      </c>
      <c r="T54" s="2">
        <v>0</v>
      </c>
      <c r="U54" s="2">
        <v>17.2</v>
      </c>
      <c r="V54" s="2">
        <v>5.5</v>
      </c>
      <c r="W54" s="60">
        <f t="shared" si="1"/>
        <v>50.519999999999996</v>
      </c>
      <c r="X54" s="2"/>
      <c r="Y54" s="3">
        <f>(W54-X57)/X57*100</f>
        <v>-38.401511918551478</v>
      </c>
      <c r="Z54" s="3"/>
      <c r="AA54" s="62">
        <v>3.8</v>
      </c>
      <c r="AB54" s="2"/>
      <c r="AC54" s="3"/>
      <c r="AD54" s="3"/>
      <c r="AE54" s="2">
        <v>2.2999999999999998</v>
      </c>
      <c r="AF54" s="2"/>
    </row>
    <row r="55" spans="1:32">
      <c r="A55" s="2"/>
      <c r="B55" s="2"/>
      <c r="C55" s="2"/>
      <c r="D55" s="2">
        <v>3</v>
      </c>
      <c r="E55" s="5"/>
      <c r="F55" s="5"/>
      <c r="G55" s="5"/>
      <c r="H55" s="5"/>
      <c r="I55" s="5"/>
      <c r="J55" s="5"/>
      <c r="K55" s="5"/>
      <c r="L55" s="5"/>
      <c r="M55" s="5"/>
      <c r="N55" s="5"/>
      <c r="O55" s="5"/>
      <c r="P55" s="5"/>
      <c r="Q55" s="5"/>
      <c r="R55" s="5"/>
      <c r="S55" s="5"/>
      <c r="T55" s="5"/>
      <c r="U55" s="5"/>
      <c r="V55" s="5"/>
      <c r="W55" s="60"/>
      <c r="X55" s="2"/>
      <c r="Y55" s="3"/>
      <c r="Z55" s="3"/>
      <c r="AA55" s="62">
        <v>3.7</v>
      </c>
      <c r="AB55" s="2"/>
      <c r="AC55" s="3"/>
      <c r="AD55" s="3"/>
      <c r="AE55" s="2">
        <v>2.6</v>
      </c>
      <c r="AF55" s="2"/>
    </row>
    <row r="56" spans="1:32">
      <c r="A56" s="2"/>
      <c r="B56" s="2"/>
      <c r="C56" s="2"/>
      <c r="D56" s="2">
        <v>4</v>
      </c>
      <c r="E56" s="2">
        <v>4.83</v>
      </c>
      <c r="F56" s="2">
        <v>0</v>
      </c>
      <c r="G56" s="2">
        <v>1.31</v>
      </c>
      <c r="H56" s="2">
        <v>0</v>
      </c>
      <c r="I56" s="2">
        <v>9.4</v>
      </c>
      <c r="J56" s="2">
        <v>0</v>
      </c>
      <c r="K56" s="2">
        <v>0</v>
      </c>
      <c r="L56" s="2">
        <v>0</v>
      </c>
      <c r="M56" s="2">
        <v>10.53</v>
      </c>
      <c r="N56" s="2">
        <v>0</v>
      </c>
      <c r="O56" s="2">
        <v>0</v>
      </c>
      <c r="P56" s="2">
        <v>0.89</v>
      </c>
      <c r="Q56" s="2">
        <v>0.41</v>
      </c>
      <c r="R56" s="2">
        <v>0</v>
      </c>
      <c r="S56" s="2">
        <v>3.6400000000000006</v>
      </c>
      <c r="T56" s="2">
        <v>0</v>
      </c>
      <c r="U56" s="2">
        <v>17.07</v>
      </c>
      <c r="V56" s="2">
        <v>27.08</v>
      </c>
      <c r="W56" s="60">
        <f t="shared" ref="W56:W82" si="2">SUM(E56:N56,P56:Q56,S56:V56)</f>
        <v>75.16</v>
      </c>
      <c r="X56" s="2"/>
      <c r="Y56" s="3">
        <f>(W56-X57)/X57*100</f>
        <v>-8.3582271535694588</v>
      </c>
      <c r="Z56" s="3"/>
      <c r="AA56" s="62">
        <v>4.5999999999999996</v>
      </c>
      <c r="AB56" s="2"/>
      <c r="AC56" s="3"/>
      <c r="AD56" s="3"/>
      <c r="AE56" s="2">
        <v>2.1</v>
      </c>
      <c r="AF56" s="2"/>
    </row>
    <row r="57" spans="1:32">
      <c r="A57" s="2"/>
      <c r="B57" s="2"/>
      <c r="C57" s="2"/>
      <c r="D57" s="2">
        <v>5</v>
      </c>
      <c r="E57" s="2">
        <v>1.44</v>
      </c>
      <c r="F57" s="2">
        <v>0</v>
      </c>
      <c r="G57" s="2">
        <v>0.28000000000000003</v>
      </c>
      <c r="H57" s="2">
        <v>0</v>
      </c>
      <c r="I57" s="2">
        <v>13.7</v>
      </c>
      <c r="J57" s="2">
        <v>0</v>
      </c>
      <c r="K57" s="2">
        <v>0</v>
      </c>
      <c r="L57" s="2">
        <v>1.91</v>
      </c>
      <c r="M57" s="2">
        <v>7.53</v>
      </c>
      <c r="N57" s="2">
        <v>0</v>
      </c>
      <c r="O57" s="2">
        <v>0</v>
      </c>
      <c r="P57" s="2">
        <v>5.09</v>
      </c>
      <c r="Q57" s="2">
        <v>0.2</v>
      </c>
      <c r="R57" s="2">
        <v>0</v>
      </c>
      <c r="S57" s="2">
        <v>1.47</v>
      </c>
      <c r="T57" s="2">
        <v>0</v>
      </c>
      <c r="U57" s="60">
        <v>89.98</v>
      </c>
      <c r="V57" s="2">
        <v>5.68</v>
      </c>
      <c r="W57" s="60">
        <f t="shared" si="2"/>
        <v>127.28</v>
      </c>
      <c r="X57" s="2">
        <f>AVERAGE(W53:W57)</f>
        <v>82.014999999999986</v>
      </c>
      <c r="Y57" s="3">
        <f>(W57-X57)/X57*100</f>
        <v>55.191123574955824</v>
      </c>
      <c r="Z57" s="3">
        <f>STDEV(W53:W54,W56:W57)</f>
        <v>32.32988039982007</v>
      </c>
      <c r="AA57" s="62">
        <v>3.8</v>
      </c>
      <c r="AB57" s="62">
        <f>AVERAGE(AA53:AA57)</f>
        <v>3.9</v>
      </c>
      <c r="AC57" s="3"/>
      <c r="AD57" s="3"/>
      <c r="AE57" s="2">
        <v>1.9</v>
      </c>
      <c r="AF57" s="2">
        <f>AVERAGE(AE53:AE57)</f>
        <v>2.04</v>
      </c>
    </row>
    <row r="58" spans="1:32">
      <c r="A58" s="2"/>
      <c r="B58" s="2"/>
      <c r="C58" s="2">
        <v>4</v>
      </c>
      <c r="D58" s="2">
        <v>1</v>
      </c>
      <c r="E58" s="2">
        <v>0</v>
      </c>
      <c r="F58" s="2">
        <v>0</v>
      </c>
      <c r="G58" s="2">
        <v>0.38</v>
      </c>
      <c r="H58" s="2">
        <v>0</v>
      </c>
      <c r="I58" s="2">
        <v>15.36</v>
      </c>
      <c r="J58" s="2">
        <v>0</v>
      </c>
      <c r="K58" s="2">
        <v>0</v>
      </c>
      <c r="L58" s="2">
        <v>1.21</v>
      </c>
      <c r="M58" s="2">
        <v>6.88</v>
      </c>
      <c r="N58" s="2">
        <v>0.2</v>
      </c>
      <c r="O58" s="2">
        <v>0</v>
      </c>
      <c r="P58" s="2">
        <v>0</v>
      </c>
      <c r="Q58" s="2">
        <v>0</v>
      </c>
      <c r="R58" s="2">
        <v>0</v>
      </c>
      <c r="S58" s="2">
        <v>0.74</v>
      </c>
      <c r="T58" s="2">
        <v>0</v>
      </c>
      <c r="U58" s="2">
        <v>40.159999999999997</v>
      </c>
      <c r="V58" s="2">
        <v>8.6199999999999992</v>
      </c>
      <c r="W58" s="60">
        <f t="shared" si="2"/>
        <v>73.55</v>
      </c>
      <c r="X58" s="2"/>
      <c r="Y58" s="3">
        <f>(W58-X62)/X62*100</f>
        <v>20.656845697037319</v>
      </c>
      <c r="Z58" s="3"/>
      <c r="AA58" s="62">
        <v>8.3000000000000007</v>
      </c>
      <c r="AB58" s="2"/>
      <c r="AC58" s="3"/>
      <c r="AD58" s="3"/>
      <c r="AE58" s="2">
        <v>1.4</v>
      </c>
      <c r="AF58" s="2"/>
    </row>
    <row r="59" spans="1:32">
      <c r="A59" s="2"/>
      <c r="B59" s="2"/>
      <c r="C59" s="2"/>
      <c r="D59" s="2">
        <v>2</v>
      </c>
      <c r="E59" s="2">
        <v>0</v>
      </c>
      <c r="F59" s="2">
        <v>0</v>
      </c>
      <c r="G59" s="2">
        <v>0</v>
      </c>
      <c r="H59" s="2">
        <v>0</v>
      </c>
      <c r="I59" s="2">
        <v>15.45</v>
      </c>
      <c r="J59" s="2">
        <v>0</v>
      </c>
      <c r="K59" s="2">
        <v>0</v>
      </c>
      <c r="L59" s="2">
        <v>1.29</v>
      </c>
      <c r="M59" s="2">
        <v>1.3</v>
      </c>
      <c r="N59" s="2">
        <v>0</v>
      </c>
      <c r="O59" s="2">
        <v>0.71</v>
      </c>
      <c r="P59" s="2">
        <v>0.28000000000000003</v>
      </c>
      <c r="Q59" s="2">
        <v>0.45</v>
      </c>
      <c r="R59" s="2">
        <v>0</v>
      </c>
      <c r="S59" s="2">
        <v>0</v>
      </c>
      <c r="T59" s="2">
        <v>0</v>
      </c>
      <c r="U59" s="2">
        <v>25.61</v>
      </c>
      <c r="V59" s="2">
        <v>6.7</v>
      </c>
      <c r="W59" s="60">
        <f t="shared" si="2"/>
        <v>51.08</v>
      </c>
      <c r="X59" s="2"/>
      <c r="Y59" s="3">
        <f>(W59-X62)/X62*100</f>
        <v>-16.204599888447774</v>
      </c>
      <c r="Z59" s="3"/>
      <c r="AA59" s="67">
        <v>6.4</v>
      </c>
      <c r="AB59" s="2"/>
      <c r="AC59" s="3"/>
      <c r="AD59" s="3"/>
      <c r="AE59" s="2">
        <v>1.6</v>
      </c>
      <c r="AF59" s="2"/>
    </row>
    <row r="60" spans="1:32">
      <c r="A60" s="2"/>
      <c r="B60" s="2"/>
      <c r="C60" s="2"/>
      <c r="D60" s="2">
        <v>3</v>
      </c>
      <c r="E60" s="2">
        <v>0</v>
      </c>
      <c r="F60" s="2">
        <v>0</v>
      </c>
      <c r="G60" s="2">
        <v>1.0900000000000001</v>
      </c>
      <c r="H60" s="2">
        <v>0</v>
      </c>
      <c r="I60" s="2">
        <v>14.14</v>
      </c>
      <c r="J60" s="2">
        <v>0</v>
      </c>
      <c r="K60" s="2">
        <v>0</v>
      </c>
      <c r="L60" s="2">
        <v>0</v>
      </c>
      <c r="M60" s="2">
        <v>0.21</v>
      </c>
      <c r="N60" s="2">
        <v>0</v>
      </c>
      <c r="O60" s="2">
        <v>13.99</v>
      </c>
      <c r="P60" s="2">
        <v>0</v>
      </c>
      <c r="Q60" s="2">
        <v>0</v>
      </c>
      <c r="R60" s="2">
        <v>0</v>
      </c>
      <c r="S60" s="2">
        <v>0</v>
      </c>
      <c r="T60" s="2">
        <v>0</v>
      </c>
      <c r="U60" s="2">
        <v>22.96</v>
      </c>
      <c r="V60" s="2">
        <v>3.5</v>
      </c>
      <c r="W60" s="60">
        <f t="shared" si="2"/>
        <v>41.900000000000006</v>
      </c>
      <c r="X60" s="2"/>
      <c r="Y60" s="3">
        <f>(W60-X62)/X62*100</f>
        <v>-31.264149086256094</v>
      </c>
      <c r="Z60" s="3"/>
      <c r="AA60" s="63">
        <v>7.9</v>
      </c>
      <c r="AB60" s="2"/>
      <c r="AC60" s="3"/>
      <c r="AD60" s="3"/>
      <c r="AE60" s="2">
        <v>3</v>
      </c>
      <c r="AF60" s="2"/>
    </row>
    <row r="61" spans="1:32">
      <c r="A61" s="2"/>
      <c r="B61" s="2"/>
      <c r="C61" s="2"/>
      <c r="D61" s="2">
        <v>4</v>
      </c>
      <c r="E61" s="2">
        <v>0</v>
      </c>
      <c r="F61" s="2">
        <v>0</v>
      </c>
      <c r="G61" s="2">
        <v>0</v>
      </c>
      <c r="H61" s="2">
        <v>0</v>
      </c>
      <c r="I61" s="2">
        <v>16.78</v>
      </c>
      <c r="J61" s="2">
        <v>0</v>
      </c>
      <c r="K61" s="2">
        <v>0</v>
      </c>
      <c r="L61" s="2">
        <v>0</v>
      </c>
      <c r="M61" s="2">
        <v>0</v>
      </c>
      <c r="N61" s="2">
        <v>0</v>
      </c>
      <c r="O61" s="2">
        <v>0</v>
      </c>
      <c r="P61" s="2">
        <v>0</v>
      </c>
      <c r="Q61" s="2">
        <v>0</v>
      </c>
      <c r="R61" s="2">
        <v>0</v>
      </c>
      <c r="S61" s="2">
        <v>0.37</v>
      </c>
      <c r="T61" s="2">
        <v>0</v>
      </c>
      <c r="U61" s="2">
        <v>37.159999999999997</v>
      </c>
      <c r="V61" s="2">
        <v>5.55</v>
      </c>
      <c r="W61" s="60">
        <f t="shared" si="2"/>
        <v>59.86</v>
      </c>
      <c r="X61" s="2"/>
      <c r="Y61" s="3">
        <f>(W61-X62)/X62*100</f>
        <v>-1.8012401981692183</v>
      </c>
      <c r="Z61" s="3"/>
      <c r="AA61" s="62">
        <v>8</v>
      </c>
      <c r="AB61" s="2"/>
      <c r="AC61" s="3"/>
      <c r="AD61" s="3"/>
      <c r="AE61" s="2">
        <v>1.6</v>
      </c>
      <c r="AF61" s="2"/>
    </row>
    <row r="62" spans="1:32">
      <c r="A62" s="2"/>
      <c r="B62" s="2"/>
      <c r="C62" s="2"/>
      <c r="D62" s="2">
        <v>5</v>
      </c>
      <c r="E62" s="2">
        <v>5.56</v>
      </c>
      <c r="F62" s="2">
        <v>0</v>
      </c>
      <c r="G62" s="2">
        <v>0</v>
      </c>
      <c r="H62" s="2">
        <v>0</v>
      </c>
      <c r="I62" s="2">
        <v>16.52</v>
      </c>
      <c r="J62" s="2">
        <v>0</v>
      </c>
      <c r="K62" s="2">
        <v>0</v>
      </c>
      <c r="L62" s="2">
        <v>0</v>
      </c>
      <c r="M62" s="2">
        <v>0</v>
      </c>
      <c r="N62" s="2">
        <v>0</v>
      </c>
      <c r="O62" s="2">
        <v>15.48</v>
      </c>
      <c r="P62" s="2">
        <v>20.98</v>
      </c>
      <c r="Q62" s="2">
        <v>0</v>
      </c>
      <c r="R62" s="2">
        <v>0</v>
      </c>
      <c r="S62" s="2">
        <v>0</v>
      </c>
      <c r="T62" s="2">
        <v>0</v>
      </c>
      <c r="U62" s="2">
        <v>5.45</v>
      </c>
      <c r="V62" s="2">
        <v>29.89</v>
      </c>
      <c r="W62" s="60">
        <f t="shared" si="2"/>
        <v>78.400000000000006</v>
      </c>
      <c r="X62" s="2">
        <f>AVERAGE(W58:W62)</f>
        <v>60.957999999999991</v>
      </c>
      <c r="Y62" s="3">
        <f>(W62-X62)/X62*100</f>
        <v>28.613143475835852</v>
      </c>
      <c r="Z62" s="3">
        <f>STDEV(W58:W62)</f>
        <v>15.205012989142798</v>
      </c>
      <c r="AA62" s="62">
        <v>9.1999999999999993</v>
      </c>
      <c r="AB62" s="62">
        <f>AVERAGE(AA58:AA62)</f>
        <v>7.9599999999999991</v>
      </c>
      <c r="AC62" s="3"/>
      <c r="AD62" s="3"/>
      <c r="AE62" s="2">
        <v>2.7</v>
      </c>
      <c r="AF62" s="2">
        <f>AVERAGE(AE58:AE62)</f>
        <v>2.06</v>
      </c>
    </row>
    <row r="63" spans="1:32">
      <c r="A63" s="2" t="s">
        <v>78</v>
      </c>
      <c r="B63" s="2" t="s">
        <v>101</v>
      </c>
      <c r="C63" s="2">
        <v>1</v>
      </c>
      <c r="D63" s="2">
        <v>1</v>
      </c>
      <c r="E63" s="2">
        <v>0</v>
      </c>
      <c r="F63" s="2">
        <v>0.1</v>
      </c>
      <c r="G63" s="2">
        <v>0</v>
      </c>
      <c r="H63" s="2">
        <v>0</v>
      </c>
      <c r="I63" s="2">
        <v>14.6</v>
      </c>
      <c r="J63" s="2">
        <v>0</v>
      </c>
      <c r="K63" s="2">
        <v>0</v>
      </c>
      <c r="L63" s="2">
        <v>0.2</v>
      </c>
      <c r="M63" s="2">
        <v>8.3000000000000007</v>
      </c>
      <c r="N63" s="2">
        <v>0</v>
      </c>
      <c r="O63" s="2">
        <v>0</v>
      </c>
      <c r="P63" s="2">
        <v>1.4</v>
      </c>
      <c r="Q63" s="2">
        <v>0.3</v>
      </c>
      <c r="R63" s="2">
        <v>0.6</v>
      </c>
      <c r="S63" s="2">
        <v>1.5</v>
      </c>
      <c r="T63" s="2">
        <v>0</v>
      </c>
      <c r="U63" s="2">
        <v>9.4</v>
      </c>
      <c r="V63" s="2">
        <v>30.1</v>
      </c>
      <c r="W63" s="60">
        <f t="shared" si="2"/>
        <v>65.900000000000006</v>
      </c>
      <c r="X63" s="2"/>
      <c r="Y63" s="3">
        <f>(W63-X67)/X67*100</f>
        <v>-2.871123688244301</v>
      </c>
      <c r="Z63" s="3"/>
      <c r="AA63" s="62">
        <v>22.9</v>
      </c>
      <c r="AB63" s="2"/>
      <c r="AC63" s="3"/>
      <c r="AD63" s="3"/>
      <c r="AE63" s="2">
        <v>2.1</v>
      </c>
      <c r="AF63" s="2"/>
    </row>
    <row r="64" spans="1:32">
      <c r="A64" s="2"/>
      <c r="B64" s="2"/>
      <c r="C64" s="2"/>
      <c r="D64" s="2">
        <v>2</v>
      </c>
      <c r="E64" s="2">
        <v>0</v>
      </c>
      <c r="F64" s="2">
        <v>0</v>
      </c>
      <c r="G64" s="2">
        <v>0</v>
      </c>
      <c r="H64" s="2">
        <v>0</v>
      </c>
      <c r="I64" s="2">
        <v>10.7</v>
      </c>
      <c r="J64" s="2">
        <v>0</v>
      </c>
      <c r="K64" s="2">
        <v>0</v>
      </c>
      <c r="L64" s="2">
        <v>1.4</v>
      </c>
      <c r="M64" s="2">
        <v>15.5</v>
      </c>
      <c r="N64" s="2">
        <v>0</v>
      </c>
      <c r="O64" s="2">
        <v>2</v>
      </c>
      <c r="P64" s="2">
        <v>1.1000000000000001</v>
      </c>
      <c r="Q64" s="2">
        <v>0.4</v>
      </c>
      <c r="R64" s="2">
        <v>0.2</v>
      </c>
      <c r="S64" s="2">
        <v>2.9</v>
      </c>
      <c r="T64" s="2">
        <v>0</v>
      </c>
      <c r="U64" s="2">
        <v>16.7</v>
      </c>
      <c r="V64" s="2">
        <v>22.8</v>
      </c>
      <c r="W64" s="60">
        <f t="shared" si="2"/>
        <v>71.5</v>
      </c>
      <c r="X64" s="2"/>
      <c r="Y64" s="3">
        <f>(W64-X67)/X67*100</f>
        <v>5.3826199740596641</v>
      </c>
      <c r="Z64" s="3"/>
      <c r="AA64" s="62">
        <v>11.1</v>
      </c>
      <c r="AB64" s="2"/>
      <c r="AC64" s="3"/>
      <c r="AD64" s="3"/>
      <c r="AE64" s="2">
        <v>5</v>
      </c>
      <c r="AF64" s="2"/>
    </row>
    <row r="65" spans="1:32">
      <c r="A65" s="2"/>
      <c r="B65" s="2"/>
      <c r="C65" s="2"/>
      <c r="D65" s="2">
        <v>3</v>
      </c>
      <c r="E65" s="2">
        <v>0</v>
      </c>
      <c r="F65" s="2">
        <v>0</v>
      </c>
      <c r="G65" s="2">
        <v>0</v>
      </c>
      <c r="H65" s="2">
        <v>0</v>
      </c>
      <c r="I65" s="2">
        <v>16.61</v>
      </c>
      <c r="J65" s="2">
        <v>0</v>
      </c>
      <c r="K65" s="2">
        <v>0</v>
      </c>
      <c r="L65" s="2">
        <v>0.66</v>
      </c>
      <c r="M65" s="2">
        <v>31.14</v>
      </c>
      <c r="N65" s="2">
        <v>0</v>
      </c>
      <c r="O65" s="2">
        <v>0.12</v>
      </c>
      <c r="P65" s="2">
        <v>0.2</v>
      </c>
      <c r="Q65" s="2">
        <v>0</v>
      </c>
      <c r="R65" s="2">
        <v>0</v>
      </c>
      <c r="S65" s="2">
        <v>2.94</v>
      </c>
      <c r="T65" s="2">
        <v>0</v>
      </c>
      <c r="U65" s="2">
        <v>4.3899999999999997</v>
      </c>
      <c r="V65" s="2">
        <v>3.87</v>
      </c>
      <c r="W65" s="60">
        <f t="shared" si="2"/>
        <v>59.809999999999995</v>
      </c>
      <c r="X65" s="2"/>
      <c r="Y65" s="3">
        <f>(W65-X67)/X67*100</f>
        <v>-11.847069920999887</v>
      </c>
      <c r="Z65" s="3"/>
      <c r="AA65" s="62">
        <v>16.3</v>
      </c>
      <c r="AB65" s="2"/>
      <c r="AC65" s="3"/>
      <c r="AD65" s="3"/>
      <c r="AE65" s="2">
        <v>2</v>
      </c>
      <c r="AF65" s="2"/>
    </row>
    <row r="66" spans="1:32">
      <c r="A66" s="2"/>
      <c r="B66" s="2"/>
      <c r="C66" s="2"/>
      <c r="D66" s="2">
        <v>4</v>
      </c>
      <c r="E66" s="2">
        <v>1.3</v>
      </c>
      <c r="F66" s="2">
        <v>0</v>
      </c>
      <c r="G66" s="2">
        <v>0.09</v>
      </c>
      <c r="H66" s="2">
        <v>0</v>
      </c>
      <c r="I66" s="2">
        <v>12.17</v>
      </c>
      <c r="J66" s="2">
        <v>0</v>
      </c>
      <c r="K66" s="2">
        <v>0</v>
      </c>
      <c r="L66" s="2">
        <v>0</v>
      </c>
      <c r="M66" s="2">
        <v>27.28</v>
      </c>
      <c r="N66" s="2">
        <v>0</v>
      </c>
      <c r="O66" s="2">
        <v>0</v>
      </c>
      <c r="P66" s="2">
        <v>16.850000000000001</v>
      </c>
      <c r="Q66" s="2">
        <v>0</v>
      </c>
      <c r="R66" s="2">
        <v>0</v>
      </c>
      <c r="S66" s="2">
        <v>2.61</v>
      </c>
      <c r="T66" s="2">
        <v>0</v>
      </c>
      <c r="U66" s="2">
        <v>7.1</v>
      </c>
      <c r="V66" s="2">
        <v>5.63</v>
      </c>
      <c r="W66" s="60">
        <f t="shared" si="2"/>
        <v>73.03</v>
      </c>
      <c r="X66" s="2"/>
      <c r="Y66" s="3">
        <f>(W66-X67)/X67*100</f>
        <v>7.6376606532248594</v>
      </c>
      <c r="Z66" s="3"/>
      <c r="AA66" s="62">
        <v>18.7</v>
      </c>
      <c r="AB66" s="2"/>
      <c r="AC66" s="3"/>
      <c r="AD66" s="3"/>
      <c r="AE66" s="2">
        <v>7.1</v>
      </c>
      <c r="AF66" s="2"/>
    </row>
    <row r="67" spans="1:32">
      <c r="A67" s="2"/>
      <c r="B67" s="2"/>
      <c r="C67" s="2"/>
      <c r="D67" s="2">
        <v>5</v>
      </c>
      <c r="E67" s="2">
        <v>0</v>
      </c>
      <c r="F67" s="2">
        <v>0</v>
      </c>
      <c r="G67" s="2">
        <v>0</v>
      </c>
      <c r="H67" s="2">
        <v>0</v>
      </c>
      <c r="I67" s="2">
        <v>15.4</v>
      </c>
      <c r="J67" s="2">
        <v>0</v>
      </c>
      <c r="K67" s="2">
        <v>0</v>
      </c>
      <c r="L67" s="2">
        <v>0.3</v>
      </c>
      <c r="M67" s="2">
        <v>7.3</v>
      </c>
      <c r="N67" s="2">
        <v>0</v>
      </c>
      <c r="O67" s="2">
        <v>0</v>
      </c>
      <c r="P67" s="2">
        <v>3.4</v>
      </c>
      <c r="Q67" s="2">
        <v>0</v>
      </c>
      <c r="R67" s="2">
        <v>1</v>
      </c>
      <c r="S67" s="2">
        <v>3.1</v>
      </c>
      <c r="T67" s="2">
        <v>0</v>
      </c>
      <c r="U67" s="2">
        <v>24.9</v>
      </c>
      <c r="V67" s="2">
        <v>14.6</v>
      </c>
      <c r="W67" s="60">
        <f t="shared" si="2"/>
        <v>69</v>
      </c>
      <c r="X67" s="2">
        <f>AVERAGE(W63:W67)</f>
        <v>67.847999999999999</v>
      </c>
      <c r="Y67" s="3">
        <f>(W67-X67)/X67*100</f>
        <v>1.6979129819596761</v>
      </c>
      <c r="Z67" s="3">
        <f>STDEV(W63:W67)</f>
        <v>5.2421722596648825</v>
      </c>
      <c r="AA67" s="62">
        <v>17.7</v>
      </c>
      <c r="AB67" s="62">
        <f>AVERAGE(AA63:AA67)</f>
        <v>17.34</v>
      </c>
      <c r="AC67" s="3"/>
      <c r="AD67" s="3"/>
      <c r="AE67" s="2">
        <v>3.2</v>
      </c>
      <c r="AF67" s="2">
        <f>AVERAGE(AE63:AE67)</f>
        <v>3.88</v>
      </c>
    </row>
    <row r="68" spans="1:32">
      <c r="A68" s="2"/>
      <c r="B68" s="2"/>
      <c r="C68" s="2">
        <v>2</v>
      </c>
      <c r="D68" s="2">
        <v>1</v>
      </c>
      <c r="E68" s="2">
        <v>3.47</v>
      </c>
      <c r="F68" s="2">
        <v>0</v>
      </c>
      <c r="G68" s="2">
        <v>0</v>
      </c>
      <c r="H68" s="2">
        <v>0</v>
      </c>
      <c r="I68" s="2">
        <v>13.88</v>
      </c>
      <c r="J68" s="2">
        <v>0</v>
      </c>
      <c r="K68" s="2">
        <v>0</v>
      </c>
      <c r="L68" s="2">
        <v>0.06</v>
      </c>
      <c r="M68" s="2">
        <v>10.01</v>
      </c>
      <c r="N68" s="2">
        <v>0</v>
      </c>
      <c r="O68" s="2">
        <v>0.01</v>
      </c>
      <c r="P68" s="2">
        <v>5.82</v>
      </c>
      <c r="Q68" s="2">
        <v>0</v>
      </c>
      <c r="R68" s="2">
        <v>0</v>
      </c>
      <c r="S68" s="2">
        <v>4.6100000000000003</v>
      </c>
      <c r="T68" s="2">
        <v>0</v>
      </c>
      <c r="U68" s="2">
        <v>14.21</v>
      </c>
      <c r="V68" s="2">
        <v>16.59</v>
      </c>
      <c r="W68" s="60">
        <f t="shared" si="2"/>
        <v>68.650000000000006</v>
      </c>
      <c r="X68" s="2"/>
      <c r="Y68" s="3">
        <f>(W68-X72)/X72*100</f>
        <v>-0.73454987130914928</v>
      </c>
      <c r="Z68" s="3"/>
      <c r="AA68" s="62">
        <v>17.399999999999999</v>
      </c>
      <c r="AB68" s="2"/>
      <c r="AC68" s="3"/>
      <c r="AD68" s="3"/>
      <c r="AE68" s="2">
        <v>2.4</v>
      </c>
      <c r="AF68" s="2"/>
    </row>
    <row r="69" spans="1:32">
      <c r="A69" s="2"/>
      <c r="B69" s="2"/>
      <c r="C69" s="2"/>
      <c r="D69" s="2">
        <v>2</v>
      </c>
      <c r="E69" s="2">
        <v>0</v>
      </c>
      <c r="F69" s="2">
        <v>0</v>
      </c>
      <c r="G69" s="2">
        <v>0</v>
      </c>
      <c r="H69" s="2">
        <v>0</v>
      </c>
      <c r="I69" s="2">
        <v>13.6</v>
      </c>
      <c r="J69" s="2">
        <v>0</v>
      </c>
      <c r="K69" s="2">
        <v>0</v>
      </c>
      <c r="L69" s="2">
        <v>0.4</v>
      </c>
      <c r="M69" s="2">
        <v>15.4</v>
      </c>
      <c r="N69" s="2">
        <v>0</v>
      </c>
      <c r="O69" s="2">
        <v>0.2</v>
      </c>
      <c r="P69" s="2">
        <v>13.1</v>
      </c>
      <c r="Q69" s="2">
        <v>0</v>
      </c>
      <c r="R69" s="2">
        <v>0.1</v>
      </c>
      <c r="S69" s="2">
        <v>1.7</v>
      </c>
      <c r="T69" s="2">
        <v>0</v>
      </c>
      <c r="U69" s="2">
        <v>10.5</v>
      </c>
      <c r="V69" s="2">
        <v>29.2</v>
      </c>
      <c r="W69" s="60">
        <f t="shared" si="2"/>
        <v>83.9</v>
      </c>
      <c r="X69" s="2"/>
      <c r="Y69" s="3">
        <f>(W69-X72)/X72*100</f>
        <v>21.316405911102144</v>
      </c>
      <c r="Z69" s="3"/>
      <c r="AA69" s="62">
        <v>12.6</v>
      </c>
      <c r="AB69" s="2"/>
      <c r="AC69" s="3"/>
      <c r="AD69" s="3"/>
      <c r="AE69" s="2">
        <v>1.9</v>
      </c>
      <c r="AF69" s="2"/>
    </row>
    <row r="70" spans="1:32">
      <c r="A70" s="2"/>
      <c r="B70" s="2"/>
      <c r="C70" s="2"/>
      <c r="D70" s="2">
        <v>3</v>
      </c>
      <c r="E70" s="2">
        <v>0</v>
      </c>
      <c r="F70" s="2">
        <v>0</v>
      </c>
      <c r="G70" s="2">
        <v>0</v>
      </c>
      <c r="H70" s="2">
        <v>0</v>
      </c>
      <c r="I70" s="2">
        <v>10.6</v>
      </c>
      <c r="J70" s="2">
        <v>0</v>
      </c>
      <c r="K70" s="2">
        <v>0</v>
      </c>
      <c r="L70" s="2">
        <v>0</v>
      </c>
      <c r="M70" s="2">
        <v>15.5</v>
      </c>
      <c r="N70" s="2">
        <v>0</v>
      </c>
      <c r="O70" s="2">
        <v>0</v>
      </c>
      <c r="P70" s="2">
        <v>1.3</v>
      </c>
      <c r="Q70" s="2">
        <v>0.8</v>
      </c>
      <c r="R70" s="2">
        <v>0</v>
      </c>
      <c r="S70" s="2">
        <v>1.6</v>
      </c>
      <c r="T70" s="2">
        <v>0</v>
      </c>
      <c r="U70" s="2">
        <v>8.6</v>
      </c>
      <c r="V70" s="2">
        <v>17</v>
      </c>
      <c r="W70" s="60">
        <f t="shared" si="2"/>
        <v>55.400000000000006</v>
      </c>
      <c r="X70" s="2"/>
      <c r="Y70" s="3">
        <f>(W70-X72)/X72*100</f>
        <v>-19.893577026518962</v>
      </c>
      <c r="Z70" s="3"/>
      <c r="AA70" s="62">
        <v>15.6</v>
      </c>
      <c r="AB70" s="2"/>
      <c r="AC70" s="3"/>
      <c r="AD70" s="3"/>
      <c r="AE70" s="2">
        <v>2.1</v>
      </c>
      <c r="AF70" s="2"/>
    </row>
    <row r="71" spans="1:32">
      <c r="A71" s="2"/>
      <c r="B71" s="2"/>
      <c r="C71" s="2"/>
      <c r="D71" s="2">
        <v>4</v>
      </c>
      <c r="E71" s="2">
        <v>0</v>
      </c>
      <c r="F71" s="2">
        <v>0</v>
      </c>
      <c r="G71" s="2">
        <v>0</v>
      </c>
      <c r="H71" s="2">
        <v>0</v>
      </c>
      <c r="I71" s="2">
        <v>17.690000000000001</v>
      </c>
      <c r="J71" s="2">
        <v>0</v>
      </c>
      <c r="K71" s="2">
        <v>0</v>
      </c>
      <c r="L71" s="2">
        <v>0.31</v>
      </c>
      <c r="M71" s="2">
        <v>6.14</v>
      </c>
      <c r="N71" s="2">
        <v>0</v>
      </c>
      <c r="O71" s="2">
        <v>0</v>
      </c>
      <c r="P71" s="2">
        <v>2.79</v>
      </c>
      <c r="Q71" s="2">
        <v>0</v>
      </c>
      <c r="R71" s="2">
        <v>0</v>
      </c>
      <c r="S71" s="2">
        <v>2.65</v>
      </c>
      <c r="T71" s="2">
        <v>0</v>
      </c>
      <c r="U71" s="2">
        <v>20.11</v>
      </c>
      <c r="V71" s="2">
        <v>6.25</v>
      </c>
      <c r="W71" s="60">
        <f t="shared" si="2"/>
        <v>55.94</v>
      </c>
      <c r="X71" s="2"/>
      <c r="Y71" s="3">
        <f>(W71-X72)/X72*100</f>
        <v>-19.112756297174574</v>
      </c>
      <c r="Z71" s="3"/>
      <c r="AA71" s="62">
        <v>16.899999999999999</v>
      </c>
      <c r="AB71" s="2"/>
      <c r="AC71" s="3"/>
      <c r="AD71" s="3"/>
      <c r="AE71" s="2">
        <v>1.3</v>
      </c>
      <c r="AF71" s="2"/>
    </row>
    <row r="72" spans="1:32">
      <c r="A72" s="2"/>
      <c r="B72" s="2"/>
      <c r="C72" s="2"/>
      <c r="D72" s="2">
        <v>5</v>
      </c>
      <c r="E72" s="2">
        <v>0</v>
      </c>
      <c r="F72" s="2">
        <v>0</v>
      </c>
      <c r="G72" s="2">
        <v>0</v>
      </c>
      <c r="H72" s="2">
        <v>0</v>
      </c>
      <c r="I72" s="2">
        <v>13.6</v>
      </c>
      <c r="J72" s="2">
        <v>0</v>
      </c>
      <c r="K72" s="2">
        <v>0</v>
      </c>
      <c r="L72" s="2">
        <v>0.2</v>
      </c>
      <c r="M72" s="2">
        <v>7.1</v>
      </c>
      <c r="N72" s="2">
        <v>0</v>
      </c>
      <c r="O72" s="2">
        <v>0.1</v>
      </c>
      <c r="P72" s="2">
        <v>15.1</v>
      </c>
      <c r="Q72" s="2">
        <v>0</v>
      </c>
      <c r="R72" s="2">
        <v>0.8</v>
      </c>
      <c r="S72" s="2">
        <v>3.8</v>
      </c>
      <c r="T72" s="2">
        <v>0</v>
      </c>
      <c r="U72" s="2">
        <v>17</v>
      </c>
      <c r="V72" s="2">
        <v>25.1</v>
      </c>
      <c r="W72" s="60">
        <f t="shared" si="2"/>
        <v>81.900000000000006</v>
      </c>
      <c r="X72" s="2">
        <f>AVERAGE(W68:W72)</f>
        <v>69.157999999999987</v>
      </c>
      <c r="Y72" s="3">
        <f>(W72-X72)/X72*100</f>
        <v>18.424477283900664</v>
      </c>
      <c r="Z72" s="3">
        <f>STDEV(W68:W72)</f>
        <v>13.637643491454144</v>
      </c>
      <c r="AA72" s="62">
        <v>22.5</v>
      </c>
      <c r="AB72" s="62">
        <f>AVERAGE(AA68:AA72)</f>
        <v>17</v>
      </c>
      <c r="AC72" s="3"/>
      <c r="AD72" s="3"/>
      <c r="AE72" s="2">
        <v>2.8</v>
      </c>
      <c r="AF72" s="2">
        <f>AVERAGE(AE68:AE72)</f>
        <v>2.1</v>
      </c>
    </row>
    <row r="73" spans="1:32">
      <c r="A73" s="2"/>
      <c r="B73" s="2"/>
      <c r="C73" s="2">
        <v>3</v>
      </c>
      <c r="D73" s="2">
        <v>1</v>
      </c>
      <c r="E73" s="2">
        <v>0</v>
      </c>
      <c r="F73" s="2">
        <v>1.8</v>
      </c>
      <c r="G73" s="2">
        <v>0</v>
      </c>
      <c r="H73" s="2">
        <v>0</v>
      </c>
      <c r="I73" s="2">
        <v>11.7</v>
      </c>
      <c r="J73" s="2">
        <v>0</v>
      </c>
      <c r="K73" s="2">
        <v>0</v>
      </c>
      <c r="L73" s="2">
        <v>0.1</v>
      </c>
      <c r="M73" s="2">
        <v>9.9</v>
      </c>
      <c r="N73" s="2">
        <v>0</v>
      </c>
      <c r="O73" s="2">
        <v>0.1</v>
      </c>
      <c r="P73" s="2">
        <v>1.6</v>
      </c>
      <c r="Q73" s="2">
        <v>0.5</v>
      </c>
      <c r="R73" s="2">
        <v>0.7</v>
      </c>
      <c r="S73" s="2">
        <v>1.1000000000000001</v>
      </c>
      <c r="T73" s="2">
        <v>0</v>
      </c>
      <c r="U73" s="2">
        <v>11.6</v>
      </c>
      <c r="V73" s="2">
        <v>9.6</v>
      </c>
      <c r="W73" s="60">
        <f t="shared" si="2"/>
        <v>47.900000000000006</v>
      </c>
      <c r="X73" s="2"/>
      <c r="Y73" s="3">
        <f>(W73-X77)/X77*100</f>
        <v>-9.5543806646525589</v>
      </c>
      <c r="Z73" s="3"/>
      <c r="AA73" s="62">
        <v>20.5</v>
      </c>
      <c r="AB73" s="2"/>
      <c r="AC73" s="3"/>
      <c r="AD73" s="3"/>
      <c r="AE73" s="2">
        <v>1.9</v>
      </c>
      <c r="AF73" s="2"/>
    </row>
    <row r="74" spans="1:32">
      <c r="A74" s="2"/>
      <c r="B74" s="2"/>
      <c r="C74" s="2"/>
      <c r="D74" s="2">
        <v>2</v>
      </c>
      <c r="E74" s="2">
        <v>0.1</v>
      </c>
      <c r="F74" s="2">
        <v>0</v>
      </c>
      <c r="G74" s="2">
        <v>0</v>
      </c>
      <c r="H74" s="2">
        <v>0</v>
      </c>
      <c r="I74" s="2">
        <v>25</v>
      </c>
      <c r="J74" s="2">
        <v>0</v>
      </c>
      <c r="K74" s="2">
        <v>0</v>
      </c>
      <c r="L74" s="2">
        <v>0.2</v>
      </c>
      <c r="M74" s="2">
        <v>6.9</v>
      </c>
      <c r="N74" s="2">
        <v>0</v>
      </c>
      <c r="O74" s="2">
        <v>0</v>
      </c>
      <c r="P74" s="2">
        <v>0.3</v>
      </c>
      <c r="Q74" s="2">
        <v>0.6</v>
      </c>
      <c r="R74" s="2">
        <v>5.9</v>
      </c>
      <c r="S74" s="2">
        <v>1.2</v>
      </c>
      <c r="T74" s="2">
        <v>0</v>
      </c>
      <c r="U74" s="2">
        <v>3.3</v>
      </c>
      <c r="V74" s="2">
        <v>7.8</v>
      </c>
      <c r="W74" s="60">
        <f t="shared" si="2"/>
        <v>45.4</v>
      </c>
      <c r="X74" s="2"/>
      <c r="Y74" s="3">
        <f>(W74-X77)/X77*100</f>
        <v>-14.274924471299096</v>
      </c>
      <c r="Z74" s="3"/>
      <c r="AA74" s="62">
        <v>23</v>
      </c>
      <c r="AB74" s="2"/>
      <c r="AC74" s="3"/>
      <c r="AD74" s="3"/>
      <c r="AE74" s="2">
        <v>6.1</v>
      </c>
      <c r="AF74" s="2"/>
    </row>
    <row r="75" spans="1:32">
      <c r="A75" s="2"/>
      <c r="B75" s="2"/>
      <c r="C75" s="2"/>
      <c r="D75" s="2">
        <v>3</v>
      </c>
      <c r="E75" s="2">
        <v>0</v>
      </c>
      <c r="F75" s="2">
        <v>0</v>
      </c>
      <c r="G75" s="2">
        <v>0</v>
      </c>
      <c r="H75" s="2">
        <v>0</v>
      </c>
      <c r="I75" s="2">
        <v>11.8</v>
      </c>
      <c r="J75" s="2">
        <v>0</v>
      </c>
      <c r="K75" s="2">
        <v>0</v>
      </c>
      <c r="L75" s="2">
        <v>0</v>
      </c>
      <c r="M75" s="2">
        <v>24</v>
      </c>
      <c r="N75" s="2">
        <v>0</v>
      </c>
      <c r="O75" s="2">
        <v>0</v>
      </c>
      <c r="P75" s="2">
        <v>1.6</v>
      </c>
      <c r="Q75" s="2">
        <v>0</v>
      </c>
      <c r="R75" s="2">
        <v>0.2</v>
      </c>
      <c r="S75" s="2">
        <v>4.4000000000000004</v>
      </c>
      <c r="T75" s="2">
        <v>0</v>
      </c>
      <c r="U75" s="2">
        <v>4.2</v>
      </c>
      <c r="V75" s="2">
        <v>15.7</v>
      </c>
      <c r="W75" s="60">
        <f t="shared" si="2"/>
        <v>61.7</v>
      </c>
      <c r="X75" s="2"/>
      <c r="Y75" s="3">
        <f>(W75-X77)/X77*100</f>
        <v>16.503021148036257</v>
      </c>
      <c r="Z75" s="3"/>
      <c r="AA75" s="62">
        <v>16.600000000000001</v>
      </c>
      <c r="AB75" s="2"/>
      <c r="AC75" s="3"/>
      <c r="AD75" s="3"/>
      <c r="AE75" s="2">
        <v>1.3</v>
      </c>
      <c r="AF75" s="2"/>
    </row>
    <row r="76" spans="1:32">
      <c r="A76" s="2"/>
      <c r="B76" s="2"/>
      <c r="C76" s="2"/>
      <c r="D76" s="2">
        <v>4</v>
      </c>
      <c r="E76" s="2">
        <v>0</v>
      </c>
      <c r="F76" s="2">
        <v>0.2</v>
      </c>
      <c r="G76" s="2">
        <v>0</v>
      </c>
      <c r="H76" s="2">
        <v>0</v>
      </c>
      <c r="I76" s="2">
        <v>12.4</v>
      </c>
      <c r="J76" s="2">
        <v>0</v>
      </c>
      <c r="K76" s="2">
        <v>0</v>
      </c>
      <c r="L76" s="2">
        <v>0.8</v>
      </c>
      <c r="M76" s="2">
        <v>11.5</v>
      </c>
      <c r="N76" s="2">
        <v>0</v>
      </c>
      <c r="O76" s="2">
        <v>0.1</v>
      </c>
      <c r="P76" s="2">
        <v>0.1</v>
      </c>
      <c r="Q76" s="2">
        <v>0</v>
      </c>
      <c r="R76" s="2">
        <v>0.3</v>
      </c>
      <c r="S76" s="2">
        <v>1.8</v>
      </c>
      <c r="T76" s="2">
        <v>0</v>
      </c>
      <c r="U76" s="2">
        <v>13.1</v>
      </c>
      <c r="V76" s="2">
        <v>4.0999999999999996</v>
      </c>
      <c r="W76" s="60">
        <f t="shared" si="2"/>
        <v>44</v>
      </c>
      <c r="X76" s="2"/>
      <c r="Y76" s="3">
        <f>(W76-X77)/X77*100</f>
        <v>-16.918429003021149</v>
      </c>
      <c r="Z76" s="3"/>
      <c r="AA76" s="62">
        <v>33.1</v>
      </c>
      <c r="AB76" s="2"/>
      <c r="AC76" s="3"/>
      <c r="AD76" s="3"/>
      <c r="AE76" s="2">
        <v>2.8</v>
      </c>
      <c r="AF76" s="2"/>
    </row>
    <row r="77" spans="1:32">
      <c r="A77" s="2"/>
      <c r="B77" s="2"/>
      <c r="C77" s="2"/>
      <c r="D77" s="2">
        <v>5</v>
      </c>
      <c r="E77" s="2">
        <v>0</v>
      </c>
      <c r="F77" s="2">
        <v>0</v>
      </c>
      <c r="G77" s="2">
        <v>0</v>
      </c>
      <c r="H77" s="2">
        <v>0</v>
      </c>
      <c r="I77" s="2">
        <v>20</v>
      </c>
      <c r="J77" s="2">
        <v>0</v>
      </c>
      <c r="K77" s="2">
        <v>0</v>
      </c>
      <c r="L77" s="2">
        <v>0.5</v>
      </c>
      <c r="M77" s="2">
        <v>17.3</v>
      </c>
      <c r="N77" s="2">
        <v>0</v>
      </c>
      <c r="O77" s="2">
        <v>0.1</v>
      </c>
      <c r="P77" s="2">
        <v>2.5</v>
      </c>
      <c r="Q77" s="2">
        <v>1.5</v>
      </c>
      <c r="R77" s="2">
        <v>0.5</v>
      </c>
      <c r="S77" s="2">
        <v>2.7</v>
      </c>
      <c r="T77" s="2">
        <v>0</v>
      </c>
      <c r="U77" s="2">
        <v>16</v>
      </c>
      <c r="V77" s="2">
        <v>5.3</v>
      </c>
      <c r="W77" s="60">
        <f t="shared" si="2"/>
        <v>65.8</v>
      </c>
      <c r="X77" s="2">
        <f>AVERAGE(W73:W77)</f>
        <v>52.96</v>
      </c>
      <c r="Y77" s="3">
        <f>(W77-X77)/X77*100</f>
        <v>24.244712990936549</v>
      </c>
      <c r="Z77" s="3">
        <f>STDEV(W73:W77)</f>
        <v>10.053506850845622</v>
      </c>
      <c r="AA77" s="62">
        <v>19.899999999999999</v>
      </c>
      <c r="AB77" s="62">
        <f>AVERAGE(AA73:AA77)</f>
        <v>22.619999999999997</v>
      </c>
      <c r="AC77" s="3"/>
      <c r="AD77" s="3"/>
      <c r="AE77" s="2">
        <v>2.6</v>
      </c>
      <c r="AF77" s="2">
        <f>AVERAGE(AE73:AE77)</f>
        <v>2.9400000000000004</v>
      </c>
    </row>
    <row r="78" spans="1:32">
      <c r="A78" s="2"/>
      <c r="B78" s="2"/>
      <c r="C78" s="2">
        <v>4</v>
      </c>
      <c r="D78" s="2">
        <v>1</v>
      </c>
      <c r="E78" s="2">
        <v>0.13</v>
      </c>
      <c r="F78" s="2">
        <v>0</v>
      </c>
      <c r="G78" s="2">
        <v>1.4</v>
      </c>
      <c r="H78" s="2">
        <v>0</v>
      </c>
      <c r="I78" s="2">
        <v>23.39</v>
      </c>
      <c r="J78" s="2">
        <v>0</v>
      </c>
      <c r="K78" s="2">
        <v>0</v>
      </c>
      <c r="L78" s="2">
        <v>0.7</v>
      </c>
      <c r="M78" s="2">
        <v>6.62</v>
      </c>
      <c r="N78" s="2">
        <v>0</v>
      </c>
      <c r="O78" s="2">
        <v>0.06</v>
      </c>
      <c r="P78" s="2">
        <v>6.31</v>
      </c>
      <c r="Q78" s="2">
        <v>0</v>
      </c>
      <c r="R78" s="2">
        <v>0</v>
      </c>
      <c r="S78" s="2">
        <v>2.4700000000000002</v>
      </c>
      <c r="T78" s="2">
        <v>0</v>
      </c>
      <c r="U78" s="2">
        <v>14.09</v>
      </c>
      <c r="V78" s="2">
        <v>1.58</v>
      </c>
      <c r="W78" s="60">
        <f t="shared" si="2"/>
        <v>56.69</v>
      </c>
      <c r="X78" s="2"/>
      <c r="Y78" s="3">
        <f>(W78-X82)/X82*100</f>
        <v>-11.59040578896477</v>
      </c>
      <c r="Z78" s="3"/>
      <c r="AA78" s="62">
        <v>45.6</v>
      </c>
      <c r="AB78" s="2"/>
      <c r="AC78" s="3"/>
      <c r="AD78" s="3"/>
      <c r="AE78" s="2">
        <v>3.6</v>
      </c>
      <c r="AF78" s="2"/>
    </row>
    <row r="79" spans="1:32">
      <c r="A79" s="2"/>
      <c r="B79" s="2"/>
      <c r="C79" s="2"/>
      <c r="D79" s="2">
        <v>2</v>
      </c>
      <c r="E79" s="2">
        <v>0</v>
      </c>
      <c r="F79" s="2">
        <v>0.1</v>
      </c>
      <c r="G79" s="2">
        <v>0</v>
      </c>
      <c r="H79" s="2">
        <v>0</v>
      </c>
      <c r="I79" s="2">
        <v>9.1</v>
      </c>
      <c r="J79" s="2">
        <v>0</v>
      </c>
      <c r="K79" s="2">
        <v>0</v>
      </c>
      <c r="L79" s="2">
        <v>1</v>
      </c>
      <c r="M79" s="2">
        <v>9</v>
      </c>
      <c r="N79" s="2">
        <v>0</v>
      </c>
      <c r="O79" s="2">
        <v>0.1</v>
      </c>
      <c r="P79" s="2">
        <v>0.5</v>
      </c>
      <c r="Q79" s="2">
        <v>3.3</v>
      </c>
      <c r="R79" s="2">
        <v>0.3</v>
      </c>
      <c r="S79" s="2">
        <v>2.9</v>
      </c>
      <c r="T79" s="2">
        <v>0</v>
      </c>
      <c r="U79" s="2">
        <v>18.8</v>
      </c>
      <c r="V79" s="2">
        <v>14.4</v>
      </c>
      <c r="W79" s="60">
        <f t="shared" si="2"/>
        <v>59.1</v>
      </c>
      <c r="X79" s="2"/>
      <c r="Y79" s="3">
        <f>(W79-X82)/X82*100</f>
        <v>-7.8319453541685933</v>
      </c>
      <c r="Z79" s="3"/>
      <c r="AA79" s="62">
        <v>19.399999999999999</v>
      </c>
      <c r="AB79" s="2"/>
      <c r="AC79" s="3"/>
      <c r="AD79" s="3"/>
      <c r="AE79" s="2">
        <v>3</v>
      </c>
      <c r="AF79" s="2"/>
    </row>
    <row r="80" spans="1:32">
      <c r="A80" s="2"/>
      <c r="B80" s="2"/>
      <c r="C80" s="2"/>
      <c r="D80" s="2">
        <v>3</v>
      </c>
      <c r="E80" s="2">
        <v>0</v>
      </c>
      <c r="F80" s="2">
        <v>0</v>
      </c>
      <c r="G80" s="2">
        <v>0</v>
      </c>
      <c r="H80" s="2">
        <v>0</v>
      </c>
      <c r="I80" s="2">
        <v>17.3</v>
      </c>
      <c r="J80" s="2">
        <v>0</v>
      </c>
      <c r="K80" s="2">
        <v>0</v>
      </c>
      <c r="L80" s="2">
        <v>0.4</v>
      </c>
      <c r="M80" s="2">
        <v>11.6</v>
      </c>
      <c r="N80" s="2">
        <v>0</v>
      </c>
      <c r="O80" s="2">
        <v>0.1</v>
      </c>
      <c r="P80" s="2">
        <v>0.3</v>
      </c>
      <c r="Q80" s="2">
        <v>0.6</v>
      </c>
      <c r="R80" s="2">
        <v>3.4</v>
      </c>
      <c r="S80" s="2">
        <v>7.1</v>
      </c>
      <c r="T80" s="2">
        <v>0</v>
      </c>
      <c r="U80" s="2">
        <v>16.899999999999999</v>
      </c>
      <c r="V80" s="2">
        <v>16.899999999999999</v>
      </c>
      <c r="W80" s="60">
        <f t="shared" si="2"/>
        <v>71.099999999999994</v>
      </c>
      <c r="X80" s="2"/>
      <c r="Y80" s="3">
        <f>(W80-X82)/X82*100</f>
        <v>10.882380462243864</v>
      </c>
      <c r="Z80" s="3"/>
      <c r="AA80" s="62">
        <v>35.1</v>
      </c>
      <c r="AB80" s="2"/>
      <c r="AC80" s="3"/>
      <c r="AD80" s="3"/>
      <c r="AE80" s="2">
        <v>3.8</v>
      </c>
      <c r="AF80" s="2"/>
    </row>
    <row r="81" spans="1:32">
      <c r="A81" s="2"/>
      <c r="B81" s="2"/>
      <c r="C81" s="2"/>
      <c r="D81" s="2">
        <v>4</v>
      </c>
      <c r="E81" s="2">
        <v>0</v>
      </c>
      <c r="F81" s="2">
        <v>0.5</v>
      </c>
      <c r="G81" s="2">
        <v>0</v>
      </c>
      <c r="H81" s="2">
        <v>0</v>
      </c>
      <c r="I81" s="2">
        <v>17.899999999999999</v>
      </c>
      <c r="J81" s="2">
        <v>0</v>
      </c>
      <c r="K81" s="2">
        <v>0</v>
      </c>
      <c r="L81" s="2">
        <v>0.3</v>
      </c>
      <c r="M81" s="2">
        <v>3.6</v>
      </c>
      <c r="N81" s="2">
        <v>0</v>
      </c>
      <c r="O81" s="2">
        <v>0</v>
      </c>
      <c r="P81" s="2">
        <v>0.8</v>
      </c>
      <c r="Q81" s="2">
        <v>0.9</v>
      </c>
      <c r="R81" s="2">
        <v>1.1000000000000001</v>
      </c>
      <c r="S81" s="2">
        <v>8.9</v>
      </c>
      <c r="T81" s="2">
        <v>0</v>
      </c>
      <c r="U81" s="2">
        <v>15.4</v>
      </c>
      <c r="V81" s="2">
        <v>16.8</v>
      </c>
      <c r="W81" s="60">
        <f t="shared" si="2"/>
        <v>65.099999999999994</v>
      </c>
      <c r="X81" s="2"/>
      <c r="Y81" s="3">
        <f>(W81-X82)/X82*100</f>
        <v>1.5252175540376296</v>
      </c>
      <c r="Z81" s="3"/>
      <c r="AA81" s="62">
        <v>32.6</v>
      </c>
      <c r="AB81" s="2"/>
      <c r="AC81" s="3"/>
      <c r="AD81" s="3"/>
      <c r="AE81" s="2">
        <v>1.8</v>
      </c>
      <c r="AF81" s="2"/>
    </row>
    <row r="82" spans="1:32">
      <c r="A82" s="2"/>
      <c r="B82" s="2"/>
      <c r="C82" s="2"/>
      <c r="D82" s="2">
        <v>5</v>
      </c>
      <c r="E82" s="2">
        <v>0</v>
      </c>
      <c r="F82" s="2">
        <v>0</v>
      </c>
      <c r="G82" s="2">
        <v>0</v>
      </c>
      <c r="H82" s="2">
        <v>0</v>
      </c>
      <c r="I82" s="2">
        <v>14.48</v>
      </c>
      <c r="J82" s="2">
        <v>0</v>
      </c>
      <c r="K82" s="2">
        <v>0</v>
      </c>
      <c r="L82" s="2">
        <v>0</v>
      </c>
      <c r="M82" s="2">
        <v>27.99</v>
      </c>
      <c r="N82" s="2">
        <v>0</v>
      </c>
      <c r="O82" s="2">
        <v>0</v>
      </c>
      <c r="P82" s="2">
        <v>2.08</v>
      </c>
      <c r="Q82" s="2">
        <v>0</v>
      </c>
      <c r="R82" s="2">
        <v>0</v>
      </c>
      <c r="S82" s="2">
        <v>2.94</v>
      </c>
      <c r="T82" s="2">
        <v>0</v>
      </c>
      <c r="U82" s="2">
        <v>12.64</v>
      </c>
      <c r="V82" s="2">
        <v>8.49</v>
      </c>
      <c r="W82" s="60">
        <f t="shared" si="2"/>
        <v>68.61999999999999</v>
      </c>
      <c r="X82" s="2">
        <f>AVERAGE(W78:W82)</f>
        <v>64.121999999999986</v>
      </c>
      <c r="Y82" s="3">
        <f>(W82-X82)/X82*100</f>
        <v>7.0147531268519465</v>
      </c>
      <c r="Z82" s="3">
        <f>STDEV(W78:W82)</f>
        <v>6.1305807229005609</v>
      </c>
      <c r="AA82" s="62">
        <v>49.6</v>
      </c>
      <c r="AB82" s="62">
        <f>AVERAGE(AA78:AA82)</f>
        <v>36.459999999999994</v>
      </c>
      <c r="AC82" s="3"/>
      <c r="AD82" s="3"/>
      <c r="AE82" s="2">
        <v>3.4</v>
      </c>
      <c r="AF82" s="2">
        <f>AVERAGE(AE78:AE82)</f>
        <v>3.12</v>
      </c>
    </row>
    <row r="83" spans="1:32">
      <c r="A83" s="2" t="s">
        <v>78</v>
      </c>
      <c r="B83" s="2" t="s">
        <v>102</v>
      </c>
      <c r="C83" s="2">
        <v>1</v>
      </c>
      <c r="D83" s="2">
        <v>1</v>
      </c>
      <c r="E83" s="5" t="s">
        <v>103</v>
      </c>
      <c r="F83" s="5" t="s">
        <v>103</v>
      </c>
      <c r="G83" s="5" t="s">
        <v>103</v>
      </c>
      <c r="H83" s="5" t="s">
        <v>103</v>
      </c>
      <c r="I83" s="5" t="s">
        <v>103</v>
      </c>
      <c r="J83" s="5" t="s">
        <v>103</v>
      </c>
      <c r="K83" s="5" t="s">
        <v>103</v>
      </c>
      <c r="L83" s="5" t="s">
        <v>103</v>
      </c>
      <c r="M83" s="5" t="s">
        <v>103</v>
      </c>
      <c r="N83" s="5" t="s">
        <v>103</v>
      </c>
      <c r="O83" s="5" t="s">
        <v>103</v>
      </c>
      <c r="P83" s="5" t="s">
        <v>103</v>
      </c>
      <c r="Q83" s="5" t="s">
        <v>103</v>
      </c>
      <c r="R83" s="5" t="s">
        <v>103</v>
      </c>
      <c r="S83" s="5" t="s">
        <v>103</v>
      </c>
      <c r="T83" s="5" t="s">
        <v>103</v>
      </c>
      <c r="U83" s="5" t="s">
        <v>103</v>
      </c>
      <c r="V83" s="5" t="s">
        <v>103</v>
      </c>
      <c r="W83" s="60"/>
      <c r="X83" s="2"/>
      <c r="Y83" s="2"/>
      <c r="Z83" s="2"/>
      <c r="AA83" s="2" t="s">
        <v>103</v>
      </c>
      <c r="AB83" s="2"/>
      <c r="AC83" s="2"/>
      <c r="AD83" s="2"/>
      <c r="AE83" s="2" t="s">
        <v>103</v>
      </c>
      <c r="AF83" s="2"/>
    </row>
    <row r="84" spans="1:32">
      <c r="A84" s="2"/>
      <c r="B84" s="2"/>
      <c r="C84" s="2"/>
      <c r="D84" s="2">
        <v>2</v>
      </c>
      <c r="E84" s="5" t="s">
        <v>103</v>
      </c>
      <c r="F84" s="5" t="s">
        <v>103</v>
      </c>
      <c r="G84" s="5" t="s">
        <v>103</v>
      </c>
      <c r="H84" s="5" t="s">
        <v>103</v>
      </c>
      <c r="I84" s="5" t="s">
        <v>103</v>
      </c>
      <c r="J84" s="5" t="s">
        <v>103</v>
      </c>
      <c r="K84" s="5" t="s">
        <v>103</v>
      </c>
      <c r="L84" s="5" t="s">
        <v>103</v>
      </c>
      <c r="M84" s="5" t="s">
        <v>103</v>
      </c>
      <c r="N84" s="5" t="s">
        <v>103</v>
      </c>
      <c r="O84" s="5" t="s">
        <v>103</v>
      </c>
      <c r="P84" s="5" t="s">
        <v>103</v>
      </c>
      <c r="Q84" s="5" t="s">
        <v>103</v>
      </c>
      <c r="R84" s="5" t="s">
        <v>103</v>
      </c>
      <c r="S84" s="5" t="s">
        <v>103</v>
      </c>
      <c r="T84" s="5" t="s">
        <v>103</v>
      </c>
      <c r="U84" s="5" t="s">
        <v>103</v>
      </c>
      <c r="V84" s="5" t="s">
        <v>103</v>
      </c>
      <c r="W84" s="60"/>
      <c r="X84" s="2"/>
      <c r="Y84" s="2"/>
      <c r="Z84" s="2"/>
      <c r="AA84" s="2" t="s">
        <v>103</v>
      </c>
      <c r="AB84" s="2"/>
      <c r="AC84" s="2"/>
      <c r="AD84" s="2"/>
      <c r="AE84" s="2" t="s">
        <v>103</v>
      </c>
      <c r="AF84" s="2"/>
    </row>
    <row r="85" spans="1:32">
      <c r="A85" s="2"/>
      <c r="B85" s="2"/>
      <c r="C85" s="2"/>
      <c r="D85" s="2">
        <v>3</v>
      </c>
      <c r="E85" s="5" t="s">
        <v>103</v>
      </c>
      <c r="F85" s="5" t="s">
        <v>103</v>
      </c>
      <c r="G85" s="5" t="s">
        <v>103</v>
      </c>
      <c r="H85" s="5" t="s">
        <v>103</v>
      </c>
      <c r="I85" s="5" t="s">
        <v>103</v>
      </c>
      <c r="J85" s="5" t="s">
        <v>103</v>
      </c>
      <c r="K85" s="5" t="s">
        <v>103</v>
      </c>
      <c r="L85" s="5" t="s">
        <v>103</v>
      </c>
      <c r="M85" s="5" t="s">
        <v>103</v>
      </c>
      <c r="N85" s="5" t="s">
        <v>103</v>
      </c>
      <c r="O85" s="5" t="s">
        <v>103</v>
      </c>
      <c r="P85" s="5" t="s">
        <v>103</v>
      </c>
      <c r="Q85" s="5" t="s">
        <v>103</v>
      </c>
      <c r="R85" s="5" t="s">
        <v>103</v>
      </c>
      <c r="S85" s="5" t="s">
        <v>103</v>
      </c>
      <c r="T85" s="5" t="s">
        <v>103</v>
      </c>
      <c r="U85" s="5" t="s">
        <v>103</v>
      </c>
      <c r="V85" s="5" t="s">
        <v>103</v>
      </c>
      <c r="W85" s="60"/>
      <c r="X85" s="2"/>
      <c r="Y85" s="2"/>
      <c r="Z85" s="2"/>
      <c r="AA85" s="2" t="s">
        <v>103</v>
      </c>
      <c r="AB85" s="2"/>
      <c r="AC85" s="2"/>
      <c r="AD85" s="2"/>
      <c r="AE85" s="2" t="s">
        <v>103</v>
      </c>
      <c r="AF85" s="2"/>
    </row>
    <row r="86" spans="1:32">
      <c r="A86" s="2"/>
      <c r="B86" s="2"/>
      <c r="C86" s="2"/>
      <c r="D86" s="2">
        <v>4</v>
      </c>
      <c r="E86" s="5" t="s">
        <v>103</v>
      </c>
      <c r="F86" s="5" t="s">
        <v>103</v>
      </c>
      <c r="G86" s="5" t="s">
        <v>103</v>
      </c>
      <c r="H86" s="5" t="s">
        <v>103</v>
      </c>
      <c r="I86" s="5" t="s">
        <v>103</v>
      </c>
      <c r="J86" s="5" t="s">
        <v>103</v>
      </c>
      <c r="K86" s="5" t="s">
        <v>103</v>
      </c>
      <c r="L86" s="5" t="s">
        <v>103</v>
      </c>
      <c r="M86" s="5" t="s">
        <v>103</v>
      </c>
      <c r="N86" s="5" t="s">
        <v>103</v>
      </c>
      <c r="O86" s="5" t="s">
        <v>103</v>
      </c>
      <c r="P86" s="5" t="s">
        <v>103</v>
      </c>
      <c r="Q86" s="5" t="s">
        <v>103</v>
      </c>
      <c r="R86" s="5" t="s">
        <v>103</v>
      </c>
      <c r="S86" s="5" t="s">
        <v>103</v>
      </c>
      <c r="T86" s="5" t="s">
        <v>103</v>
      </c>
      <c r="U86" s="5" t="s">
        <v>103</v>
      </c>
      <c r="V86" s="5" t="s">
        <v>103</v>
      </c>
      <c r="W86" s="60"/>
      <c r="X86" s="2"/>
      <c r="Y86" s="2"/>
      <c r="Z86" s="2"/>
      <c r="AA86" s="2" t="s">
        <v>103</v>
      </c>
      <c r="AB86" s="2"/>
      <c r="AC86" s="2"/>
      <c r="AD86" s="2"/>
      <c r="AE86" s="2" t="s">
        <v>103</v>
      </c>
      <c r="AF86" s="2"/>
    </row>
    <row r="87" spans="1:32">
      <c r="A87" s="2"/>
      <c r="B87" s="2"/>
      <c r="C87" s="2"/>
      <c r="D87" s="2">
        <v>5</v>
      </c>
      <c r="E87" s="5" t="s">
        <v>103</v>
      </c>
      <c r="F87" s="5" t="s">
        <v>103</v>
      </c>
      <c r="G87" s="5" t="s">
        <v>103</v>
      </c>
      <c r="H87" s="5" t="s">
        <v>103</v>
      </c>
      <c r="I87" s="5" t="s">
        <v>103</v>
      </c>
      <c r="J87" s="5" t="s">
        <v>103</v>
      </c>
      <c r="K87" s="5" t="s">
        <v>103</v>
      </c>
      <c r="L87" s="5" t="s">
        <v>103</v>
      </c>
      <c r="M87" s="5" t="s">
        <v>103</v>
      </c>
      <c r="N87" s="5" t="s">
        <v>103</v>
      </c>
      <c r="O87" s="5" t="s">
        <v>103</v>
      </c>
      <c r="P87" s="5" t="s">
        <v>103</v>
      </c>
      <c r="Q87" s="5" t="s">
        <v>103</v>
      </c>
      <c r="R87" s="5" t="s">
        <v>103</v>
      </c>
      <c r="S87" s="5" t="s">
        <v>103</v>
      </c>
      <c r="T87" s="5" t="s">
        <v>103</v>
      </c>
      <c r="U87" s="5" t="s">
        <v>103</v>
      </c>
      <c r="V87" s="5" t="s">
        <v>103</v>
      </c>
      <c r="W87" s="60"/>
      <c r="X87" s="2"/>
      <c r="Y87" s="2"/>
      <c r="Z87" s="2"/>
      <c r="AA87" s="2" t="s">
        <v>103</v>
      </c>
      <c r="AB87" s="2"/>
      <c r="AC87" s="2"/>
      <c r="AD87" s="2"/>
      <c r="AE87" s="2" t="s">
        <v>103</v>
      </c>
      <c r="AF87" s="2"/>
    </row>
    <row r="88" spans="1:32">
      <c r="A88" s="2"/>
      <c r="B88" s="2"/>
      <c r="C88" s="2">
        <v>2</v>
      </c>
      <c r="D88" s="2">
        <v>1</v>
      </c>
      <c r="E88" s="5" t="s">
        <v>103</v>
      </c>
      <c r="F88" s="5" t="s">
        <v>103</v>
      </c>
      <c r="G88" s="5" t="s">
        <v>103</v>
      </c>
      <c r="H88" s="5" t="s">
        <v>103</v>
      </c>
      <c r="I88" s="5" t="s">
        <v>103</v>
      </c>
      <c r="J88" s="5" t="s">
        <v>103</v>
      </c>
      <c r="K88" s="5" t="s">
        <v>103</v>
      </c>
      <c r="L88" s="5" t="s">
        <v>103</v>
      </c>
      <c r="M88" s="5" t="s">
        <v>103</v>
      </c>
      <c r="N88" s="5" t="s">
        <v>103</v>
      </c>
      <c r="O88" s="5" t="s">
        <v>103</v>
      </c>
      <c r="P88" s="5" t="s">
        <v>103</v>
      </c>
      <c r="Q88" s="5" t="s">
        <v>103</v>
      </c>
      <c r="R88" s="5" t="s">
        <v>103</v>
      </c>
      <c r="S88" s="5" t="s">
        <v>103</v>
      </c>
      <c r="T88" s="5" t="s">
        <v>103</v>
      </c>
      <c r="U88" s="5" t="s">
        <v>103</v>
      </c>
      <c r="V88" s="5" t="s">
        <v>103</v>
      </c>
      <c r="W88" s="60"/>
      <c r="X88" s="2"/>
      <c r="Y88" s="2"/>
      <c r="Z88" s="2"/>
      <c r="AA88" s="2" t="s">
        <v>103</v>
      </c>
      <c r="AB88" s="2"/>
      <c r="AC88" s="2"/>
      <c r="AD88" s="2"/>
      <c r="AE88" s="2" t="s">
        <v>103</v>
      </c>
      <c r="AF88" s="2"/>
    </row>
    <row r="89" spans="1:32">
      <c r="A89" s="2"/>
      <c r="B89" s="2"/>
      <c r="C89" s="2"/>
      <c r="D89" s="2">
        <v>2</v>
      </c>
      <c r="E89" s="5" t="s">
        <v>103</v>
      </c>
      <c r="F89" s="5" t="s">
        <v>103</v>
      </c>
      <c r="G89" s="5" t="s">
        <v>103</v>
      </c>
      <c r="H89" s="5" t="s">
        <v>103</v>
      </c>
      <c r="I89" s="5" t="s">
        <v>103</v>
      </c>
      <c r="J89" s="5" t="s">
        <v>103</v>
      </c>
      <c r="K89" s="5" t="s">
        <v>103</v>
      </c>
      <c r="L89" s="5" t="s">
        <v>103</v>
      </c>
      <c r="M89" s="5" t="s">
        <v>103</v>
      </c>
      <c r="N89" s="5" t="s">
        <v>103</v>
      </c>
      <c r="O89" s="5" t="s">
        <v>103</v>
      </c>
      <c r="P89" s="5" t="s">
        <v>103</v>
      </c>
      <c r="Q89" s="5" t="s">
        <v>103</v>
      </c>
      <c r="R89" s="5" t="s">
        <v>103</v>
      </c>
      <c r="S89" s="5" t="s">
        <v>103</v>
      </c>
      <c r="T89" s="5" t="s">
        <v>103</v>
      </c>
      <c r="U89" s="5" t="s">
        <v>103</v>
      </c>
      <c r="V89" s="5" t="s">
        <v>103</v>
      </c>
      <c r="W89" s="60"/>
      <c r="X89" s="2"/>
      <c r="Y89" s="2"/>
      <c r="Z89" s="2"/>
      <c r="AA89" s="2" t="s">
        <v>103</v>
      </c>
      <c r="AB89" s="2"/>
      <c r="AC89" s="2"/>
      <c r="AD89" s="2"/>
      <c r="AE89" s="2" t="s">
        <v>103</v>
      </c>
      <c r="AF89" s="2"/>
    </row>
    <row r="90" spans="1:32">
      <c r="A90" s="2"/>
      <c r="B90" s="2"/>
      <c r="C90" s="2"/>
      <c r="D90" s="2">
        <v>3</v>
      </c>
      <c r="E90" s="5" t="s">
        <v>103</v>
      </c>
      <c r="F90" s="5" t="s">
        <v>103</v>
      </c>
      <c r="G90" s="5" t="s">
        <v>103</v>
      </c>
      <c r="H90" s="5" t="s">
        <v>103</v>
      </c>
      <c r="I90" s="5" t="s">
        <v>103</v>
      </c>
      <c r="J90" s="5" t="s">
        <v>103</v>
      </c>
      <c r="K90" s="5" t="s">
        <v>103</v>
      </c>
      <c r="L90" s="5" t="s">
        <v>103</v>
      </c>
      <c r="M90" s="5" t="s">
        <v>103</v>
      </c>
      <c r="N90" s="5" t="s">
        <v>103</v>
      </c>
      <c r="O90" s="5" t="s">
        <v>103</v>
      </c>
      <c r="P90" s="5" t="s">
        <v>103</v>
      </c>
      <c r="Q90" s="5" t="s">
        <v>103</v>
      </c>
      <c r="R90" s="5" t="s">
        <v>103</v>
      </c>
      <c r="S90" s="5" t="s">
        <v>103</v>
      </c>
      <c r="T90" s="5" t="s">
        <v>103</v>
      </c>
      <c r="U90" s="5" t="s">
        <v>103</v>
      </c>
      <c r="V90" s="5" t="s">
        <v>103</v>
      </c>
      <c r="W90" s="60"/>
      <c r="X90" s="2"/>
      <c r="Y90" s="2"/>
      <c r="Z90" s="2"/>
      <c r="AA90" s="2" t="s">
        <v>103</v>
      </c>
      <c r="AB90" s="2"/>
      <c r="AC90" s="2"/>
      <c r="AD90" s="2"/>
      <c r="AE90" s="2" t="s">
        <v>103</v>
      </c>
      <c r="AF90" s="2"/>
    </row>
    <row r="91" spans="1:32">
      <c r="A91" s="2"/>
      <c r="B91" s="2"/>
      <c r="C91" s="2"/>
      <c r="D91" s="2">
        <v>4</v>
      </c>
      <c r="E91" s="5" t="s">
        <v>103</v>
      </c>
      <c r="F91" s="5" t="s">
        <v>103</v>
      </c>
      <c r="G91" s="5" t="s">
        <v>103</v>
      </c>
      <c r="H91" s="5" t="s">
        <v>103</v>
      </c>
      <c r="I91" s="5" t="s">
        <v>103</v>
      </c>
      <c r="J91" s="5" t="s">
        <v>103</v>
      </c>
      <c r="K91" s="5" t="s">
        <v>103</v>
      </c>
      <c r="L91" s="5" t="s">
        <v>103</v>
      </c>
      <c r="M91" s="5" t="s">
        <v>103</v>
      </c>
      <c r="N91" s="5" t="s">
        <v>103</v>
      </c>
      <c r="O91" s="5" t="s">
        <v>103</v>
      </c>
      <c r="P91" s="5" t="s">
        <v>103</v>
      </c>
      <c r="Q91" s="5" t="s">
        <v>103</v>
      </c>
      <c r="R91" s="5" t="s">
        <v>103</v>
      </c>
      <c r="S91" s="5" t="s">
        <v>103</v>
      </c>
      <c r="T91" s="5" t="s">
        <v>103</v>
      </c>
      <c r="U91" s="5" t="s">
        <v>103</v>
      </c>
      <c r="V91" s="5" t="s">
        <v>103</v>
      </c>
      <c r="W91" s="60"/>
      <c r="X91" s="2"/>
      <c r="Y91" s="2"/>
      <c r="Z91" s="2"/>
      <c r="AA91" s="2" t="s">
        <v>103</v>
      </c>
      <c r="AB91" s="2"/>
      <c r="AC91" s="2"/>
      <c r="AD91" s="2"/>
      <c r="AE91" s="2" t="s">
        <v>103</v>
      </c>
      <c r="AF91" s="2"/>
    </row>
    <row r="92" spans="1:32">
      <c r="A92" s="2"/>
      <c r="B92" s="2"/>
      <c r="C92" s="2"/>
      <c r="D92" s="2">
        <v>5</v>
      </c>
      <c r="E92" s="5" t="s">
        <v>103</v>
      </c>
      <c r="F92" s="5" t="s">
        <v>103</v>
      </c>
      <c r="G92" s="5" t="s">
        <v>103</v>
      </c>
      <c r="H92" s="5" t="s">
        <v>103</v>
      </c>
      <c r="I92" s="5" t="s">
        <v>103</v>
      </c>
      <c r="J92" s="5" t="s">
        <v>103</v>
      </c>
      <c r="K92" s="5" t="s">
        <v>103</v>
      </c>
      <c r="L92" s="5" t="s">
        <v>103</v>
      </c>
      <c r="M92" s="5" t="s">
        <v>103</v>
      </c>
      <c r="N92" s="5" t="s">
        <v>103</v>
      </c>
      <c r="O92" s="5" t="s">
        <v>103</v>
      </c>
      <c r="P92" s="5" t="s">
        <v>103</v>
      </c>
      <c r="Q92" s="5" t="s">
        <v>103</v>
      </c>
      <c r="R92" s="5" t="s">
        <v>103</v>
      </c>
      <c r="S92" s="5" t="s">
        <v>103</v>
      </c>
      <c r="T92" s="5" t="s">
        <v>103</v>
      </c>
      <c r="U92" s="5" t="s">
        <v>103</v>
      </c>
      <c r="V92" s="5" t="s">
        <v>103</v>
      </c>
      <c r="W92" s="60"/>
      <c r="X92" s="2"/>
      <c r="Y92" s="2"/>
      <c r="Z92" s="2"/>
      <c r="AA92" s="2" t="s">
        <v>103</v>
      </c>
      <c r="AB92" s="2"/>
      <c r="AC92" s="2"/>
      <c r="AD92" s="2"/>
      <c r="AE92" s="2" t="s">
        <v>103</v>
      </c>
      <c r="AF92" s="2"/>
    </row>
    <row r="93" spans="1:32">
      <c r="A93" s="2"/>
      <c r="B93" s="2"/>
      <c r="C93" s="2">
        <v>3</v>
      </c>
      <c r="D93" s="2">
        <v>1</v>
      </c>
      <c r="E93" s="5" t="s">
        <v>103</v>
      </c>
      <c r="F93" s="5" t="s">
        <v>103</v>
      </c>
      <c r="G93" s="5" t="s">
        <v>103</v>
      </c>
      <c r="H93" s="5" t="s">
        <v>103</v>
      </c>
      <c r="I93" s="5" t="s">
        <v>103</v>
      </c>
      <c r="J93" s="5" t="s">
        <v>103</v>
      </c>
      <c r="K93" s="5" t="s">
        <v>103</v>
      </c>
      <c r="L93" s="5" t="s">
        <v>103</v>
      </c>
      <c r="M93" s="5" t="s">
        <v>103</v>
      </c>
      <c r="N93" s="5" t="s">
        <v>103</v>
      </c>
      <c r="O93" s="5" t="s">
        <v>103</v>
      </c>
      <c r="P93" s="5" t="s">
        <v>103</v>
      </c>
      <c r="Q93" s="5" t="s">
        <v>103</v>
      </c>
      <c r="R93" s="5" t="s">
        <v>103</v>
      </c>
      <c r="S93" s="5" t="s">
        <v>103</v>
      </c>
      <c r="T93" s="5" t="s">
        <v>103</v>
      </c>
      <c r="U93" s="5" t="s">
        <v>103</v>
      </c>
      <c r="V93" s="5" t="s">
        <v>103</v>
      </c>
      <c r="W93" s="60"/>
      <c r="X93" s="2"/>
      <c r="Y93" s="2"/>
      <c r="Z93" s="2"/>
      <c r="AA93" s="2" t="s">
        <v>103</v>
      </c>
      <c r="AB93" s="2"/>
      <c r="AC93" s="2"/>
      <c r="AD93" s="2"/>
      <c r="AE93" s="2" t="s">
        <v>103</v>
      </c>
      <c r="AF93" s="2"/>
    </row>
    <row r="94" spans="1:32">
      <c r="A94" s="2"/>
      <c r="B94" s="2"/>
      <c r="C94" s="2"/>
      <c r="D94" s="2">
        <v>2</v>
      </c>
      <c r="E94" s="5" t="s">
        <v>103</v>
      </c>
      <c r="F94" s="5" t="s">
        <v>103</v>
      </c>
      <c r="G94" s="5" t="s">
        <v>103</v>
      </c>
      <c r="H94" s="5" t="s">
        <v>103</v>
      </c>
      <c r="I94" s="5" t="s">
        <v>103</v>
      </c>
      <c r="J94" s="5" t="s">
        <v>103</v>
      </c>
      <c r="K94" s="5" t="s">
        <v>103</v>
      </c>
      <c r="L94" s="5" t="s">
        <v>103</v>
      </c>
      <c r="M94" s="5" t="s">
        <v>103</v>
      </c>
      <c r="N94" s="5" t="s">
        <v>103</v>
      </c>
      <c r="O94" s="5" t="s">
        <v>103</v>
      </c>
      <c r="P94" s="5" t="s">
        <v>103</v>
      </c>
      <c r="Q94" s="5" t="s">
        <v>103</v>
      </c>
      <c r="R94" s="5" t="s">
        <v>103</v>
      </c>
      <c r="S94" s="5" t="s">
        <v>103</v>
      </c>
      <c r="T94" s="5" t="s">
        <v>103</v>
      </c>
      <c r="U94" s="5" t="s">
        <v>103</v>
      </c>
      <c r="V94" s="5" t="s">
        <v>103</v>
      </c>
      <c r="W94" s="60"/>
      <c r="X94" s="2"/>
      <c r="Y94" s="2"/>
      <c r="Z94" s="2"/>
      <c r="AA94" s="2" t="s">
        <v>103</v>
      </c>
      <c r="AB94" s="2"/>
      <c r="AC94" s="2"/>
      <c r="AD94" s="2"/>
      <c r="AE94" s="2" t="s">
        <v>103</v>
      </c>
      <c r="AF94" s="2"/>
    </row>
    <row r="95" spans="1:32">
      <c r="A95" s="2"/>
      <c r="B95" s="2"/>
      <c r="C95" s="2"/>
      <c r="D95" s="2">
        <v>3</v>
      </c>
      <c r="E95" s="5" t="s">
        <v>103</v>
      </c>
      <c r="F95" s="5" t="s">
        <v>103</v>
      </c>
      <c r="G95" s="5" t="s">
        <v>103</v>
      </c>
      <c r="H95" s="5" t="s">
        <v>103</v>
      </c>
      <c r="I95" s="5" t="s">
        <v>103</v>
      </c>
      <c r="J95" s="5" t="s">
        <v>103</v>
      </c>
      <c r="K95" s="5" t="s">
        <v>103</v>
      </c>
      <c r="L95" s="5" t="s">
        <v>103</v>
      </c>
      <c r="M95" s="5" t="s">
        <v>103</v>
      </c>
      <c r="N95" s="5" t="s">
        <v>103</v>
      </c>
      <c r="O95" s="5" t="s">
        <v>103</v>
      </c>
      <c r="P95" s="5" t="s">
        <v>103</v>
      </c>
      <c r="Q95" s="5" t="s">
        <v>103</v>
      </c>
      <c r="R95" s="5" t="s">
        <v>103</v>
      </c>
      <c r="S95" s="5" t="s">
        <v>103</v>
      </c>
      <c r="T95" s="5" t="s">
        <v>103</v>
      </c>
      <c r="U95" s="5" t="s">
        <v>103</v>
      </c>
      <c r="V95" s="5" t="s">
        <v>103</v>
      </c>
      <c r="W95" s="60"/>
      <c r="X95" s="2"/>
      <c r="Y95" s="2"/>
      <c r="Z95" s="2"/>
      <c r="AA95" s="2" t="s">
        <v>103</v>
      </c>
      <c r="AB95" s="2"/>
      <c r="AC95" s="2"/>
      <c r="AD95" s="2"/>
      <c r="AE95" s="2" t="s">
        <v>103</v>
      </c>
      <c r="AF95" s="2"/>
    </row>
    <row r="96" spans="1:32">
      <c r="A96" s="2"/>
      <c r="B96" s="2"/>
      <c r="C96" s="2"/>
      <c r="D96" s="2">
        <v>4</v>
      </c>
      <c r="E96" s="5" t="s">
        <v>103</v>
      </c>
      <c r="F96" s="5" t="s">
        <v>103</v>
      </c>
      <c r="G96" s="5" t="s">
        <v>103</v>
      </c>
      <c r="H96" s="5" t="s">
        <v>103</v>
      </c>
      <c r="I96" s="5" t="s">
        <v>103</v>
      </c>
      <c r="J96" s="5" t="s">
        <v>103</v>
      </c>
      <c r="K96" s="5" t="s">
        <v>103</v>
      </c>
      <c r="L96" s="5" t="s">
        <v>103</v>
      </c>
      <c r="M96" s="5" t="s">
        <v>103</v>
      </c>
      <c r="N96" s="5" t="s">
        <v>103</v>
      </c>
      <c r="O96" s="5" t="s">
        <v>103</v>
      </c>
      <c r="P96" s="5" t="s">
        <v>103</v>
      </c>
      <c r="Q96" s="5" t="s">
        <v>103</v>
      </c>
      <c r="R96" s="5" t="s">
        <v>103</v>
      </c>
      <c r="S96" s="5" t="s">
        <v>103</v>
      </c>
      <c r="T96" s="5" t="s">
        <v>103</v>
      </c>
      <c r="U96" s="5" t="s">
        <v>103</v>
      </c>
      <c r="V96" s="5" t="s">
        <v>103</v>
      </c>
      <c r="W96" s="60"/>
      <c r="X96" s="2"/>
      <c r="Y96" s="2"/>
      <c r="Z96" s="2"/>
      <c r="AA96" s="2" t="s">
        <v>103</v>
      </c>
      <c r="AB96" s="2"/>
      <c r="AC96" s="2"/>
      <c r="AD96" s="2"/>
      <c r="AE96" s="2" t="s">
        <v>103</v>
      </c>
      <c r="AF96" s="2"/>
    </row>
    <row r="97" spans="1:32">
      <c r="A97" s="2"/>
      <c r="B97" s="2"/>
      <c r="C97" s="2"/>
      <c r="D97" s="2">
        <v>5</v>
      </c>
      <c r="E97" s="5" t="s">
        <v>103</v>
      </c>
      <c r="F97" s="5" t="s">
        <v>103</v>
      </c>
      <c r="G97" s="5" t="s">
        <v>103</v>
      </c>
      <c r="H97" s="5" t="s">
        <v>103</v>
      </c>
      <c r="I97" s="5" t="s">
        <v>103</v>
      </c>
      <c r="J97" s="5" t="s">
        <v>103</v>
      </c>
      <c r="K97" s="5" t="s">
        <v>103</v>
      </c>
      <c r="L97" s="5" t="s">
        <v>103</v>
      </c>
      <c r="M97" s="5" t="s">
        <v>103</v>
      </c>
      <c r="N97" s="5" t="s">
        <v>103</v>
      </c>
      <c r="O97" s="5" t="s">
        <v>103</v>
      </c>
      <c r="P97" s="5" t="s">
        <v>103</v>
      </c>
      <c r="Q97" s="5" t="s">
        <v>103</v>
      </c>
      <c r="R97" s="5" t="s">
        <v>103</v>
      </c>
      <c r="S97" s="5" t="s">
        <v>103</v>
      </c>
      <c r="T97" s="5" t="s">
        <v>103</v>
      </c>
      <c r="U97" s="5" t="s">
        <v>103</v>
      </c>
      <c r="V97" s="5" t="s">
        <v>103</v>
      </c>
      <c r="W97" s="60"/>
      <c r="X97" s="2"/>
      <c r="Y97" s="2"/>
      <c r="Z97" s="2"/>
      <c r="AA97" s="2" t="s">
        <v>103</v>
      </c>
      <c r="AB97" s="2"/>
      <c r="AC97" s="2"/>
      <c r="AD97" s="2"/>
      <c r="AE97" s="2" t="s">
        <v>103</v>
      </c>
      <c r="AF97" s="2"/>
    </row>
    <row r="98" spans="1:32">
      <c r="A98" s="2"/>
      <c r="B98" s="2"/>
      <c r="C98" s="2">
        <v>4</v>
      </c>
      <c r="D98" s="2">
        <v>1</v>
      </c>
      <c r="E98" s="5" t="s">
        <v>103</v>
      </c>
      <c r="F98" s="5" t="s">
        <v>103</v>
      </c>
      <c r="G98" s="5" t="s">
        <v>103</v>
      </c>
      <c r="H98" s="5" t="s">
        <v>103</v>
      </c>
      <c r="I98" s="5" t="s">
        <v>103</v>
      </c>
      <c r="J98" s="5" t="s">
        <v>103</v>
      </c>
      <c r="K98" s="5" t="s">
        <v>103</v>
      </c>
      <c r="L98" s="5" t="s">
        <v>103</v>
      </c>
      <c r="M98" s="5" t="s">
        <v>103</v>
      </c>
      <c r="N98" s="5" t="s">
        <v>103</v>
      </c>
      <c r="O98" s="5" t="s">
        <v>103</v>
      </c>
      <c r="P98" s="5" t="s">
        <v>103</v>
      </c>
      <c r="Q98" s="5" t="s">
        <v>103</v>
      </c>
      <c r="R98" s="5" t="s">
        <v>103</v>
      </c>
      <c r="S98" s="5" t="s">
        <v>103</v>
      </c>
      <c r="T98" s="5" t="s">
        <v>103</v>
      </c>
      <c r="U98" s="5" t="s">
        <v>103</v>
      </c>
      <c r="V98" s="5" t="s">
        <v>103</v>
      </c>
      <c r="W98" s="60"/>
      <c r="X98" s="2"/>
      <c r="Y98" s="2"/>
      <c r="Z98" s="2"/>
      <c r="AA98" s="2" t="s">
        <v>103</v>
      </c>
      <c r="AB98" s="2"/>
      <c r="AC98" s="2"/>
      <c r="AD98" s="2"/>
      <c r="AE98" s="2" t="s">
        <v>103</v>
      </c>
      <c r="AF98" s="2"/>
    </row>
    <row r="99" spans="1:32">
      <c r="A99" s="2"/>
      <c r="B99" s="2"/>
      <c r="C99" s="2"/>
      <c r="D99" s="2">
        <v>2</v>
      </c>
      <c r="E99" s="5" t="s">
        <v>103</v>
      </c>
      <c r="F99" s="5" t="s">
        <v>103</v>
      </c>
      <c r="G99" s="5" t="s">
        <v>103</v>
      </c>
      <c r="H99" s="5" t="s">
        <v>103</v>
      </c>
      <c r="I99" s="5" t="s">
        <v>103</v>
      </c>
      <c r="J99" s="5" t="s">
        <v>103</v>
      </c>
      <c r="K99" s="5" t="s">
        <v>103</v>
      </c>
      <c r="L99" s="5" t="s">
        <v>103</v>
      </c>
      <c r="M99" s="5" t="s">
        <v>103</v>
      </c>
      <c r="N99" s="5" t="s">
        <v>103</v>
      </c>
      <c r="O99" s="5" t="s">
        <v>103</v>
      </c>
      <c r="P99" s="5" t="s">
        <v>103</v>
      </c>
      <c r="Q99" s="5" t="s">
        <v>103</v>
      </c>
      <c r="R99" s="5" t="s">
        <v>103</v>
      </c>
      <c r="S99" s="5" t="s">
        <v>103</v>
      </c>
      <c r="T99" s="5" t="s">
        <v>103</v>
      </c>
      <c r="U99" s="5" t="s">
        <v>103</v>
      </c>
      <c r="V99" s="5" t="s">
        <v>103</v>
      </c>
      <c r="W99" s="60"/>
      <c r="X99" s="2"/>
      <c r="Y99" s="2"/>
      <c r="Z99" s="2"/>
      <c r="AA99" s="2" t="s">
        <v>103</v>
      </c>
      <c r="AB99" s="2"/>
      <c r="AC99" s="2"/>
      <c r="AD99" s="2"/>
      <c r="AE99" s="2" t="s">
        <v>103</v>
      </c>
      <c r="AF99" s="2"/>
    </row>
    <row r="100" spans="1:32">
      <c r="A100" s="2"/>
      <c r="B100" s="2"/>
      <c r="C100" s="2"/>
      <c r="D100" s="2">
        <v>3</v>
      </c>
      <c r="E100" s="5" t="s">
        <v>103</v>
      </c>
      <c r="F100" s="5" t="s">
        <v>103</v>
      </c>
      <c r="G100" s="5" t="s">
        <v>103</v>
      </c>
      <c r="H100" s="5" t="s">
        <v>103</v>
      </c>
      <c r="I100" s="5" t="s">
        <v>103</v>
      </c>
      <c r="J100" s="5" t="s">
        <v>103</v>
      </c>
      <c r="K100" s="5" t="s">
        <v>103</v>
      </c>
      <c r="L100" s="5" t="s">
        <v>103</v>
      </c>
      <c r="M100" s="5" t="s">
        <v>103</v>
      </c>
      <c r="N100" s="5" t="s">
        <v>103</v>
      </c>
      <c r="O100" s="5" t="s">
        <v>103</v>
      </c>
      <c r="P100" s="5" t="s">
        <v>103</v>
      </c>
      <c r="Q100" s="5" t="s">
        <v>103</v>
      </c>
      <c r="R100" s="5" t="s">
        <v>103</v>
      </c>
      <c r="S100" s="5" t="s">
        <v>103</v>
      </c>
      <c r="T100" s="5" t="s">
        <v>103</v>
      </c>
      <c r="U100" s="5" t="s">
        <v>103</v>
      </c>
      <c r="V100" s="5" t="s">
        <v>103</v>
      </c>
      <c r="W100" s="60"/>
      <c r="X100" s="2"/>
      <c r="Y100" s="2"/>
      <c r="Z100" s="2"/>
      <c r="AA100" s="2" t="s">
        <v>103</v>
      </c>
      <c r="AB100" s="2"/>
      <c r="AC100" s="2"/>
      <c r="AD100" s="2"/>
      <c r="AE100" s="2" t="s">
        <v>103</v>
      </c>
      <c r="AF100" s="2"/>
    </row>
    <row r="101" spans="1:32">
      <c r="A101" s="2"/>
      <c r="B101" s="2"/>
      <c r="C101" s="2"/>
      <c r="D101" s="2">
        <v>4</v>
      </c>
      <c r="E101" s="5" t="s">
        <v>103</v>
      </c>
      <c r="F101" s="5" t="s">
        <v>103</v>
      </c>
      <c r="G101" s="5" t="s">
        <v>103</v>
      </c>
      <c r="H101" s="5" t="s">
        <v>103</v>
      </c>
      <c r="I101" s="5" t="s">
        <v>103</v>
      </c>
      <c r="J101" s="5" t="s">
        <v>103</v>
      </c>
      <c r="K101" s="5" t="s">
        <v>103</v>
      </c>
      <c r="L101" s="5" t="s">
        <v>103</v>
      </c>
      <c r="M101" s="5" t="s">
        <v>103</v>
      </c>
      <c r="N101" s="5" t="s">
        <v>103</v>
      </c>
      <c r="O101" s="5" t="s">
        <v>103</v>
      </c>
      <c r="P101" s="5" t="s">
        <v>103</v>
      </c>
      <c r="Q101" s="5" t="s">
        <v>103</v>
      </c>
      <c r="R101" s="5" t="s">
        <v>103</v>
      </c>
      <c r="S101" s="5" t="s">
        <v>103</v>
      </c>
      <c r="T101" s="5" t="s">
        <v>103</v>
      </c>
      <c r="U101" s="5" t="s">
        <v>103</v>
      </c>
      <c r="V101" s="5" t="s">
        <v>103</v>
      </c>
      <c r="W101" s="60"/>
      <c r="X101" s="2"/>
      <c r="Y101" s="2"/>
      <c r="Z101" s="2"/>
      <c r="AA101" s="2" t="s">
        <v>103</v>
      </c>
      <c r="AB101" s="2"/>
      <c r="AC101" s="2"/>
      <c r="AD101" s="2"/>
      <c r="AE101" s="2" t="s">
        <v>103</v>
      </c>
      <c r="AF101" s="2"/>
    </row>
    <row r="102" spans="1:32">
      <c r="A102" s="2"/>
      <c r="B102" s="2"/>
      <c r="C102" s="2"/>
      <c r="D102" s="2">
        <v>5</v>
      </c>
      <c r="E102" s="5" t="s">
        <v>103</v>
      </c>
      <c r="F102" s="5" t="s">
        <v>103</v>
      </c>
      <c r="G102" s="5" t="s">
        <v>103</v>
      </c>
      <c r="H102" s="5" t="s">
        <v>103</v>
      </c>
      <c r="I102" s="5" t="s">
        <v>103</v>
      </c>
      <c r="J102" s="5" t="s">
        <v>103</v>
      </c>
      <c r="K102" s="5" t="s">
        <v>103</v>
      </c>
      <c r="L102" s="5" t="s">
        <v>103</v>
      </c>
      <c r="M102" s="5" t="s">
        <v>103</v>
      </c>
      <c r="N102" s="5" t="s">
        <v>103</v>
      </c>
      <c r="O102" s="5" t="s">
        <v>103</v>
      </c>
      <c r="P102" s="5" t="s">
        <v>103</v>
      </c>
      <c r="Q102" s="5" t="s">
        <v>103</v>
      </c>
      <c r="R102" s="5" t="s">
        <v>103</v>
      </c>
      <c r="S102" s="5" t="s">
        <v>103</v>
      </c>
      <c r="T102" s="5" t="s">
        <v>103</v>
      </c>
      <c r="U102" s="5" t="s">
        <v>103</v>
      </c>
      <c r="V102" s="5" t="s">
        <v>103</v>
      </c>
      <c r="W102" s="60"/>
      <c r="X102" s="2"/>
      <c r="Y102" s="2"/>
      <c r="Z102" s="2"/>
      <c r="AA102" s="2" t="s">
        <v>103</v>
      </c>
      <c r="AB102" s="2"/>
      <c r="AC102" s="2"/>
      <c r="AD102" s="2"/>
      <c r="AE102" s="2" t="s">
        <v>103</v>
      </c>
      <c r="AF102" s="2"/>
    </row>
    <row r="103" spans="1:32">
      <c r="A103" s="2" t="s">
        <v>78</v>
      </c>
      <c r="B103" s="2" t="s">
        <v>104</v>
      </c>
      <c r="C103" s="2">
        <v>1</v>
      </c>
      <c r="D103" s="2">
        <v>1</v>
      </c>
      <c r="E103" s="2">
        <v>10.8</v>
      </c>
      <c r="F103" s="2">
        <v>0</v>
      </c>
      <c r="G103" s="2">
        <v>0</v>
      </c>
      <c r="H103" s="2">
        <v>0</v>
      </c>
      <c r="I103" s="2">
        <v>24.97</v>
      </c>
      <c r="J103" s="2">
        <v>0</v>
      </c>
      <c r="K103" s="2">
        <v>0</v>
      </c>
      <c r="L103" s="2">
        <v>0</v>
      </c>
      <c r="M103" s="2">
        <v>0.41</v>
      </c>
      <c r="N103" s="2">
        <v>0</v>
      </c>
      <c r="O103" s="2">
        <v>0.25</v>
      </c>
      <c r="P103" s="2">
        <v>58.85</v>
      </c>
      <c r="Q103" s="2">
        <v>0</v>
      </c>
      <c r="R103" s="2">
        <v>0</v>
      </c>
      <c r="S103" s="2">
        <v>1</v>
      </c>
      <c r="T103" s="2">
        <v>0</v>
      </c>
      <c r="U103" s="2">
        <v>0</v>
      </c>
      <c r="V103" s="2">
        <v>0</v>
      </c>
      <c r="W103" s="60">
        <f t="shared" ref="W103:W145" si="3">SUM(E103:N103,P103:Q103,S103:V103)</f>
        <v>96.03</v>
      </c>
      <c r="X103" s="3"/>
      <c r="Y103" s="3">
        <f>(W103-X107)/X107*100</f>
        <v>32.803208408242313</v>
      </c>
      <c r="Z103" s="3"/>
      <c r="AA103" s="62">
        <v>1.9</v>
      </c>
      <c r="AB103" s="2"/>
      <c r="AC103" s="3"/>
      <c r="AD103" s="3"/>
      <c r="AE103" s="2">
        <v>0.9</v>
      </c>
      <c r="AF103" s="2"/>
    </row>
    <row r="104" spans="1:32">
      <c r="A104" s="2"/>
      <c r="B104" s="2"/>
      <c r="C104" s="2"/>
      <c r="D104" s="2">
        <v>2</v>
      </c>
      <c r="E104" s="2">
        <v>15.18</v>
      </c>
      <c r="F104" s="2">
        <v>0</v>
      </c>
      <c r="G104" s="2">
        <v>0</v>
      </c>
      <c r="H104" s="2">
        <v>0</v>
      </c>
      <c r="I104" s="2">
        <v>26.869999999999997</v>
      </c>
      <c r="J104" s="2">
        <v>0</v>
      </c>
      <c r="K104" s="2">
        <v>0</v>
      </c>
      <c r="L104" s="2">
        <v>0</v>
      </c>
      <c r="M104" s="2">
        <v>0</v>
      </c>
      <c r="N104" s="2">
        <v>0</v>
      </c>
      <c r="O104" s="2">
        <v>1.48</v>
      </c>
      <c r="P104" s="2">
        <v>23.86</v>
      </c>
      <c r="Q104" s="2">
        <v>0</v>
      </c>
      <c r="R104" s="2">
        <v>0</v>
      </c>
      <c r="S104" s="2">
        <v>0.42</v>
      </c>
      <c r="T104" s="2">
        <v>0</v>
      </c>
      <c r="U104" s="2">
        <v>6.7</v>
      </c>
      <c r="V104" s="2">
        <v>0.08</v>
      </c>
      <c r="W104" s="60">
        <f t="shared" si="3"/>
        <v>73.11</v>
      </c>
      <c r="X104" s="3"/>
      <c r="Y104" s="3">
        <f>(W104-X107)/X107*100</f>
        <v>1.1063476697552364</v>
      </c>
      <c r="Z104" s="3"/>
      <c r="AA104" s="62">
        <v>1.6</v>
      </c>
      <c r="AB104" s="2"/>
      <c r="AC104" s="3"/>
      <c r="AD104" s="3"/>
      <c r="AE104" s="2">
        <v>1.8</v>
      </c>
      <c r="AF104" s="2"/>
    </row>
    <row r="105" spans="1:32">
      <c r="A105" s="2"/>
      <c r="B105" s="2"/>
      <c r="C105" s="2"/>
      <c r="D105" s="2">
        <v>3</v>
      </c>
      <c r="E105" s="2">
        <v>5.21</v>
      </c>
      <c r="F105" s="2">
        <v>0</v>
      </c>
      <c r="G105" s="2">
        <v>0</v>
      </c>
      <c r="H105" s="2">
        <v>0</v>
      </c>
      <c r="I105" s="2">
        <v>39.410000000000004</v>
      </c>
      <c r="J105" s="2">
        <v>0</v>
      </c>
      <c r="K105" s="2">
        <v>0</v>
      </c>
      <c r="L105" s="2">
        <v>0</v>
      </c>
      <c r="M105" s="2">
        <v>0</v>
      </c>
      <c r="N105" s="2">
        <v>0</v>
      </c>
      <c r="O105" s="2">
        <v>0.16</v>
      </c>
      <c r="P105" s="2">
        <v>34.909999999999997</v>
      </c>
      <c r="Q105" s="2">
        <v>0</v>
      </c>
      <c r="R105" s="2">
        <v>0</v>
      </c>
      <c r="S105" s="2">
        <v>2.2599999999999998</v>
      </c>
      <c r="T105" s="2">
        <v>0</v>
      </c>
      <c r="U105" s="2">
        <v>0</v>
      </c>
      <c r="V105" s="2">
        <v>0.17</v>
      </c>
      <c r="W105" s="60">
        <f t="shared" si="3"/>
        <v>81.960000000000008</v>
      </c>
      <c r="X105" s="3"/>
      <c r="Y105" s="3">
        <f>(W105-X107)/X107*100</f>
        <v>13.345318766422379</v>
      </c>
      <c r="Z105" s="3"/>
      <c r="AA105" s="62">
        <v>0.3</v>
      </c>
      <c r="AB105" s="2"/>
      <c r="AC105" s="3"/>
      <c r="AD105" s="3"/>
      <c r="AE105" s="2">
        <v>1.6</v>
      </c>
      <c r="AF105" s="2"/>
    </row>
    <row r="106" spans="1:32">
      <c r="A106" s="2"/>
      <c r="B106" s="2"/>
      <c r="C106" s="2"/>
      <c r="D106" s="2">
        <v>4</v>
      </c>
      <c r="E106" s="2">
        <v>7.36</v>
      </c>
      <c r="F106" s="2">
        <v>0</v>
      </c>
      <c r="G106" s="2">
        <v>0</v>
      </c>
      <c r="H106" s="2">
        <v>0</v>
      </c>
      <c r="I106" s="2">
        <v>40.35</v>
      </c>
      <c r="J106" s="2">
        <v>0</v>
      </c>
      <c r="K106" s="2">
        <v>0</v>
      </c>
      <c r="L106" s="2">
        <v>0</v>
      </c>
      <c r="M106" s="2">
        <v>0</v>
      </c>
      <c r="N106" s="2">
        <v>0</v>
      </c>
      <c r="O106" s="2">
        <v>0.3</v>
      </c>
      <c r="P106" s="2">
        <v>34.6</v>
      </c>
      <c r="Q106" s="2">
        <v>0</v>
      </c>
      <c r="R106" s="2">
        <v>0</v>
      </c>
      <c r="S106" s="2">
        <v>0</v>
      </c>
      <c r="T106" s="2">
        <v>0</v>
      </c>
      <c r="U106" s="2">
        <v>0</v>
      </c>
      <c r="V106" s="2">
        <v>9.8000000000000007</v>
      </c>
      <c r="W106" s="60">
        <f t="shared" si="3"/>
        <v>92.11</v>
      </c>
      <c r="X106" s="3"/>
      <c r="Y106" s="3">
        <f>(W106-X107)/X107*100</f>
        <v>27.382104826441729</v>
      </c>
      <c r="Z106" s="3"/>
      <c r="AA106" s="62">
        <v>0.7</v>
      </c>
      <c r="AB106" s="2"/>
      <c r="AC106" s="3"/>
      <c r="AD106" s="3"/>
      <c r="AE106" s="2">
        <v>0.3</v>
      </c>
      <c r="AF106" s="2"/>
    </row>
    <row r="107" spans="1:32">
      <c r="A107" s="2"/>
      <c r="B107" s="2"/>
      <c r="C107" s="2"/>
      <c r="D107" s="2">
        <v>5</v>
      </c>
      <c r="E107" s="2">
        <v>17.73</v>
      </c>
      <c r="F107" s="2">
        <v>0</v>
      </c>
      <c r="G107" s="2">
        <v>0</v>
      </c>
      <c r="H107" s="2">
        <v>0</v>
      </c>
      <c r="I107" s="2">
        <v>0</v>
      </c>
      <c r="J107" s="2">
        <v>0</v>
      </c>
      <c r="K107" s="2">
        <v>0</v>
      </c>
      <c r="L107" s="2">
        <v>0</v>
      </c>
      <c r="M107" s="2">
        <v>0</v>
      </c>
      <c r="N107" s="2">
        <v>0</v>
      </c>
      <c r="O107" s="2">
        <v>0</v>
      </c>
      <c r="P107" s="2">
        <v>0</v>
      </c>
      <c r="Q107" s="2">
        <v>0</v>
      </c>
      <c r="R107" s="2">
        <v>0</v>
      </c>
      <c r="S107" s="2">
        <v>0</v>
      </c>
      <c r="T107" s="2">
        <v>0</v>
      </c>
      <c r="U107" s="2">
        <v>0.3</v>
      </c>
      <c r="V107" s="2">
        <v>0.31</v>
      </c>
      <c r="W107" s="60">
        <f t="shared" si="3"/>
        <v>18.34</v>
      </c>
      <c r="X107" s="2">
        <f>AVERAGE(W103:W107)</f>
        <v>72.309999999999988</v>
      </c>
      <c r="Y107" s="3">
        <f>(W107-X107)/X107*100</f>
        <v>-74.636979670861564</v>
      </c>
      <c r="Z107" s="3">
        <f>STDEV(W103:W107)</f>
        <v>31.46903954683081</v>
      </c>
      <c r="AA107" s="62">
        <v>0.6</v>
      </c>
      <c r="AB107" s="62">
        <f>AVERAGE(AA103:AA107)</f>
        <v>1.02</v>
      </c>
      <c r="AC107" s="3"/>
      <c r="AD107" s="3"/>
      <c r="AE107" s="2">
        <v>0.6</v>
      </c>
      <c r="AF107" s="2">
        <f>AVERAGE(AE103:AE107)</f>
        <v>1.04</v>
      </c>
    </row>
    <row r="108" spans="1:32">
      <c r="A108" s="2"/>
      <c r="B108" s="2"/>
      <c r="C108" s="2">
        <v>2</v>
      </c>
      <c r="D108" s="2">
        <v>1</v>
      </c>
      <c r="E108" s="2">
        <v>10.87</v>
      </c>
      <c r="F108" s="2">
        <v>0</v>
      </c>
      <c r="G108" s="2">
        <v>0</v>
      </c>
      <c r="H108" s="2">
        <v>0</v>
      </c>
      <c r="I108" s="2">
        <v>23.11</v>
      </c>
      <c r="J108" s="2">
        <v>0</v>
      </c>
      <c r="K108" s="2">
        <v>0</v>
      </c>
      <c r="L108" s="2">
        <v>0</v>
      </c>
      <c r="M108" s="2">
        <v>0</v>
      </c>
      <c r="N108" s="2">
        <v>0</v>
      </c>
      <c r="O108" s="2">
        <v>1.22</v>
      </c>
      <c r="P108" s="2">
        <v>38.619999999999997</v>
      </c>
      <c r="Q108" s="2">
        <v>0</v>
      </c>
      <c r="R108" s="2">
        <v>0</v>
      </c>
      <c r="S108" s="2">
        <v>2.75</v>
      </c>
      <c r="T108" s="2">
        <v>0</v>
      </c>
      <c r="U108" s="2">
        <v>6.41</v>
      </c>
      <c r="V108" s="2">
        <v>0.4</v>
      </c>
      <c r="W108" s="60">
        <f t="shared" si="3"/>
        <v>82.16</v>
      </c>
      <c r="X108" s="2"/>
      <c r="Y108" s="3">
        <f>(W108-X112)/X112*100</f>
        <v>6.3091972465193189</v>
      </c>
      <c r="Z108" s="3"/>
      <c r="AA108" s="62">
        <v>1.2</v>
      </c>
      <c r="AB108" s="2"/>
      <c r="AC108" s="3"/>
      <c r="AD108" s="3"/>
      <c r="AE108" s="2">
        <v>1.8</v>
      </c>
      <c r="AF108" s="2"/>
    </row>
    <row r="109" spans="1:32">
      <c r="A109" s="2"/>
      <c r="B109" s="2"/>
      <c r="C109" s="2"/>
      <c r="D109" s="2">
        <v>2</v>
      </c>
      <c r="E109" s="2">
        <v>5.34</v>
      </c>
      <c r="F109" s="2">
        <v>0</v>
      </c>
      <c r="G109" s="2">
        <v>0</v>
      </c>
      <c r="H109" s="2">
        <v>2.13</v>
      </c>
      <c r="I109" s="2">
        <v>24.439999999999998</v>
      </c>
      <c r="J109" s="2">
        <v>0</v>
      </c>
      <c r="K109" s="2">
        <v>0</v>
      </c>
      <c r="L109" s="2">
        <v>0</v>
      </c>
      <c r="M109" s="2">
        <v>0</v>
      </c>
      <c r="N109" s="2">
        <v>0</v>
      </c>
      <c r="O109" s="2">
        <v>1.75</v>
      </c>
      <c r="P109" s="2">
        <v>45.83</v>
      </c>
      <c r="Q109" s="2">
        <v>0</v>
      </c>
      <c r="R109" s="2">
        <v>0</v>
      </c>
      <c r="S109" s="2">
        <v>0.22</v>
      </c>
      <c r="T109" s="2">
        <v>0</v>
      </c>
      <c r="U109" s="2">
        <v>0</v>
      </c>
      <c r="V109" s="2">
        <v>0.73</v>
      </c>
      <c r="W109" s="60">
        <f t="shared" si="3"/>
        <v>78.69</v>
      </c>
      <c r="X109" s="2"/>
      <c r="Y109" s="3">
        <f>(W109-X112)/X112*100</f>
        <v>1.819264013249821</v>
      </c>
      <c r="Z109" s="3"/>
      <c r="AA109" s="62">
        <v>1.7</v>
      </c>
      <c r="AB109" s="2"/>
      <c r="AC109" s="3"/>
      <c r="AD109" s="3"/>
      <c r="AE109" s="65">
        <v>17.8</v>
      </c>
      <c r="AF109" s="2"/>
    </row>
    <row r="110" spans="1:32">
      <c r="A110" s="2"/>
      <c r="B110" s="2"/>
      <c r="C110" s="2"/>
      <c r="D110" s="2">
        <v>3</v>
      </c>
      <c r="E110" s="2">
        <v>6.52</v>
      </c>
      <c r="F110" s="2">
        <v>0</v>
      </c>
      <c r="G110" s="2">
        <v>0</v>
      </c>
      <c r="H110" s="2">
        <v>0.04</v>
      </c>
      <c r="I110" s="2">
        <v>32.49</v>
      </c>
      <c r="J110" s="2">
        <v>0</v>
      </c>
      <c r="K110" s="2">
        <v>0</v>
      </c>
      <c r="L110" s="2">
        <v>0</v>
      </c>
      <c r="M110" s="2">
        <v>0</v>
      </c>
      <c r="N110" s="2">
        <v>0</v>
      </c>
      <c r="O110" s="2">
        <v>1.55</v>
      </c>
      <c r="P110" s="2">
        <v>17.649999999999999</v>
      </c>
      <c r="Q110" s="2">
        <v>0</v>
      </c>
      <c r="R110" s="2">
        <v>0</v>
      </c>
      <c r="S110" s="2">
        <v>0.53</v>
      </c>
      <c r="T110" s="2">
        <v>0</v>
      </c>
      <c r="U110" s="2">
        <v>0.43</v>
      </c>
      <c r="V110" s="2">
        <v>6.48</v>
      </c>
      <c r="W110" s="60">
        <f t="shared" si="3"/>
        <v>64.14</v>
      </c>
      <c r="X110" s="2"/>
      <c r="Y110" s="3">
        <f>(W110-X112)/X112*100</f>
        <v>-17.00740127322603</v>
      </c>
      <c r="Z110" s="3"/>
      <c r="AA110" s="62">
        <v>1</v>
      </c>
      <c r="AB110" s="2"/>
      <c r="AC110" s="3"/>
      <c r="AD110" s="3"/>
      <c r="AE110" s="2">
        <v>1.1000000000000001</v>
      </c>
      <c r="AF110" s="2"/>
    </row>
    <row r="111" spans="1:32">
      <c r="A111" s="2"/>
      <c r="B111" s="2"/>
      <c r="C111" s="2"/>
      <c r="D111" s="2">
        <v>4</v>
      </c>
      <c r="E111" s="2">
        <v>3.99</v>
      </c>
      <c r="F111" s="2">
        <v>0</v>
      </c>
      <c r="G111" s="2">
        <v>0</v>
      </c>
      <c r="H111" s="2">
        <v>0.15</v>
      </c>
      <c r="I111" s="2">
        <v>35.17</v>
      </c>
      <c r="J111" s="2">
        <v>0</v>
      </c>
      <c r="K111" s="2">
        <v>0</v>
      </c>
      <c r="L111" s="2">
        <v>0</v>
      </c>
      <c r="M111" s="2">
        <v>0</v>
      </c>
      <c r="N111" s="2">
        <v>0</v>
      </c>
      <c r="O111" s="2">
        <v>0.81</v>
      </c>
      <c r="P111" s="2">
        <v>17.760000000000002</v>
      </c>
      <c r="Q111" s="2">
        <v>0</v>
      </c>
      <c r="R111" s="2">
        <v>0</v>
      </c>
      <c r="S111" s="2">
        <v>0</v>
      </c>
      <c r="T111" s="2">
        <v>0</v>
      </c>
      <c r="U111" s="2">
        <v>0</v>
      </c>
      <c r="V111" s="2">
        <v>18.53</v>
      </c>
      <c r="W111" s="60">
        <f t="shared" si="3"/>
        <v>75.600000000000009</v>
      </c>
      <c r="X111" s="2"/>
      <c r="Y111" s="3">
        <f>(W111-X112)/X112*100</f>
        <v>-2.1789762434656557</v>
      </c>
      <c r="Z111" s="3"/>
      <c r="AA111" s="62">
        <v>1.4</v>
      </c>
      <c r="AB111" s="2"/>
      <c r="AC111" s="3"/>
      <c r="AD111" s="3"/>
      <c r="AE111" s="2">
        <v>0.8</v>
      </c>
      <c r="AF111" s="2"/>
    </row>
    <row r="112" spans="1:32">
      <c r="A112" s="2"/>
      <c r="B112" s="2"/>
      <c r="C112" s="2"/>
      <c r="D112" s="2">
        <v>5</v>
      </c>
      <c r="E112" s="2">
        <v>20.29</v>
      </c>
      <c r="F112" s="2">
        <v>0</v>
      </c>
      <c r="G112" s="2">
        <v>0</v>
      </c>
      <c r="H112" s="2">
        <v>5.76</v>
      </c>
      <c r="I112" s="2">
        <v>12.87</v>
      </c>
      <c r="J112" s="2">
        <v>0</v>
      </c>
      <c r="K112" s="2">
        <v>0</v>
      </c>
      <c r="L112" s="2">
        <v>0</v>
      </c>
      <c r="M112" s="2">
        <v>0</v>
      </c>
      <c r="N112" s="2">
        <v>0</v>
      </c>
      <c r="O112" s="2">
        <v>0.96</v>
      </c>
      <c r="P112" s="2">
        <v>44.84</v>
      </c>
      <c r="Q112" s="2">
        <v>0</v>
      </c>
      <c r="R112" s="2">
        <v>0</v>
      </c>
      <c r="S112" s="2">
        <v>0.82</v>
      </c>
      <c r="T112" s="2">
        <v>0</v>
      </c>
      <c r="U112" s="2">
        <v>0</v>
      </c>
      <c r="V112" s="2">
        <v>1.25</v>
      </c>
      <c r="W112" s="60">
        <f t="shared" si="3"/>
        <v>85.829999999999984</v>
      </c>
      <c r="X112" s="2">
        <f>AVERAGE(W108:W112)</f>
        <v>77.284000000000006</v>
      </c>
      <c r="Y112" s="3">
        <f>(W112-X112)/X112*100</f>
        <v>11.057916256922489</v>
      </c>
      <c r="Z112" s="3">
        <f>STDEV(W108:W112)</f>
        <v>8.2823142901003166</v>
      </c>
      <c r="AA112" s="62">
        <v>0.4</v>
      </c>
      <c r="AB112" s="62">
        <f>AVERAGE(AA108:AA112)</f>
        <v>1.1400000000000001</v>
      </c>
      <c r="AC112" s="3"/>
      <c r="AD112" s="3"/>
      <c r="AE112" s="2">
        <v>1.7</v>
      </c>
      <c r="AF112" s="2">
        <f>AVERAGE(AE108:AE112)</f>
        <v>4.6400000000000006</v>
      </c>
    </row>
    <row r="113" spans="1:32">
      <c r="A113" s="2"/>
      <c r="B113" s="2"/>
      <c r="C113" s="2">
        <v>3</v>
      </c>
      <c r="D113" s="2">
        <v>1</v>
      </c>
      <c r="E113" s="2">
        <v>11.03</v>
      </c>
      <c r="F113" s="2">
        <v>0</v>
      </c>
      <c r="G113" s="2">
        <v>0</v>
      </c>
      <c r="H113" s="2">
        <v>0</v>
      </c>
      <c r="I113" s="2">
        <v>34.44</v>
      </c>
      <c r="J113" s="2">
        <v>0</v>
      </c>
      <c r="K113" s="2">
        <v>0</v>
      </c>
      <c r="L113" s="2">
        <v>0</v>
      </c>
      <c r="M113" s="2">
        <v>3.38</v>
      </c>
      <c r="N113" s="2">
        <v>0</v>
      </c>
      <c r="O113" s="2">
        <v>0.09</v>
      </c>
      <c r="P113" s="2">
        <v>7.72</v>
      </c>
      <c r="Q113" s="2">
        <v>0.62</v>
      </c>
      <c r="R113" s="2">
        <v>0</v>
      </c>
      <c r="S113" s="2">
        <v>0.96</v>
      </c>
      <c r="T113" s="2">
        <v>0</v>
      </c>
      <c r="U113" s="2">
        <v>0.45</v>
      </c>
      <c r="V113" s="2">
        <v>0.74</v>
      </c>
      <c r="W113" s="60">
        <f t="shared" si="3"/>
        <v>59.34</v>
      </c>
      <c r="X113" s="2"/>
      <c r="Y113" s="3">
        <f>(W113-X117)/X117*100</f>
        <v>-19.199346405228752</v>
      </c>
      <c r="Z113" s="3"/>
      <c r="AA113" s="62">
        <v>5.5</v>
      </c>
      <c r="AB113" s="2"/>
      <c r="AC113" s="3"/>
      <c r="AD113" s="3"/>
      <c r="AE113" s="2">
        <v>3.2</v>
      </c>
      <c r="AF113" s="2"/>
    </row>
    <row r="114" spans="1:32">
      <c r="A114" s="2"/>
      <c r="B114" s="2"/>
      <c r="C114" s="2"/>
      <c r="D114" s="2">
        <v>2</v>
      </c>
      <c r="E114" s="2">
        <v>8.9</v>
      </c>
      <c r="F114" s="2">
        <v>0</v>
      </c>
      <c r="G114" s="2">
        <v>0</v>
      </c>
      <c r="H114" s="2">
        <v>0</v>
      </c>
      <c r="I114" s="2">
        <v>26.12</v>
      </c>
      <c r="J114" s="2">
        <v>0</v>
      </c>
      <c r="K114" s="2">
        <v>0</v>
      </c>
      <c r="L114" s="2">
        <v>0</v>
      </c>
      <c r="M114" s="2">
        <v>0</v>
      </c>
      <c r="N114" s="2">
        <v>0</v>
      </c>
      <c r="O114" s="2">
        <v>0.52</v>
      </c>
      <c r="P114" s="2">
        <v>29.04</v>
      </c>
      <c r="Q114" s="2">
        <v>0</v>
      </c>
      <c r="R114" s="2">
        <v>0</v>
      </c>
      <c r="S114" s="2">
        <v>0.63</v>
      </c>
      <c r="T114" s="2">
        <v>0</v>
      </c>
      <c r="U114" s="2">
        <v>2.13</v>
      </c>
      <c r="V114" s="2">
        <v>5.51</v>
      </c>
      <c r="W114" s="60">
        <f t="shared" si="3"/>
        <v>72.33</v>
      </c>
      <c r="X114" s="2"/>
      <c r="Y114" s="3">
        <f>(W114-X117)/X117*100</f>
        <v>-1.5114379084967313</v>
      </c>
      <c r="Z114" s="3"/>
      <c r="AA114" s="62">
        <v>0.6</v>
      </c>
      <c r="AB114" s="2"/>
      <c r="AC114" s="3"/>
      <c r="AD114" s="3"/>
      <c r="AE114" s="2">
        <v>0.7</v>
      </c>
      <c r="AF114" s="2"/>
    </row>
    <row r="115" spans="1:32">
      <c r="A115" s="2"/>
      <c r="B115" s="2"/>
      <c r="C115" s="2"/>
      <c r="D115" s="2">
        <v>3</v>
      </c>
      <c r="E115" s="2">
        <v>2.95</v>
      </c>
      <c r="F115" s="2">
        <v>0</v>
      </c>
      <c r="G115" s="2">
        <v>0</v>
      </c>
      <c r="H115" s="2">
        <v>0</v>
      </c>
      <c r="I115" s="2">
        <v>17.170000000000002</v>
      </c>
      <c r="J115" s="2">
        <v>0</v>
      </c>
      <c r="K115" s="2">
        <v>0</v>
      </c>
      <c r="L115" s="2">
        <v>0</v>
      </c>
      <c r="M115" s="2">
        <v>5.87</v>
      </c>
      <c r="N115" s="2">
        <v>0</v>
      </c>
      <c r="O115" s="2">
        <v>0.4</v>
      </c>
      <c r="P115" s="2">
        <v>32.229999999999997</v>
      </c>
      <c r="Q115" s="2">
        <v>0</v>
      </c>
      <c r="R115" s="2">
        <v>0</v>
      </c>
      <c r="S115" s="2">
        <v>1.02</v>
      </c>
      <c r="T115" s="2">
        <v>0</v>
      </c>
      <c r="U115" s="2">
        <v>0</v>
      </c>
      <c r="V115" s="2">
        <v>5.89</v>
      </c>
      <c r="W115" s="60">
        <f t="shared" si="3"/>
        <v>65.13</v>
      </c>
      <c r="X115" s="2"/>
      <c r="Y115" s="3">
        <f>(W115-X117)/X117*100</f>
        <v>-11.315359477124186</v>
      </c>
      <c r="Z115" s="3"/>
      <c r="AA115" s="62">
        <v>1.7</v>
      </c>
      <c r="AB115" s="2"/>
      <c r="AC115" s="3"/>
      <c r="AD115" s="3"/>
      <c r="AE115" s="2">
        <v>0.6</v>
      </c>
      <c r="AF115" s="2"/>
    </row>
    <row r="116" spans="1:32">
      <c r="A116" s="2"/>
      <c r="B116" s="2"/>
      <c r="C116" s="2"/>
      <c r="D116" s="2">
        <v>4</v>
      </c>
      <c r="E116" s="2">
        <v>3.41</v>
      </c>
      <c r="F116" s="2">
        <v>0</v>
      </c>
      <c r="G116" s="2">
        <v>0</v>
      </c>
      <c r="H116" s="2">
        <v>0</v>
      </c>
      <c r="I116" s="2">
        <v>23.549999999999997</v>
      </c>
      <c r="J116" s="2">
        <v>0</v>
      </c>
      <c r="K116" s="2">
        <v>0</v>
      </c>
      <c r="L116" s="2">
        <v>0</v>
      </c>
      <c r="M116" s="2">
        <v>9.99</v>
      </c>
      <c r="N116" s="2">
        <v>0</v>
      </c>
      <c r="O116" s="2">
        <v>0.39</v>
      </c>
      <c r="P116" s="2">
        <v>18.32</v>
      </c>
      <c r="Q116" s="2">
        <v>0</v>
      </c>
      <c r="R116" s="2">
        <v>0</v>
      </c>
      <c r="S116" s="2">
        <v>0.68</v>
      </c>
      <c r="T116" s="2">
        <v>0</v>
      </c>
      <c r="U116" s="2">
        <v>0</v>
      </c>
      <c r="V116" s="2">
        <v>40.630000000000003</v>
      </c>
      <c r="W116" s="60">
        <f t="shared" si="3"/>
        <v>96.58</v>
      </c>
      <c r="X116" s="2"/>
      <c r="Y116" s="3">
        <f>(W116-X117)/X117*100</f>
        <v>31.508714596949893</v>
      </c>
      <c r="Z116" s="3"/>
      <c r="AA116" s="62">
        <v>2</v>
      </c>
      <c r="AB116" s="2"/>
      <c r="AC116" s="3"/>
      <c r="AD116" s="3"/>
      <c r="AE116" s="2">
        <v>1.2</v>
      </c>
      <c r="AF116" s="2"/>
    </row>
    <row r="117" spans="1:32">
      <c r="A117" s="2"/>
      <c r="B117" s="2"/>
      <c r="C117" s="2"/>
      <c r="D117" s="2">
        <v>5</v>
      </c>
      <c r="E117" s="2">
        <v>1.01</v>
      </c>
      <c r="F117" s="2">
        <v>0</v>
      </c>
      <c r="G117" s="2">
        <v>0</v>
      </c>
      <c r="H117" s="2">
        <v>0</v>
      </c>
      <c r="I117" s="2">
        <v>16.79</v>
      </c>
      <c r="J117" s="2">
        <v>0</v>
      </c>
      <c r="K117" s="2">
        <v>0</v>
      </c>
      <c r="L117" s="2">
        <v>0</v>
      </c>
      <c r="M117" s="2">
        <v>0.06</v>
      </c>
      <c r="N117" s="2">
        <v>0</v>
      </c>
      <c r="O117" s="2">
        <v>0.3</v>
      </c>
      <c r="P117" s="2">
        <v>53.099999999999994</v>
      </c>
      <c r="Q117" s="2">
        <v>0</v>
      </c>
      <c r="R117" s="2">
        <v>0</v>
      </c>
      <c r="S117" s="2">
        <v>0.06</v>
      </c>
      <c r="T117" s="2">
        <v>0</v>
      </c>
      <c r="U117" s="2">
        <v>7.0000000000000007E-2</v>
      </c>
      <c r="V117" s="2">
        <v>2.73</v>
      </c>
      <c r="W117" s="60">
        <f t="shared" si="3"/>
        <v>73.819999999999993</v>
      </c>
      <c r="X117" s="2">
        <f>AVERAGE(W113:W117)</f>
        <v>73.44</v>
      </c>
      <c r="Y117" s="3">
        <f>(W117-X117)/X117*100</f>
        <v>0.51742919389977604</v>
      </c>
      <c r="Z117" s="3">
        <f>STDEV(W113:W117)</f>
        <v>14.183636698674988</v>
      </c>
      <c r="AA117" s="62">
        <v>0.9</v>
      </c>
      <c r="AB117" s="62">
        <f>AVERAGE(AA113:AA117)</f>
        <v>2.14</v>
      </c>
      <c r="AC117" s="3"/>
      <c r="AD117" s="3"/>
      <c r="AE117" s="2">
        <v>0.8</v>
      </c>
      <c r="AF117" s="2">
        <f>AVERAGE(AE113:AE117)</f>
        <v>1.3</v>
      </c>
    </row>
    <row r="118" spans="1:32">
      <c r="A118" s="2"/>
      <c r="B118" s="2"/>
      <c r="C118" s="2">
        <v>4</v>
      </c>
      <c r="D118" s="2">
        <v>1</v>
      </c>
      <c r="E118" s="2">
        <v>5.3</v>
      </c>
      <c r="F118" s="2">
        <v>0</v>
      </c>
      <c r="G118" s="2">
        <v>0</v>
      </c>
      <c r="H118" s="2">
        <v>0</v>
      </c>
      <c r="I118" s="2">
        <v>55.650000000000006</v>
      </c>
      <c r="J118" s="2">
        <v>0</v>
      </c>
      <c r="K118" s="2">
        <v>0</v>
      </c>
      <c r="L118" s="2">
        <v>0</v>
      </c>
      <c r="M118" s="2">
        <v>0</v>
      </c>
      <c r="N118" s="2">
        <v>0</v>
      </c>
      <c r="O118" s="2">
        <v>3.12</v>
      </c>
      <c r="P118" s="2">
        <v>8.23</v>
      </c>
      <c r="Q118" s="2">
        <v>0</v>
      </c>
      <c r="R118" s="2">
        <v>0</v>
      </c>
      <c r="S118" s="2">
        <v>0.04</v>
      </c>
      <c r="T118" s="2">
        <v>0</v>
      </c>
      <c r="U118" s="2">
        <v>0</v>
      </c>
      <c r="V118" s="2">
        <v>0.25</v>
      </c>
      <c r="W118" s="60">
        <f t="shared" si="3"/>
        <v>69.470000000000013</v>
      </c>
      <c r="X118" s="2"/>
      <c r="Y118" s="3">
        <f>(W118-X122)/X122*100</f>
        <v>3.7764034537360782</v>
      </c>
      <c r="Z118" s="3"/>
      <c r="AA118" s="62">
        <v>1.2</v>
      </c>
      <c r="AB118" s="2"/>
      <c r="AC118" s="3"/>
      <c r="AD118" s="3"/>
      <c r="AE118" s="2">
        <v>0.8</v>
      </c>
      <c r="AF118" s="2"/>
    </row>
    <row r="119" spans="1:32">
      <c r="A119" s="2"/>
      <c r="B119" s="2"/>
      <c r="C119" s="2"/>
      <c r="D119" s="2">
        <v>2</v>
      </c>
      <c r="E119" s="2">
        <v>0.06</v>
      </c>
      <c r="F119" s="2">
        <v>0</v>
      </c>
      <c r="G119" s="2">
        <v>0</v>
      </c>
      <c r="H119" s="2">
        <v>0</v>
      </c>
      <c r="I119" s="2">
        <v>47.91</v>
      </c>
      <c r="J119" s="2">
        <v>0</v>
      </c>
      <c r="K119" s="2">
        <v>0</v>
      </c>
      <c r="L119" s="2">
        <v>0</v>
      </c>
      <c r="M119" s="2">
        <v>0.06</v>
      </c>
      <c r="N119" s="2">
        <v>0</v>
      </c>
      <c r="O119" s="2">
        <v>0</v>
      </c>
      <c r="P119" s="2">
        <v>23.35</v>
      </c>
      <c r="Q119" s="2">
        <v>0</v>
      </c>
      <c r="R119" s="2">
        <v>0</v>
      </c>
      <c r="S119" s="2">
        <v>0.31</v>
      </c>
      <c r="T119" s="2">
        <v>0</v>
      </c>
      <c r="U119" s="2">
        <v>0</v>
      </c>
      <c r="V119" s="2">
        <v>6.62</v>
      </c>
      <c r="W119" s="60">
        <f t="shared" si="3"/>
        <v>78.31</v>
      </c>
      <c r="X119" s="2"/>
      <c r="Y119" s="3">
        <f>(W119-X122)/X122*100</f>
        <v>16.98186489797137</v>
      </c>
      <c r="Z119" s="3"/>
      <c r="AA119" s="62">
        <v>1.6</v>
      </c>
      <c r="AB119" s="2"/>
      <c r="AC119" s="3"/>
      <c r="AD119" s="3"/>
      <c r="AE119" s="2">
        <v>0.6</v>
      </c>
      <c r="AF119" s="2"/>
    </row>
    <row r="120" spans="1:32">
      <c r="A120" s="2"/>
      <c r="B120" s="2"/>
      <c r="C120" s="2"/>
      <c r="D120" s="2">
        <v>3</v>
      </c>
      <c r="E120" s="2">
        <v>0.52</v>
      </c>
      <c r="F120" s="2">
        <v>0</v>
      </c>
      <c r="G120" s="2">
        <v>0</v>
      </c>
      <c r="H120" s="2">
        <v>0</v>
      </c>
      <c r="I120" s="2">
        <v>54.03</v>
      </c>
      <c r="J120" s="2">
        <v>0</v>
      </c>
      <c r="K120" s="2">
        <v>0</v>
      </c>
      <c r="L120" s="2">
        <v>0</v>
      </c>
      <c r="M120" s="2">
        <v>0</v>
      </c>
      <c r="N120" s="2">
        <v>0</v>
      </c>
      <c r="O120" s="2">
        <v>1.25</v>
      </c>
      <c r="P120" s="2">
        <v>8.75</v>
      </c>
      <c r="Q120" s="2">
        <v>0</v>
      </c>
      <c r="R120" s="2">
        <v>0</v>
      </c>
      <c r="S120" s="2">
        <v>7.0000000000000007E-2</v>
      </c>
      <c r="T120" s="2">
        <v>0</v>
      </c>
      <c r="U120" s="2">
        <v>0</v>
      </c>
      <c r="V120" s="2">
        <v>0</v>
      </c>
      <c r="W120" s="60">
        <f t="shared" si="3"/>
        <v>63.370000000000005</v>
      </c>
      <c r="X120" s="2"/>
      <c r="Y120" s="3">
        <f>(W120-X122)/X122*100</f>
        <v>-5.3359624749783432</v>
      </c>
      <c r="Z120" s="3"/>
      <c r="AA120" s="62">
        <v>2.8</v>
      </c>
      <c r="AB120" s="2"/>
      <c r="AC120" s="3"/>
      <c r="AD120" s="3"/>
      <c r="AE120" s="2">
        <v>2.5</v>
      </c>
      <c r="AF120" s="2"/>
    </row>
    <row r="121" spans="1:32">
      <c r="A121" s="2"/>
      <c r="B121" s="2"/>
      <c r="C121" s="2"/>
      <c r="D121" s="2">
        <v>4</v>
      </c>
      <c r="E121" s="2">
        <v>0.16</v>
      </c>
      <c r="F121" s="2">
        <v>0</v>
      </c>
      <c r="G121" s="2">
        <v>0</v>
      </c>
      <c r="H121" s="2">
        <v>0</v>
      </c>
      <c r="I121" s="2">
        <v>43.35</v>
      </c>
      <c r="J121" s="2">
        <v>0</v>
      </c>
      <c r="K121" s="2">
        <v>0</v>
      </c>
      <c r="L121" s="2">
        <v>0</v>
      </c>
      <c r="M121" s="2">
        <v>0</v>
      </c>
      <c r="N121" s="2">
        <v>0</v>
      </c>
      <c r="O121" s="2">
        <v>0.62</v>
      </c>
      <c r="P121" s="2">
        <v>4.9000000000000004</v>
      </c>
      <c r="Q121" s="2">
        <v>0</v>
      </c>
      <c r="R121" s="2">
        <v>0</v>
      </c>
      <c r="S121" s="2">
        <v>0.03</v>
      </c>
      <c r="T121" s="2">
        <v>0</v>
      </c>
      <c r="U121" s="2">
        <v>0</v>
      </c>
      <c r="V121" s="2">
        <v>0.77</v>
      </c>
      <c r="W121" s="60">
        <f t="shared" si="3"/>
        <v>49.21</v>
      </c>
      <c r="X121" s="2"/>
      <c r="Y121" s="3">
        <f>(W121-X122)/X122*100</f>
        <v>-26.488602073436713</v>
      </c>
      <c r="Z121" s="3"/>
      <c r="AA121" s="62">
        <v>4.2</v>
      </c>
      <c r="AB121" s="2"/>
      <c r="AC121" s="3"/>
      <c r="AD121" s="3"/>
      <c r="AE121" s="60">
        <v>26.1</v>
      </c>
      <c r="AF121" s="2"/>
    </row>
    <row r="122" spans="1:32">
      <c r="A122" s="2"/>
      <c r="B122" s="2"/>
      <c r="C122" s="2"/>
      <c r="D122" s="2">
        <v>5</v>
      </c>
      <c r="E122" s="2">
        <v>0.22</v>
      </c>
      <c r="F122" s="2">
        <v>0</v>
      </c>
      <c r="G122" s="2">
        <v>0</v>
      </c>
      <c r="H122" s="2">
        <v>0</v>
      </c>
      <c r="I122" s="2">
        <v>30.490000000000002</v>
      </c>
      <c r="J122" s="2">
        <v>0</v>
      </c>
      <c r="K122" s="2">
        <v>0</v>
      </c>
      <c r="L122" s="2">
        <v>0</v>
      </c>
      <c r="M122" s="2">
        <v>0</v>
      </c>
      <c r="N122" s="2">
        <v>0</v>
      </c>
      <c r="O122" s="2">
        <v>3.01</v>
      </c>
      <c r="P122" s="2">
        <v>33.57</v>
      </c>
      <c r="Q122" s="2">
        <v>0</v>
      </c>
      <c r="R122" s="2">
        <v>0</v>
      </c>
      <c r="S122" s="2">
        <v>2.19</v>
      </c>
      <c r="T122" s="2">
        <v>0</v>
      </c>
      <c r="U122" s="2">
        <v>0.42</v>
      </c>
      <c r="V122" s="2">
        <v>7.46</v>
      </c>
      <c r="W122" s="60">
        <f t="shared" si="3"/>
        <v>74.349999999999994</v>
      </c>
      <c r="X122" s="2">
        <f>AVERAGE(W118:W122)</f>
        <v>66.942000000000007</v>
      </c>
      <c r="Y122" s="3">
        <f>(W122-X122)/X122*100</f>
        <v>11.066296196707578</v>
      </c>
      <c r="Z122" s="3">
        <f>STDEV(W118:W122)</f>
        <v>11.376331570414017</v>
      </c>
      <c r="AA122" s="62">
        <v>1.1000000000000001</v>
      </c>
      <c r="AB122" s="62">
        <f>AVERAGE(AA118:AA122)</f>
        <v>2.1800000000000002</v>
      </c>
      <c r="AC122" s="3"/>
      <c r="AD122" s="3"/>
      <c r="AE122" s="2">
        <v>12.3</v>
      </c>
      <c r="AF122" s="2">
        <f>AVERAGE(AE118:AE122)</f>
        <v>8.4599999999999991</v>
      </c>
    </row>
    <row r="123" spans="1:32">
      <c r="A123" s="2" t="s">
        <v>78</v>
      </c>
      <c r="B123" s="2" t="s">
        <v>105</v>
      </c>
      <c r="C123" s="2">
        <v>1</v>
      </c>
      <c r="D123" s="2">
        <v>1</v>
      </c>
      <c r="E123" s="2">
        <v>0</v>
      </c>
      <c r="F123" s="2">
        <v>0</v>
      </c>
      <c r="G123" s="2">
        <v>0</v>
      </c>
      <c r="H123" s="2">
        <v>0</v>
      </c>
      <c r="I123" s="2">
        <v>24.99</v>
      </c>
      <c r="J123" s="2">
        <v>0</v>
      </c>
      <c r="K123" s="2">
        <v>0</v>
      </c>
      <c r="L123" s="2">
        <v>0</v>
      </c>
      <c r="M123" s="2">
        <v>0</v>
      </c>
      <c r="N123" s="2">
        <v>0</v>
      </c>
      <c r="O123" s="2">
        <v>10.52</v>
      </c>
      <c r="P123" s="2">
        <v>15.27</v>
      </c>
      <c r="Q123" s="2">
        <v>0.72</v>
      </c>
      <c r="R123" s="2">
        <v>0</v>
      </c>
      <c r="S123" s="2">
        <v>0</v>
      </c>
      <c r="T123" s="2">
        <v>0</v>
      </c>
      <c r="U123" s="2">
        <v>0</v>
      </c>
      <c r="V123" s="2">
        <v>5.72</v>
      </c>
      <c r="W123" s="60">
        <f t="shared" si="3"/>
        <v>46.699999999999996</v>
      </c>
      <c r="X123" s="2"/>
      <c r="Y123" s="3">
        <f>(W123-X127)/X127*100</f>
        <v>-41.46549346970496</v>
      </c>
      <c r="Z123" s="3"/>
      <c r="AA123" s="62">
        <v>10</v>
      </c>
      <c r="AB123" s="2"/>
      <c r="AC123" s="3"/>
      <c r="AD123" s="3"/>
      <c r="AE123" s="2">
        <v>2.4</v>
      </c>
      <c r="AF123" s="2"/>
    </row>
    <row r="124" spans="1:32">
      <c r="A124" s="2"/>
      <c r="B124" s="2"/>
      <c r="C124" s="2"/>
      <c r="D124" s="2">
        <v>2</v>
      </c>
      <c r="E124" s="2">
        <v>0</v>
      </c>
      <c r="F124" s="2">
        <v>0</v>
      </c>
      <c r="G124" s="2">
        <v>0</v>
      </c>
      <c r="H124" s="2">
        <v>0</v>
      </c>
      <c r="I124" s="2">
        <v>19.259999999999998</v>
      </c>
      <c r="J124" s="2">
        <v>0</v>
      </c>
      <c r="K124" s="2">
        <v>0</v>
      </c>
      <c r="L124" s="2">
        <v>0</v>
      </c>
      <c r="M124" s="2">
        <v>0</v>
      </c>
      <c r="N124" s="2">
        <v>0</v>
      </c>
      <c r="O124" s="2">
        <v>0.77</v>
      </c>
      <c r="P124" s="2">
        <v>65.23</v>
      </c>
      <c r="Q124" s="2">
        <v>0</v>
      </c>
      <c r="R124" s="2">
        <v>0</v>
      </c>
      <c r="S124" s="2">
        <v>0</v>
      </c>
      <c r="T124" s="2">
        <v>0</v>
      </c>
      <c r="U124" s="2">
        <v>0</v>
      </c>
      <c r="V124" s="2">
        <v>13.96</v>
      </c>
      <c r="W124" s="60">
        <f t="shared" si="3"/>
        <v>98.450000000000017</v>
      </c>
      <c r="X124" s="2"/>
      <c r="Y124" s="3">
        <f>(W124-X127)/X127*100</f>
        <v>23.398761625429298</v>
      </c>
      <c r="Z124" s="3"/>
      <c r="AA124" s="62">
        <v>19.8</v>
      </c>
      <c r="AB124" s="2"/>
      <c r="AC124" s="3"/>
      <c r="AD124" s="3"/>
      <c r="AE124" s="2">
        <v>1.4</v>
      </c>
      <c r="AF124" s="2"/>
    </row>
    <row r="125" spans="1:32">
      <c r="A125" s="2"/>
      <c r="B125" s="2"/>
      <c r="C125" s="2"/>
      <c r="D125" s="2">
        <v>3</v>
      </c>
      <c r="E125" s="2">
        <v>0</v>
      </c>
      <c r="F125" s="2">
        <v>0</v>
      </c>
      <c r="G125" s="2">
        <v>0</v>
      </c>
      <c r="H125" s="2">
        <v>0</v>
      </c>
      <c r="I125" s="2">
        <v>34.58</v>
      </c>
      <c r="J125" s="2">
        <v>0</v>
      </c>
      <c r="K125" s="2">
        <v>0</v>
      </c>
      <c r="L125" s="2">
        <v>0</v>
      </c>
      <c r="M125" s="2">
        <v>0</v>
      </c>
      <c r="N125" s="2">
        <v>0</v>
      </c>
      <c r="O125" s="2">
        <v>14.53</v>
      </c>
      <c r="P125" s="2">
        <v>27.54</v>
      </c>
      <c r="Q125" s="2">
        <v>0</v>
      </c>
      <c r="R125" s="2">
        <v>0</v>
      </c>
      <c r="S125" s="2">
        <v>0</v>
      </c>
      <c r="T125" s="2">
        <v>0</v>
      </c>
      <c r="U125" s="2">
        <v>0.05</v>
      </c>
      <c r="V125" s="2">
        <v>15.72</v>
      </c>
      <c r="W125" s="60">
        <f t="shared" si="3"/>
        <v>77.89</v>
      </c>
      <c r="X125" s="2"/>
      <c r="Y125" s="3">
        <f>(W125-X127)/X127*100</f>
        <v>-2.3714622345892682</v>
      </c>
      <c r="Z125" s="3"/>
      <c r="AA125" s="62">
        <v>17.899999999999999</v>
      </c>
      <c r="AB125" s="2"/>
      <c r="AC125" s="3"/>
      <c r="AD125" s="3"/>
      <c r="AE125" s="2">
        <v>0.7</v>
      </c>
      <c r="AF125" s="2"/>
    </row>
    <row r="126" spans="1:32">
      <c r="A126" s="2"/>
      <c r="B126" s="2"/>
      <c r="C126" s="2"/>
      <c r="D126" s="2">
        <v>4</v>
      </c>
      <c r="E126" s="2">
        <v>0.08</v>
      </c>
      <c r="F126" s="2">
        <v>0</v>
      </c>
      <c r="G126" s="2">
        <v>0</v>
      </c>
      <c r="H126" s="2">
        <v>0</v>
      </c>
      <c r="I126" s="2">
        <v>23.520000000000003</v>
      </c>
      <c r="J126" s="2">
        <v>0</v>
      </c>
      <c r="K126" s="2">
        <v>0</v>
      </c>
      <c r="L126" s="2">
        <v>0</v>
      </c>
      <c r="M126" s="2">
        <v>0</v>
      </c>
      <c r="N126" s="2">
        <v>0</v>
      </c>
      <c r="O126" s="2">
        <v>1.25</v>
      </c>
      <c r="P126" s="2">
        <v>40.700000000000003</v>
      </c>
      <c r="Q126" s="2">
        <v>0</v>
      </c>
      <c r="R126" s="2">
        <v>0</v>
      </c>
      <c r="S126" s="2">
        <v>0</v>
      </c>
      <c r="T126" s="2">
        <v>0</v>
      </c>
      <c r="U126" s="2">
        <v>0</v>
      </c>
      <c r="V126" s="2">
        <v>39.25</v>
      </c>
      <c r="W126" s="60">
        <f t="shared" si="3"/>
        <v>103.55000000000001</v>
      </c>
      <c r="X126" s="2"/>
      <c r="Y126" s="3">
        <f>(W126-X127)/X127*100</f>
        <v>29.791180968138175</v>
      </c>
      <c r="Z126" s="3"/>
      <c r="AA126" s="62">
        <v>15.4</v>
      </c>
      <c r="AB126" s="2"/>
      <c r="AC126" s="3"/>
      <c r="AD126" s="3"/>
      <c r="AE126" s="2">
        <v>0.8</v>
      </c>
      <c r="AF126" s="2"/>
    </row>
    <row r="127" spans="1:32">
      <c r="A127" s="2"/>
      <c r="B127" s="2"/>
      <c r="C127" s="2"/>
      <c r="D127" s="2">
        <v>5</v>
      </c>
      <c r="E127" s="2">
        <v>0</v>
      </c>
      <c r="F127" s="2">
        <v>0</v>
      </c>
      <c r="G127" s="2">
        <v>0</v>
      </c>
      <c r="H127" s="2">
        <v>0</v>
      </c>
      <c r="I127" s="2">
        <v>25.42</v>
      </c>
      <c r="J127" s="2">
        <v>0</v>
      </c>
      <c r="K127" s="2">
        <v>0</v>
      </c>
      <c r="L127" s="2">
        <v>0</v>
      </c>
      <c r="M127" s="2">
        <v>0</v>
      </c>
      <c r="N127" s="2">
        <v>0</v>
      </c>
      <c r="O127" s="2">
        <v>2.2599999999999998</v>
      </c>
      <c r="P127" s="2">
        <v>32.78</v>
      </c>
      <c r="Q127" s="2">
        <v>0</v>
      </c>
      <c r="R127" s="2">
        <v>0</v>
      </c>
      <c r="S127" s="2">
        <v>0</v>
      </c>
      <c r="T127" s="2">
        <v>0</v>
      </c>
      <c r="U127" s="2">
        <v>0</v>
      </c>
      <c r="V127" s="2">
        <v>14.12</v>
      </c>
      <c r="W127" s="60">
        <f t="shared" si="3"/>
        <v>72.320000000000007</v>
      </c>
      <c r="X127" s="2">
        <f>AVERAGE(W123:W127)</f>
        <v>79.782000000000011</v>
      </c>
      <c r="Y127" s="3">
        <f>(W127-X127)/X127*100</f>
        <v>-9.3529868892732715</v>
      </c>
      <c r="Z127" s="3">
        <f>STDEV(W123:W127)</f>
        <v>22.732641069616214</v>
      </c>
      <c r="AA127" s="62">
        <v>13.5</v>
      </c>
      <c r="AB127" s="62">
        <f>AVERAGE(AA123:AA127)</f>
        <v>15.319999999999999</v>
      </c>
      <c r="AC127" s="3"/>
      <c r="AD127" s="3"/>
      <c r="AE127" s="2">
        <v>4.3</v>
      </c>
      <c r="AF127" s="2">
        <f>AVERAGE(AE123:AE127)</f>
        <v>1.92</v>
      </c>
    </row>
    <row r="128" spans="1:32">
      <c r="A128" s="2"/>
      <c r="B128" s="2"/>
      <c r="C128" s="2">
        <v>2</v>
      </c>
      <c r="D128" s="2">
        <v>1</v>
      </c>
      <c r="E128" s="2">
        <v>0.16</v>
      </c>
      <c r="F128" s="2">
        <v>0</v>
      </c>
      <c r="G128" s="2">
        <v>0</v>
      </c>
      <c r="H128" s="2">
        <v>0</v>
      </c>
      <c r="I128" s="2">
        <v>23.4</v>
      </c>
      <c r="J128" s="2">
        <v>0</v>
      </c>
      <c r="K128" s="2">
        <v>0</v>
      </c>
      <c r="L128" s="2">
        <v>0</v>
      </c>
      <c r="M128" s="2">
        <v>0</v>
      </c>
      <c r="N128" s="2">
        <v>0</v>
      </c>
      <c r="O128" s="2">
        <v>9.93</v>
      </c>
      <c r="P128" s="2">
        <v>33.08</v>
      </c>
      <c r="Q128" s="2">
        <v>0</v>
      </c>
      <c r="R128" s="2">
        <v>0</v>
      </c>
      <c r="S128" s="2">
        <v>0</v>
      </c>
      <c r="T128" s="2">
        <v>0</v>
      </c>
      <c r="U128" s="2">
        <v>0</v>
      </c>
      <c r="V128" s="2">
        <v>21.04</v>
      </c>
      <c r="W128" s="60">
        <f t="shared" si="3"/>
        <v>77.680000000000007</v>
      </c>
      <c r="X128" s="2"/>
      <c r="Y128" s="3">
        <f>(W128-X132)/X132*100</f>
        <v>-4.4103169915337537</v>
      </c>
      <c r="Z128" s="3"/>
      <c r="AA128" s="62">
        <v>14.4</v>
      </c>
      <c r="AB128" s="2"/>
      <c r="AC128" s="3"/>
      <c r="AD128" s="3"/>
      <c r="AE128" s="2">
        <v>1.8</v>
      </c>
      <c r="AF128" s="2"/>
    </row>
    <row r="129" spans="1:32">
      <c r="A129" s="2"/>
      <c r="B129" s="2"/>
      <c r="C129" s="2"/>
      <c r="D129" s="2">
        <v>2</v>
      </c>
      <c r="E129" s="2">
        <v>0</v>
      </c>
      <c r="F129" s="2">
        <v>0</v>
      </c>
      <c r="G129" s="2">
        <v>0</v>
      </c>
      <c r="H129" s="2">
        <v>0</v>
      </c>
      <c r="I129" s="2">
        <v>27.97</v>
      </c>
      <c r="J129" s="2">
        <v>0</v>
      </c>
      <c r="K129" s="2">
        <v>0</v>
      </c>
      <c r="L129" s="2">
        <v>0</v>
      </c>
      <c r="M129" s="2">
        <v>0</v>
      </c>
      <c r="N129" s="2">
        <v>0</v>
      </c>
      <c r="O129" s="2">
        <v>12.25</v>
      </c>
      <c r="P129" s="2">
        <v>53.59</v>
      </c>
      <c r="Q129" s="2">
        <v>0</v>
      </c>
      <c r="R129" s="2">
        <v>0</v>
      </c>
      <c r="S129" s="2">
        <v>0</v>
      </c>
      <c r="T129" s="2">
        <v>0</v>
      </c>
      <c r="U129" s="2">
        <v>0</v>
      </c>
      <c r="V129" s="2">
        <v>20.46</v>
      </c>
      <c r="W129" s="60">
        <f t="shared" si="3"/>
        <v>102.02000000000001</v>
      </c>
      <c r="X129" s="2"/>
      <c r="Y129" s="3">
        <f>(W129-X132)/X132*100</f>
        <v>25.54144516637135</v>
      </c>
      <c r="Z129" s="3"/>
      <c r="AA129" s="62">
        <v>19.5</v>
      </c>
      <c r="AB129" s="2"/>
      <c r="AC129" s="3"/>
      <c r="AD129" s="3"/>
      <c r="AE129" s="60">
        <v>14.9</v>
      </c>
      <c r="AF129" s="2"/>
    </row>
    <row r="130" spans="1:32">
      <c r="A130" s="2"/>
      <c r="B130" s="2"/>
      <c r="C130" s="2"/>
      <c r="D130" s="2">
        <v>3</v>
      </c>
      <c r="E130" s="2">
        <v>0</v>
      </c>
      <c r="F130" s="2">
        <v>0</v>
      </c>
      <c r="G130" s="2">
        <v>0</v>
      </c>
      <c r="H130" s="2">
        <v>0</v>
      </c>
      <c r="I130" s="2">
        <v>16.759999999999998</v>
      </c>
      <c r="J130" s="2">
        <v>0</v>
      </c>
      <c r="K130" s="2">
        <v>0</v>
      </c>
      <c r="L130" s="2">
        <v>0</v>
      </c>
      <c r="M130" s="2">
        <v>0</v>
      </c>
      <c r="N130" s="2">
        <v>0</v>
      </c>
      <c r="O130" s="2">
        <v>9.76</v>
      </c>
      <c r="P130" s="2">
        <v>54.379999999999995</v>
      </c>
      <c r="Q130" s="2">
        <v>0</v>
      </c>
      <c r="R130" s="2">
        <v>0</v>
      </c>
      <c r="S130" s="2">
        <v>0</v>
      </c>
      <c r="T130" s="2">
        <v>0</v>
      </c>
      <c r="U130" s="2">
        <v>0.54</v>
      </c>
      <c r="V130" s="2">
        <v>3</v>
      </c>
      <c r="W130" s="60">
        <f t="shared" si="3"/>
        <v>74.679999999999993</v>
      </c>
      <c r="X130" s="2"/>
      <c r="Y130" s="3">
        <f>(W130-X132)/X132*100</f>
        <v>-8.1019885804292233</v>
      </c>
      <c r="Z130" s="3"/>
      <c r="AA130" s="62">
        <v>14.7</v>
      </c>
      <c r="AB130" s="2"/>
      <c r="AC130" s="3"/>
      <c r="AD130" s="3"/>
      <c r="AE130" s="2">
        <v>3</v>
      </c>
      <c r="AF130" s="2"/>
    </row>
    <row r="131" spans="1:32">
      <c r="A131" s="2"/>
      <c r="B131" s="2"/>
      <c r="C131" s="2"/>
      <c r="D131" s="2">
        <v>4</v>
      </c>
      <c r="E131" s="2">
        <v>0.4</v>
      </c>
      <c r="F131" s="2">
        <v>0</v>
      </c>
      <c r="G131" s="2">
        <v>0</v>
      </c>
      <c r="H131" s="2">
        <v>0</v>
      </c>
      <c r="I131" s="2">
        <v>20.83</v>
      </c>
      <c r="J131" s="2">
        <v>0</v>
      </c>
      <c r="K131" s="2">
        <v>0</v>
      </c>
      <c r="L131" s="2">
        <v>0</v>
      </c>
      <c r="M131" s="2">
        <v>0</v>
      </c>
      <c r="N131" s="2">
        <v>0</v>
      </c>
      <c r="O131" s="2">
        <v>9.7200000000000006</v>
      </c>
      <c r="P131" s="2">
        <v>63.980000000000004</v>
      </c>
      <c r="Q131" s="2">
        <v>0</v>
      </c>
      <c r="R131" s="2">
        <v>0</v>
      </c>
      <c r="S131" s="2">
        <v>0</v>
      </c>
      <c r="T131" s="2">
        <v>0</v>
      </c>
      <c r="U131" s="2">
        <v>0</v>
      </c>
      <c r="V131" s="2">
        <v>3.03</v>
      </c>
      <c r="W131" s="60">
        <f t="shared" si="3"/>
        <v>88.240000000000009</v>
      </c>
      <c r="X131" s="2"/>
      <c r="Y131" s="3">
        <f>(W131-X132)/X132*100</f>
        <v>8.58436700137824</v>
      </c>
      <c r="Z131" s="3"/>
      <c r="AA131" s="62">
        <v>10.7</v>
      </c>
      <c r="AB131" s="2"/>
      <c r="AC131" s="3"/>
      <c r="AD131" s="3"/>
      <c r="AE131" s="2">
        <v>1.1000000000000001</v>
      </c>
      <c r="AF131" s="2"/>
    </row>
    <row r="132" spans="1:32">
      <c r="A132" s="2"/>
      <c r="B132" s="2"/>
      <c r="C132" s="2"/>
      <c r="D132" s="2">
        <v>5</v>
      </c>
      <c r="E132" s="2">
        <v>0</v>
      </c>
      <c r="F132" s="2">
        <v>0</v>
      </c>
      <c r="G132" s="2">
        <v>0</v>
      </c>
      <c r="H132" s="2">
        <v>0</v>
      </c>
      <c r="I132" s="2">
        <v>16.940000000000001</v>
      </c>
      <c r="J132" s="2">
        <v>0</v>
      </c>
      <c r="K132" s="2">
        <v>0</v>
      </c>
      <c r="L132" s="2">
        <v>0</v>
      </c>
      <c r="M132" s="2">
        <v>0</v>
      </c>
      <c r="N132" s="2">
        <v>0</v>
      </c>
      <c r="O132" s="2">
        <v>10.1</v>
      </c>
      <c r="P132" s="2">
        <v>42.42</v>
      </c>
      <c r="Q132" s="2">
        <v>1.3</v>
      </c>
      <c r="R132" s="2">
        <v>0</v>
      </c>
      <c r="S132" s="2">
        <v>0</v>
      </c>
      <c r="T132" s="2">
        <v>0</v>
      </c>
      <c r="U132" s="2">
        <v>0</v>
      </c>
      <c r="V132" s="2">
        <v>3.04</v>
      </c>
      <c r="W132" s="60">
        <f t="shared" si="3"/>
        <v>63.699999999999996</v>
      </c>
      <c r="X132" s="2">
        <f>AVERAGE(W128:W132)</f>
        <v>81.263999999999996</v>
      </c>
      <c r="Y132" s="3">
        <f>(W132-X132)/X132*100</f>
        <v>-21.613506595786575</v>
      </c>
      <c r="Z132" s="3">
        <f>STDEV(W128:W132)</f>
        <v>14.527253009430334</v>
      </c>
      <c r="AA132" s="62">
        <v>21.1</v>
      </c>
      <c r="AB132" s="62">
        <f>AVERAGE(AA128:AA132)</f>
        <v>16.080000000000002</v>
      </c>
      <c r="AC132" s="3"/>
      <c r="AD132" s="3"/>
      <c r="AE132" s="2">
        <v>4.9000000000000004</v>
      </c>
      <c r="AF132" s="2">
        <f>AVERAGE(AE128:AE132)</f>
        <v>5.1400000000000006</v>
      </c>
    </row>
    <row r="133" spans="1:32">
      <c r="A133" s="2"/>
      <c r="B133" s="2"/>
      <c r="C133" s="2">
        <v>3</v>
      </c>
      <c r="D133" s="2">
        <v>1</v>
      </c>
      <c r="E133" s="2">
        <v>0.66</v>
      </c>
      <c r="F133" s="2">
        <v>0</v>
      </c>
      <c r="G133" s="2">
        <v>0</v>
      </c>
      <c r="H133" s="2">
        <v>0</v>
      </c>
      <c r="I133" s="2">
        <v>20.450000000000003</v>
      </c>
      <c r="J133" s="2">
        <v>0</v>
      </c>
      <c r="K133" s="2">
        <v>0</v>
      </c>
      <c r="L133" s="2">
        <v>0</v>
      </c>
      <c r="M133" s="2">
        <v>0</v>
      </c>
      <c r="N133" s="2">
        <v>0</v>
      </c>
      <c r="O133" s="2">
        <v>0.11</v>
      </c>
      <c r="P133" s="2">
        <v>41.43</v>
      </c>
      <c r="Q133" s="2">
        <v>0</v>
      </c>
      <c r="R133" s="2">
        <v>0</v>
      </c>
      <c r="S133" s="2">
        <v>0</v>
      </c>
      <c r="T133" s="2">
        <v>0</v>
      </c>
      <c r="U133" s="2">
        <v>0.1</v>
      </c>
      <c r="V133" s="2">
        <v>6.52</v>
      </c>
      <c r="W133" s="60">
        <f t="shared" si="3"/>
        <v>69.160000000000011</v>
      </c>
      <c r="X133" s="2"/>
      <c r="Y133" s="3">
        <f>(W133-X137)/X137*100</f>
        <v>2.7179563344720221</v>
      </c>
      <c r="Z133" s="3"/>
      <c r="AA133" s="62">
        <v>16.8</v>
      </c>
      <c r="AB133" s="2"/>
      <c r="AC133" s="3"/>
      <c r="AD133" s="3"/>
      <c r="AE133" s="2">
        <v>2</v>
      </c>
      <c r="AF133" s="2"/>
    </row>
    <row r="134" spans="1:32">
      <c r="A134" s="2"/>
      <c r="B134" s="2"/>
      <c r="C134" s="2"/>
      <c r="D134" s="2">
        <v>2</v>
      </c>
      <c r="E134" s="2">
        <v>0</v>
      </c>
      <c r="F134" s="2">
        <v>0</v>
      </c>
      <c r="G134" s="2">
        <v>0</v>
      </c>
      <c r="H134" s="2">
        <v>0</v>
      </c>
      <c r="I134" s="2">
        <v>23.83</v>
      </c>
      <c r="J134" s="2">
        <v>0</v>
      </c>
      <c r="K134" s="2">
        <v>0</v>
      </c>
      <c r="L134" s="2">
        <v>0</v>
      </c>
      <c r="M134" s="2">
        <v>0</v>
      </c>
      <c r="N134" s="2">
        <v>0</v>
      </c>
      <c r="O134" s="2">
        <v>12.58</v>
      </c>
      <c r="P134" s="2">
        <v>0</v>
      </c>
      <c r="Q134" s="2">
        <v>0</v>
      </c>
      <c r="R134" s="2">
        <v>0</v>
      </c>
      <c r="S134" s="2">
        <v>0</v>
      </c>
      <c r="T134" s="2">
        <v>0</v>
      </c>
      <c r="U134" s="2">
        <v>0</v>
      </c>
      <c r="V134" s="2">
        <v>12.02</v>
      </c>
      <c r="W134" s="60">
        <f t="shared" si="3"/>
        <v>35.849999999999994</v>
      </c>
      <c r="X134" s="2"/>
      <c r="Y134" s="3">
        <f>(W134-X137)/X137*100</f>
        <v>-46.754789841081248</v>
      </c>
      <c r="Z134" s="3"/>
      <c r="AA134" s="62">
        <v>28.5</v>
      </c>
      <c r="AB134" s="2"/>
      <c r="AC134" s="3"/>
      <c r="AD134" s="3"/>
      <c r="AE134" s="2">
        <v>0.6</v>
      </c>
      <c r="AF134" s="2"/>
    </row>
    <row r="135" spans="1:32">
      <c r="A135" s="2"/>
      <c r="B135" s="2"/>
      <c r="C135" s="2"/>
      <c r="D135" s="2">
        <v>3</v>
      </c>
      <c r="E135" s="2">
        <v>0</v>
      </c>
      <c r="F135" s="2">
        <v>0</v>
      </c>
      <c r="G135" s="2">
        <v>0</v>
      </c>
      <c r="H135" s="2">
        <v>0</v>
      </c>
      <c r="I135" s="2">
        <v>20.32</v>
      </c>
      <c r="J135" s="2">
        <v>0</v>
      </c>
      <c r="K135" s="2">
        <v>0</v>
      </c>
      <c r="L135" s="2">
        <v>0</v>
      </c>
      <c r="M135" s="2">
        <v>0</v>
      </c>
      <c r="N135" s="2">
        <v>0</v>
      </c>
      <c r="O135" s="2">
        <v>0.43</v>
      </c>
      <c r="P135" s="2">
        <v>58.69</v>
      </c>
      <c r="Q135" s="2">
        <v>0</v>
      </c>
      <c r="R135" s="2">
        <v>0</v>
      </c>
      <c r="S135" s="2">
        <v>0</v>
      </c>
      <c r="T135" s="2">
        <v>0</v>
      </c>
      <c r="U135" s="2">
        <v>0</v>
      </c>
      <c r="V135" s="2">
        <v>4.63</v>
      </c>
      <c r="W135" s="60">
        <f t="shared" si="3"/>
        <v>83.639999999999986</v>
      </c>
      <c r="X135" s="2"/>
      <c r="Y135" s="3">
        <f>(W135-X137)/X137*100</f>
        <v>24.223971483736801</v>
      </c>
      <c r="Z135" s="3"/>
      <c r="AA135" s="62">
        <v>29.7</v>
      </c>
      <c r="AB135" s="2"/>
      <c r="AC135" s="3"/>
      <c r="AD135" s="3"/>
      <c r="AE135" s="2">
        <v>1.8</v>
      </c>
      <c r="AF135" s="2"/>
    </row>
    <row r="136" spans="1:32">
      <c r="A136" s="2"/>
      <c r="B136" s="2"/>
      <c r="C136" s="2"/>
      <c r="D136" s="2">
        <v>4</v>
      </c>
      <c r="E136" s="2">
        <v>0</v>
      </c>
      <c r="F136" s="2">
        <v>0</v>
      </c>
      <c r="G136" s="2">
        <v>0</v>
      </c>
      <c r="H136" s="2">
        <v>0</v>
      </c>
      <c r="I136" s="2">
        <v>25.83</v>
      </c>
      <c r="J136" s="2">
        <v>0</v>
      </c>
      <c r="K136" s="2">
        <v>0</v>
      </c>
      <c r="L136" s="2">
        <v>1.37</v>
      </c>
      <c r="M136" s="2">
        <v>0</v>
      </c>
      <c r="N136" s="2">
        <v>0</v>
      </c>
      <c r="O136" s="2">
        <v>7.0000000000000007E-2</v>
      </c>
      <c r="P136" s="2">
        <v>55.76</v>
      </c>
      <c r="Q136" s="2">
        <v>0</v>
      </c>
      <c r="R136" s="2">
        <v>0</v>
      </c>
      <c r="S136" s="2">
        <v>0</v>
      </c>
      <c r="T136" s="2">
        <v>0</v>
      </c>
      <c r="U136" s="2">
        <v>0</v>
      </c>
      <c r="V136" s="2">
        <v>1.22</v>
      </c>
      <c r="W136" s="60">
        <f t="shared" si="3"/>
        <v>84.179999999999993</v>
      </c>
      <c r="X136" s="2"/>
      <c r="Y136" s="3">
        <f>(W136-X137)/X137*100</f>
        <v>25.025991385712153</v>
      </c>
      <c r="Z136" s="3"/>
      <c r="AA136" s="62">
        <v>10.5</v>
      </c>
      <c r="AB136" s="2"/>
      <c r="AC136" s="3"/>
      <c r="AD136" s="3"/>
      <c r="AE136" s="2">
        <v>0.8</v>
      </c>
      <c r="AF136" s="2"/>
    </row>
    <row r="137" spans="1:32">
      <c r="A137" s="2"/>
      <c r="B137" s="2"/>
      <c r="C137" s="2"/>
      <c r="D137" s="2">
        <v>5</v>
      </c>
      <c r="E137" s="2">
        <v>0</v>
      </c>
      <c r="F137" s="2">
        <v>0</v>
      </c>
      <c r="G137" s="2">
        <v>0</v>
      </c>
      <c r="H137" s="2">
        <v>0</v>
      </c>
      <c r="I137" s="2">
        <v>18.3</v>
      </c>
      <c r="J137" s="2">
        <v>0</v>
      </c>
      <c r="K137" s="2">
        <v>0</v>
      </c>
      <c r="L137" s="2">
        <v>0</v>
      </c>
      <c r="M137" s="2">
        <v>0</v>
      </c>
      <c r="N137" s="2">
        <v>0</v>
      </c>
      <c r="O137" s="2">
        <v>1.26</v>
      </c>
      <c r="P137" s="2">
        <v>42.88</v>
      </c>
      <c r="Q137" s="2">
        <v>0</v>
      </c>
      <c r="R137" s="2">
        <v>0</v>
      </c>
      <c r="S137" s="2">
        <v>0</v>
      </c>
      <c r="T137" s="2">
        <v>0</v>
      </c>
      <c r="U137" s="2">
        <v>0</v>
      </c>
      <c r="V137" s="2">
        <v>2.64</v>
      </c>
      <c r="W137" s="60">
        <f t="shared" si="3"/>
        <v>63.820000000000007</v>
      </c>
      <c r="X137" s="2">
        <f>AVERAGE(W133:W137)</f>
        <v>67.33</v>
      </c>
      <c r="Y137" s="3">
        <f>(W137-X137)/X137*100</f>
        <v>-5.2131293628397311</v>
      </c>
      <c r="Z137" s="3">
        <f>STDEV(W133:W137)</f>
        <v>19.726872534692376</v>
      </c>
      <c r="AA137" s="62">
        <v>19.100000000000001</v>
      </c>
      <c r="AB137" s="62">
        <f>AVERAGE(AA133:AA137)</f>
        <v>20.919999999999998</v>
      </c>
      <c r="AC137" s="3"/>
      <c r="AD137" s="3"/>
      <c r="AE137" s="2">
        <v>1.2</v>
      </c>
      <c r="AF137" s="2">
        <f>AVERAGE(AE133:AE137)</f>
        <v>1.28</v>
      </c>
    </row>
    <row r="138" spans="1:32">
      <c r="A138" s="2"/>
      <c r="B138" s="2"/>
      <c r="C138" s="2">
        <v>4</v>
      </c>
      <c r="D138" s="2">
        <v>1</v>
      </c>
      <c r="E138" s="2">
        <v>0.04</v>
      </c>
      <c r="F138" s="2">
        <v>0</v>
      </c>
      <c r="G138" s="2">
        <v>0</v>
      </c>
      <c r="H138" s="2">
        <v>0</v>
      </c>
      <c r="I138" s="2">
        <v>45.95</v>
      </c>
      <c r="J138" s="2">
        <v>0</v>
      </c>
      <c r="K138" s="2">
        <v>0</v>
      </c>
      <c r="L138" s="2">
        <v>0</v>
      </c>
      <c r="M138" s="2">
        <v>0</v>
      </c>
      <c r="N138" s="2">
        <v>0</v>
      </c>
      <c r="O138" s="2">
        <v>15.72</v>
      </c>
      <c r="P138" s="2">
        <v>41.72</v>
      </c>
      <c r="Q138" s="2">
        <v>0</v>
      </c>
      <c r="R138" s="2">
        <v>0</v>
      </c>
      <c r="S138" s="2">
        <v>0</v>
      </c>
      <c r="T138" s="2">
        <v>0</v>
      </c>
      <c r="U138" s="2">
        <v>0.09</v>
      </c>
      <c r="V138" s="2">
        <v>6.15</v>
      </c>
      <c r="W138" s="60">
        <f t="shared" si="3"/>
        <v>93.950000000000017</v>
      </c>
      <c r="X138" s="2"/>
      <c r="Y138" s="3">
        <f>(W138-X142)/X142*100</f>
        <v>36.921417745132331</v>
      </c>
      <c r="Z138" s="3"/>
      <c r="AA138" s="62">
        <v>21.3</v>
      </c>
      <c r="AB138" s="2"/>
      <c r="AC138" s="3"/>
      <c r="AD138" s="3"/>
      <c r="AE138" s="2">
        <v>1.2</v>
      </c>
      <c r="AF138" s="2"/>
    </row>
    <row r="139" spans="1:32">
      <c r="A139" s="2"/>
      <c r="B139" s="2"/>
      <c r="C139" s="2"/>
      <c r="D139" s="2">
        <v>2</v>
      </c>
      <c r="E139" s="2">
        <v>0.32</v>
      </c>
      <c r="F139" s="2">
        <v>0</v>
      </c>
      <c r="G139" s="2">
        <v>0</v>
      </c>
      <c r="H139" s="2">
        <v>0</v>
      </c>
      <c r="I139" s="2">
        <v>16.059999999999999</v>
      </c>
      <c r="J139" s="2">
        <v>0</v>
      </c>
      <c r="K139" s="2">
        <v>0</v>
      </c>
      <c r="L139" s="2">
        <v>0</v>
      </c>
      <c r="M139" s="2">
        <v>0</v>
      </c>
      <c r="N139" s="2">
        <v>0</v>
      </c>
      <c r="O139" s="2">
        <v>9.89</v>
      </c>
      <c r="P139" s="2">
        <v>40.81</v>
      </c>
      <c r="Q139" s="2">
        <v>0</v>
      </c>
      <c r="R139" s="2">
        <v>0</v>
      </c>
      <c r="S139" s="2">
        <v>0</v>
      </c>
      <c r="T139" s="2">
        <v>0</v>
      </c>
      <c r="U139" s="2">
        <v>0.46</v>
      </c>
      <c r="V139" s="2">
        <v>14.65</v>
      </c>
      <c r="W139" s="60">
        <f t="shared" si="3"/>
        <v>72.3</v>
      </c>
      <c r="X139" s="2"/>
      <c r="Y139" s="3">
        <f>(W139-X142)/X142*100</f>
        <v>5.3690101434067596</v>
      </c>
      <c r="Z139" s="3"/>
      <c r="AA139" s="62">
        <v>10.4</v>
      </c>
      <c r="AB139" s="2"/>
      <c r="AC139" s="3"/>
      <c r="AD139" s="3"/>
      <c r="AE139" s="2">
        <v>1.4</v>
      </c>
      <c r="AF139" s="2"/>
    </row>
    <row r="140" spans="1:32">
      <c r="A140" s="2"/>
      <c r="B140" s="2"/>
      <c r="C140" s="2"/>
      <c r="D140" s="2">
        <v>3</v>
      </c>
      <c r="E140" s="2">
        <v>0</v>
      </c>
      <c r="F140" s="2">
        <v>0</v>
      </c>
      <c r="G140" s="2">
        <v>0</v>
      </c>
      <c r="H140" s="2">
        <v>0</v>
      </c>
      <c r="I140" s="2">
        <v>43.14</v>
      </c>
      <c r="J140" s="2">
        <v>0</v>
      </c>
      <c r="K140" s="2">
        <v>0</v>
      </c>
      <c r="L140" s="2">
        <v>0.22</v>
      </c>
      <c r="M140" s="2">
        <v>0</v>
      </c>
      <c r="N140" s="2">
        <v>0</v>
      </c>
      <c r="O140" s="2">
        <v>14.1</v>
      </c>
      <c r="P140" s="2">
        <v>36.450000000000003</v>
      </c>
      <c r="Q140" s="2">
        <v>0</v>
      </c>
      <c r="R140" s="2">
        <v>0</v>
      </c>
      <c r="S140" s="2">
        <v>0</v>
      </c>
      <c r="T140" s="2">
        <v>0</v>
      </c>
      <c r="U140" s="2">
        <v>1.49</v>
      </c>
      <c r="V140" s="2">
        <v>5.0199999999999996</v>
      </c>
      <c r="W140" s="60">
        <f t="shared" si="3"/>
        <v>86.32</v>
      </c>
      <c r="X140" s="2"/>
      <c r="Y140" s="3">
        <f>(W140-X142)/X142*100</f>
        <v>25.801562317826708</v>
      </c>
      <c r="Z140" s="3"/>
      <c r="AA140" s="62">
        <v>13.9</v>
      </c>
      <c r="AB140" s="2"/>
      <c r="AC140" s="3"/>
      <c r="AD140" s="3"/>
      <c r="AE140" s="2">
        <v>1.5</v>
      </c>
      <c r="AF140" s="2"/>
    </row>
    <row r="141" spans="1:32">
      <c r="A141" s="2"/>
      <c r="B141" s="2"/>
      <c r="C141" s="2"/>
      <c r="D141" s="2">
        <v>4</v>
      </c>
      <c r="E141" s="2">
        <v>0</v>
      </c>
      <c r="F141" s="2">
        <v>0</v>
      </c>
      <c r="G141" s="2">
        <v>0</v>
      </c>
      <c r="H141" s="2">
        <v>0</v>
      </c>
      <c r="I141" s="2">
        <v>29.78</v>
      </c>
      <c r="J141" s="2">
        <v>0</v>
      </c>
      <c r="K141" s="2">
        <v>0</v>
      </c>
      <c r="L141" s="2">
        <v>0</v>
      </c>
      <c r="M141" s="2">
        <v>0</v>
      </c>
      <c r="N141" s="2">
        <v>0</v>
      </c>
      <c r="O141" s="2">
        <v>9.67</v>
      </c>
      <c r="P141" s="2">
        <v>16.350000000000001</v>
      </c>
      <c r="Q141" s="2">
        <v>0</v>
      </c>
      <c r="R141" s="2">
        <v>0</v>
      </c>
      <c r="S141" s="2">
        <v>0</v>
      </c>
      <c r="T141" s="2">
        <v>0</v>
      </c>
      <c r="U141" s="2">
        <v>0</v>
      </c>
      <c r="V141" s="2">
        <v>3.27</v>
      </c>
      <c r="W141" s="60">
        <f t="shared" si="3"/>
        <v>49.400000000000006</v>
      </c>
      <c r="X141" s="2"/>
      <c r="Y141" s="3">
        <f>(W141-X142)/X142*100</f>
        <v>-28.0051299988341</v>
      </c>
      <c r="Z141" s="3"/>
      <c r="AA141" s="62">
        <v>17</v>
      </c>
      <c r="AB141" s="2"/>
      <c r="AC141" s="3"/>
      <c r="AD141" s="3"/>
      <c r="AE141" s="2">
        <v>1.4</v>
      </c>
      <c r="AF141" s="2"/>
    </row>
    <row r="142" spans="1:32">
      <c r="A142" s="2"/>
      <c r="B142" s="2"/>
      <c r="C142" s="2"/>
      <c r="D142" s="2">
        <v>5</v>
      </c>
      <c r="E142" s="2">
        <v>5.56</v>
      </c>
      <c r="F142" s="2">
        <v>0</v>
      </c>
      <c r="G142" s="2">
        <v>0</v>
      </c>
      <c r="H142" s="2">
        <v>0</v>
      </c>
      <c r="I142" s="2">
        <v>26.49</v>
      </c>
      <c r="J142" s="2">
        <v>0</v>
      </c>
      <c r="K142" s="2">
        <v>0</v>
      </c>
      <c r="L142" s="2">
        <v>0</v>
      </c>
      <c r="M142" s="2">
        <v>0</v>
      </c>
      <c r="N142" s="2">
        <v>0</v>
      </c>
      <c r="O142" s="2">
        <v>0</v>
      </c>
      <c r="P142" s="2">
        <v>0.54</v>
      </c>
      <c r="Q142" s="2">
        <v>3.99</v>
      </c>
      <c r="R142" s="2">
        <v>0</v>
      </c>
      <c r="S142" s="2">
        <v>0</v>
      </c>
      <c r="T142" s="2">
        <v>0</v>
      </c>
      <c r="U142" s="2">
        <v>1.26</v>
      </c>
      <c r="V142" s="2">
        <v>3.27</v>
      </c>
      <c r="W142" s="60">
        <f t="shared" si="3"/>
        <v>41.11</v>
      </c>
      <c r="X142" s="2">
        <f>AVERAGE(W138:W142)</f>
        <v>68.616000000000014</v>
      </c>
      <c r="Y142" s="3">
        <f>(W142-X142)/X142*100</f>
        <v>-40.086860207531785</v>
      </c>
      <c r="Z142" s="3">
        <f>STDEV(W138:W142)</f>
        <v>22.883671689656765</v>
      </c>
      <c r="AA142" s="62">
        <v>18.5</v>
      </c>
      <c r="AB142" s="62">
        <f>AVERAGE(AA138:AA142)</f>
        <v>16.22</v>
      </c>
      <c r="AC142" s="3"/>
      <c r="AD142" s="3"/>
      <c r="AE142" s="2">
        <v>0.6</v>
      </c>
      <c r="AF142" s="2">
        <f>AVERAGE(AE138:AE142)</f>
        <v>1.22</v>
      </c>
    </row>
    <row r="143" spans="1:32">
      <c r="A143" s="2" t="s">
        <v>106</v>
      </c>
      <c r="B143" s="2" t="s">
        <v>125</v>
      </c>
      <c r="C143" s="2">
        <v>1</v>
      </c>
      <c r="D143" s="2">
        <v>1</v>
      </c>
      <c r="E143" s="2">
        <v>0.3</v>
      </c>
      <c r="F143" s="2">
        <v>0</v>
      </c>
      <c r="G143" s="2">
        <v>0</v>
      </c>
      <c r="H143" s="2">
        <v>0</v>
      </c>
      <c r="I143" s="2">
        <v>9.9</v>
      </c>
      <c r="J143" s="2">
        <v>0</v>
      </c>
      <c r="K143" s="2">
        <v>0</v>
      </c>
      <c r="L143" s="2">
        <v>1.4</v>
      </c>
      <c r="M143" s="2">
        <v>4</v>
      </c>
      <c r="N143" s="2">
        <v>0</v>
      </c>
      <c r="O143" s="2">
        <v>0.7</v>
      </c>
      <c r="P143" s="2">
        <v>8.4</v>
      </c>
      <c r="Q143" s="2">
        <v>0</v>
      </c>
      <c r="R143" s="2">
        <v>2.5</v>
      </c>
      <c r="S143" s="2">
        <v>0.8</v>
      </c>
      <c r="T143" s="2">
        <v>0</v>
      </c>
      <c r="U143" s="2">
        <v>9.3000000000000007</v>
      </c>
      <c r="V143" s="2">
        <v>72.3</v>
      </c>
      <c r="W143" s="60">
        <f t="shared" si="3"/>
        <v>106.4</v>
      </c>
      <c r="X143" s="3"/>
      <c r="Y143" s="3">
        <f>(W143-X147)/X147*100</f>
        <v>28.755105127817298</v>
      </c>
      <c r="Z143" s="3"/>
      <c r="AA143" s="2">
        <v>20.21</v>
      </c>
      <c r="AB143" s="2"/>
      <c r="AC143" s="3"/>
      <c r="AD143" s="3"/>
      <c r="AE143" s="2">
        <v>2.8</v>
      </c>
      <c r="AF143" s="2"/>
    </row>
    <row r="144" spans="1:32">
      <c r="A144" s="2"/>
      <c r="B144" s="2"/>
      <c r="C144" s="2"/>
      <c r="D144" s="2">
        <v>2</v>
      </c>
      <c r="E144" s="2">
        <v>0</v>
      </c>
      <c r="F144" s="2">
        <v>0</v>
      </c>
      <c r="G144" s="2">
        <v>0</v>
      </c>
      <c r="H144" s="2">
        <v>0</v>
      </c>
      <c r="I144" s="2">
        <v>7.26</v>
      </c>
      <c r="J144" s="2">
        <v>0</v>
      </c>
      <c r="K144" s="2">
        <v>0</v>
      </c>
      <c r="L144" s="2">
        <v>0.71</v>
      </c>
      <c r="M144" s="2">
        <v>0</v>
      </c>
      <c r="N144" s="2">
        <v>0</v>
      </c>
      <c r="O144" s="2">
        <v>0.98</v>
      </c>
      <c r="P144" s="2">
        <v>9.48</v>
      </c>
      <c r="Q144" s="2">
        <v>0</v>
      </c>
      <c r="R144" s="2">
        <v>0</v>
      </c>
      <c r="S144" s="2">
        <v>0</v>
      </c>
      <c r="T144" s="2">
        <v>0</v>
      </c>
      <c r="U144" s="2">
        <v>7.99</v>
      </c>
      <c r="V144" s="2">
        <v>51.01</v>
      </c>
      <c r="W144" s="60">
        <f t="shared" si="3"/>
        <v>76.449999999999989</v>
      </c>
      <c r="X144" s="3"/>
      <c r="Y144" s="3">
        <f>(W144-X147)/X147*100</f>
        <v>-7.4875207986688865</v>
      </c>
      <c r="Z144" s="3"/>
      <c r="AA144" s="2">
        <v>11.69</v>
      </c>
      <c r="AB144" s="2"/>
      <c r="AC144" s="3"/>
      <c r="AD144" s="3"/>
      <c r="AE144" s="60">
        <v>77.7</v>
      </c>
      <c r="AF144" s="2"/>
    </row>
    <row r="145" spans="1:32">
      <c r="A145" s="2"/>
      <c r="B145" s="2"/>
      <c r="C145" s="2"/>
      <c r="D145" s="2">
        <v>3</v>
      </c>
      <c r="E145" s="2">
        <v>1.3</v>
      </c>
      <c r="F145" s="2">
        <v>0</v>
      </c>
      <c r="G145" s="2">
        <v>0</v>
      </c>
      <c r="H145" s="2">
        <v>0</v>
      </c>
      <c r="I145" s="2">
        <v>6.7</v>
      </c>
      <c r="J145" s="2">
        <v>0</v>
      </c>
      <c r="K145" s="2">
        <v>0</v>
      </c>
      <c r="L145" s="2">
        <v>3.2</v>
      </c>
      <c r="M145" s="2">
        <v>0.8</v>
      </c>
      <c r="N145" s="2">
        <v>0</v>
      </c>
      <c r="O145" s="2">
        <v>0.4</v>
      </c>
      <c r="P145" s="2">
        <v>5.2</v>
      </c>
      <c r="Q145" s="2">
        <v>2.1</v>
      </c>
      <c r="R145" s="2">
        <v>0.3</v>
      </c>
      <c r="S145" s="2">
        <v>1.2</v>
      </c>
      <c r="T145" s="2">
        <v>0</v>
      </c>
      <c r="U145" s="2">
        <v>9.3000000000000007</v>
      </c>
      <c r="V145" s="2">
        <v>38</v>
      </c>
      <c r="W145" s="60">
        <f t="shared" si="3"/>
        <v>67.8</v>
      </c>
      <c r="X145" s="3"/>
      <c r="Y145" s="3">
        <f>(W145-X147)/X147*100</f>
        <v>-17.95492361216154</v>
      </c>
      <c r="Z145" s="3"/>
      <c r="AA145" s="2">
        <v>8.16</v>
      </c>
      <c r="AB145" s="2"/>
      <c r="AC145" s="3"/>
      <c r="AD145" s="3"/>
      <c r="AE145" s="2">
        <v>2.8</v>
      </c>
      <c r="AF145" s="2"/>
    </row>
    <row r="146" spans="1:32">
      <c r="A146" s="2"/>
      <c r="B146" s="2"/>
      <c r="C146" s="2"/>
      <c r="D146" s="2">
        <v>4</v>
      </c>
      <c r="E146" s="5"/>
      <c r="F146" s="5"/>
      <c r="G146" s="5"/>
      <c r="H146" s="5"/>
      <c r="I146" s="5"/>
      <c r="J146" s="5"/>
      <c r="K146" s="5"/>
      <c r="L146" s="5"/>
      <c r="M146" s="5"/>
      <c r="N146" s="5"/>
      <c r="O146" s="5"/>
      <c r="P146" s="5"/>
      <c r="Q146" s="5"/>
      <c r="R146" s="5"/>
      <c r="S146" s="5"/>
      <c r="T146" s="5"/>
      <c r="U146" s="5"/>
      <c r="V146" s="5"/>
      <c r="W146" s="60"/>
      <c r="X146" s="3"/>
      <c r="Y146" s="3"/>
      <c r="Z146" s="3"/>
      <c r="AA146" s="2">
        <v>8.93</v>
      </c>
      <c r="AB146" s="2"/>
      <c r="AC146" s="3"/>
      <c r="AD146" s="3"/>
      <c r="AE146" s="60">
        <v>42.6</v>
      </c>
      <c r="AF146" s="2"/>
    </row>
    <row r="147" spans="1:32">
      <c r="A147" s="2"/>
      <c r="B147" s="2"/>
      <c r="C147" s="2"/>
      <c r="D147" s="2">
        <v>5</v>
      </c>
      <c r="E147" s="2">
        <v>0</v>
      </c>
      <c r="F147" s="2">
        <v>0</v>
      </c>
      <c r="G147" s="2">
        <v>0</v>
      </c>
      <c r="H147" s="2">
        <v>0</v>
      </c>
      <c r="I147" s="2">
        <v>7.7</v>
      </c>
      <c r="J147" s="2">
        <v>0</v>
      </c>
      <c r="K147" s="2">
        <v>0</v>
      </c>
      <c r="L147" s="2">
        <v>0</v>
      </c>
      <c r="M147" s="2">
        <v>2.2000000000000002</v>
      </c>
      <c r="N147" s="2">
        <v>0</v>
      </c>
      <c r="O147" s="2">
        <v>0.4</v>
      </c>
      <c r="P147" s="2">
        <v>16.7</v>
      </c>
      <c r="Q147" s="2">
        <v>0.4</v>
      </c>
      <c r="R147" s="2">
        <v>0</v>
      </c>
      <c r="S147" s="2">
        <v>1.4</v>
      </c>
      <c r="T147" s="2">
        <v>0</v>
      </c>
      <c r="U147" s="2">
        <v>12.2</v>
      </c>
      <c r="V147" s="2">
        <v>39.299999999999997</v>
      </c>
      <c r="W147" s="60">
        <f t="shared" ref="W147:W156" si="4">SUM(E147:N147,P147:Q147,S147:V147)</f>
        <v>79.899999999999991</v>
      </c>
      <c r="X147" s="2">
        <f>AVERAGE(W143:W147)</f>
        <v>82.637499999999989</v>
      </c>
      <c r="Y147" s="3">
        <f>(W147-X147)/X147*100</f>
        <v>-3.3126607169868372</v>
      </c>
      <c r="Z147" s="3">
        <f>STDEV(W143:W145,W147)</f>
        <v>16.63917941686633</v>
      </c>
      <c r="AA147" s="2">
        <v>11.47</v>
      </c>
      <c r="AB147" s="2">
        <f>AVERAGE(AA143:AA147)</f>
        <v>12.092000000000001</v>
      </c>
      <c r="AC147" s="3"/>
      <c r="AD147" s="3"/>
      <c r="AE147" s="2">
        <v>2.2000000000000002</v>
      </c>
      <c r="AF147" s="2">
        <f>AVERAGE(AE143:AE147)</f>
        <v>25.619999999999997</v>
      </c>
    </row>
    <row r="148" spans="1:32">
      <c r="A148" s="2"/>
      <c r="B148" s="2"/>
      <c r="C148" s="2">
        <v>2</v>
      </c>
      <c r="D148" s="2">
        <v>1</v>
      </c>
      <c r="E148" s="2">
        <v>1.6</v>
      </c>
      <c r="F148" s="2">
        <v>11.8</v>
      </c>
      <c r="G148" s="2">
        <v>12.6</v>
      </c>
      <c r="H148" s="2">
        <v>0</v>
      </c>
      <c r="I148" s="2">
        <v>5.4</v>
      </c>
      <c r="J148" s="2">
        <v>0</v>
      </c>
      <c r="K148" s="2">
        <v>0</v>
      </c>
      <c r="L148" s="2">
        <v>0</v>
      </c>
      <c r="M148" s="2">
        <v>2.9</v>
      </c>
      <c r="N148" s="2">
        <v>0</v>
      </c>
      <c r="O148" s="2">
        <v>0.4</v>
      </c>
      <c r="P148" s="2">
        <v>13.2</v>
      </c>
      <c r="Q148" s="2">
        <v>0</v>
      </c>
      <c r="R148" s="2">
        <v>2.1</v>
      </c>
      <c r="S148" s="2">
        <v>0.7</v>
      </c>
      <c r="T148" s="2">
        <v>0</v>
      </c>
      <c r="U148" s="2">
        <v>8.6</v>
      </c>
      <c r="V148" s="2">
        <v>35.799999999999997</v>
      </c>
      <c r="W148" s="60">
        <f t="shared" si="4"/>
        <v>92.6</v>
      </c>
      <c r="X148" s="2"/>
      <c r="Y148" s="3">
        <f>(W148-X152)/X152*100</f>
        <v>5.1555757438110286</v>
      </c>
      <c r="Z148" s="3"/>
      <c r="AA148" s="2">
        <v>9.7899999999999991</v>
      </c>
      <c r="AB148" s="2"/>
      <c r="AC148" s="3"/>
      <c r="AD148" s="3"/>
      <c r="AE148" s="2">
        <v>3.6</v>
      </c>
      <c r="AF148" s="2"/>
    </row>
    <row r="149" spans="1:32">
      <c r="A149" s="2"/>
      <c r="B149" s="2"/>
      <c r="C149" s="2"/>
      <c r="D149" s="2">
        <v>2</v>
      </c>
      <c r="E149" s="2">
        <v>11.6</v>
      </c>
      <c r="F149" s="2">
        <v>2</v>
      </c>
      <c r="G149" s="2">
        <v>2.2000000000000002</v>
      </c>
      <c r="H149" s="2">
        <v>0</v>
      </c>
      <c r="I149" s="2">
        <v>8.4</v>
      </c>
      <c r="J149" s="2">
        <v>0</v>
      </c>
      <c r="K149" s="2">
        <v>0</v>
      </c>
      <c r="L149" s="2">
        <v>0.5</v>
      </c>
      <c r="M149" s="2">
        <v>15.2</v>
      </c>
      <c r="N149" s="2">
        <v>0</v>
      </c>
      <c r="O149" s="2">
        <v>1</v>
      </c>
      <c r="P149" s="2">
        <v>14.7</v>
      </c>
      <c r="Q149" s="2">
        <v>1.7</v>
      </c>
      <c r="R149" s="2">
        <v>0.2</v>
      </c>
      <c r="S149" s="2">
        <v>1.5</v>
      </c>
      <c r="T149" s="2">
        <v>0</v>
      </c>
      <c r="U149" s="2">
        <v>1.2</v>
      </c>
      <c r="V149" s="2">
        <v>20.3</v>
      </c>
      <c r="W149" s="60">
        <f t="shared" si="4"/>
        <v>79.300000000000011</v>
      </c>
      <c r="X149" s="2"/>
      <c r="Y149" s="3">
        <f>(W149-X152)/X152*100</f>
        <v>-9.9477628889393479</v>
      </c>
      <c r="Z149" s="3"/>
      <c r="AA149" s="2">
        <v>13.53</v>
      </c>
      <c r="AB149" s="2"/>
      <c r="AC149" s="3"/>
      <c r="AD149" s="3"/>
      <c r="AE149" s="2">
        <v>2.6</v>
      </c>
      <c r="AF149" s="2"/>
    </row>
    <row r="150" spans="1:32">
      <c r="A150" s="2"/>
      <c r="B150" s="2"/>
      <c r="C150" s="2"/>
      <c r="D150" s="2">
        <v>3</v>
      </c>
      <c r="E150" s="2">
        <v>4.9000000000000004</v>
      </c>
      <c r="F150" s="2">
        <v>0.8</v>
      </c>
      <c r="G150" s="2">
        <v>3.4</v>
      </c>
      <c r="H150" s="2">
        <v>0</v>
      </c>
      <c r="I150" s="2">
        <v>10</v>
      </c>
      <c r="J150" s="2">
        <v>0</v>
      </c>
      <c r="K150" s="2">
        <v>0</v>
      </c>
      <c r="L150" s="2">
        <v>0</v>
      </c>
      <c r="M150" s="2">
        <v>9.9</v>
      </c>
      <c r="N150" s="2">
        <v>0</v>
      </c>
      <c r="O150" s="2">
        <v>0.4</v>
      </c>
      <c r="P150" s="2">
        <v>20.399999999999999</v>
      </c>
      <c r="Q150" s="2">
        <v>0.7</v>
      </c>
      <c r="R150" s="2">
        <v>0</v>
      </c>
      <c r="S150" s="2">
        <v>2.7</v>
      </c>
      <c r="T150" s="2">
        <v>0</v>
      </c>
      <c r="U150" s="2">
        <v>5.4</v>
      </c>
      <c r="V150" s="2">
        <v>26.9</v>
      </c>
      <c r="W150" s="60">
        <f t="shared" si="4"/>
        <v>85.1</v>
      </c>
      <c r="X150" s="2"/>
      <c r="Y150" s="3">
        <f>(W150-X152)/X152*100</f>
        <v>-3.361344537815135</v>
      </c>
      <c r="Z150" s="3"/>
      <c r="AA150" s="2">
        <v>5.31</v>
      </c>
      <c r="AB150" s="2"/>
      <c r="AC150" s="3"/>
      <c r="AD150" s="3"/>
      <c r="AE150" s="2">
        <v>17</v>
      </c>
      <c r="AF150" s="2"/>
    </row>
    <row r="151" spans="1:32">
      <c r="A151" s="2"/>
      <c r="B151" s="2"/>
      <c r="C151" s="2"/>
      <c r="D151" s="2">
        <v>4</v>
      </c>
      <c r="E151" s="2">
        <v>2.2999999999999998</v>
      </c>
      <c r="F151" s="2">
        <v>1.6</v>
      </c>
      <c r="G151" s="2">
        <v>15.3</v>
      </c>
      <c r="H151" s="2">
        <v>0</v>
      </c>
      <c r="I151" s="2">
        <v>4.5999999999999996</v>
      </c>
      <c r="J151" s="2">
        <v>0</v>
      </c>
      <c r="K151" s="2">
        <v>0</v>
      </c>
      <c r="L151" s="2">
        <v>0.1</v>
      </c>
      <c r="M151" s="2">
        <v>4.3</v>
      </c>
      <c r="N151" s="2">
        <v>0</v>
      </c>
      <c r="O151" s="2">
        <v>0.5</v>
      </c>
      <c r="P151" s="2">
        <v>11.7</v>
      </c>
      <c r="Q151" s="2">
        <v>0.3</v>
      </c>
      <c r="R151" s="2">
        <v>0.5</v>
      </c>
      <c r="S151" s="2">
        <v>0.7</v>
      </c>
      <c r="T151" s="2">
        <v>0</v>
      </c>
      <c r="U151" s="2">
        <v>17</v>
      </c>
      <c r="V151" s="2">
        <v>30.1</v>
      </c>
      <c r="W151" s="60">
        <f t="shared" si="4"/>
        <v>88</v>
      </c>
      <c r="X151" s="2"/>
      <c r="Y151" s="3">
        <f>(W151-X152)/X152*100</f>
        <v>-6.8135362253011894E-2</v>
      </c>
      <c r="Z151" s="3"/>
      <c r="AA151" s="62">
        <v>10.9</v>
      </c>
      <c r="AB151" s="2"/>
      <c r="AC151" s="3"/>
      <c r="AD151" s="3"/>
      <c r="AE151" s="2">
        <v>2.1</v>
      </c>
      <c r="AF151" s="2"/>
    </row>
    <row r="152" spans="1:32">
      <c r="A152" s="2"/>
      <c r="B152" s="2"/>
      <c r="C152" s="2"/>
      <c r="D152" s="2">
        <v>5</v>
      </c>
      <c r="E152" s="2">
        <v>1.9</v>
      </c>
      <c r="F152" s="2">
        <v>0.6</v>
      </c>
      <c r="G152" s="2">
        <v>11.1</v>
      </c>
      <c r="H152" s="2">
        <v>0</v>
      </c>
      <c r="I152" s="2">
        <v>7.2</v>
      </c>
      <c r="J152" s="2">
        <v>0</v>
      </c>
      <c r="K152" s="2">
        <v>0</v>
      </c>
      <c r="L152" s="2">
        <v>0</v>
      </c>
      <c r="M152" s="2">
        <v>11.9</v>
      </c>
      <c r="N152" s="2">
        <v>0</v>
      </c>
      <c r="O152" s="2">
        <v>0.3</v>
      </c>
      <c r="P152" s="2">
        <v>18.8</v>
      </c>
      <c r="Q152" s="2">
        <v>0.4</v>
      </c>
      <c r="R152" s="2">
        <v>2.6</v>
      </c>
      <c r="S152" s="2">
        <v>0.7</v>
      </c>
      <c r="T152" s="2">
        <v>0</v>
      </c>
      <c r="U152" s="2">
        <v>3.6</v>
      </c>
      <c r="V152" s="2">
        <v>39.1</v>
      </c>
      <c r="W152" s="60">
        <f t="shared" si="4"/>
        <v>95.300000000000011</v>
      </c>
      <c r="X152" s="2">
        <f>AVERAGE(W148:W152)</f>
        <v>88.06</v>
      </c>
      <c r="Y152" s="3">
        <f>(W152-X152)/X152*100</f>
        <v>8.2216670451964671</v>
      </c>
      <c r="Z152" s="3">
        <f>STDEV(W148:W152)</f>
        <v>6.2954745651142128</v>
      </c>
      <c r="AA152" s="62">
        <v>9.1</v>
      </c>
      <c r="AB152" s="2">
        <f>AVERAGE(AA148:AA152)</f>
        <v>9.7260000000000009</v>
      </c>
      <c r="AC152" s="3"/>
      <c r="AD152" s="3"/>
      <c r="AE152" s="2">
        <v>3.8</v>
      </c>
      <c r="AF152" s="2">
        <f>AVERAGE(AE148:AE152)</f>
        <v>5.82</v>
      </c>
    </row>
    <row r="153" spans="1:32">
      <c r="A153" s="2"/>
      <c r="B153" s="2"/>
      <c r="C153" s="2">
        <v>3</v>
      </c>
      <c r="D153" s="2">
        <v>1</v>
      </c>
      <c r="E153" s="2">
        <v>1.3</v>
      </c>
      <c r="F153" s="2">
        <v>0</v>
      </c>
      <c r="G153" s="2">
        <v>5.8</v>
      </c>
      <c r="H153" s="2">
        <v>0</v>
      </c>
      <c r="I153" s="2">
        <v>7.4</v>
      </c>
      <c r="J153" s="2">
        <v>0</v>
      </c>
      <c r="K153" s="2">
        <v>0</v>
      </c>
      <c r="L153" s="2">
        <v>0</v>
      </c>
      <c r="M153" s="2">
        <v>21.1</v>
      </c>
      <c r="N153" s="2">
        <v>0</v>
      </c>
      <c r="O153" s="2">
        <v>0.3</v>
      </c>
      <c r="P153" s="2">
        <v>7.3</v>
      </c>
      <c r="Q153" s="2">
        <v>0</v>
      </c>
      <c r="R153" s="2">
        <v>0.1</v>
      </c>
      <c r="S153" s="2">
        <v>1.5</v>
      </c>
      <c r="T153" s="2">
        <v>0</v>
      </c>
      <c r="U153" s="2">
        <v>14.4</v>
      </c>
      <c r="V153" s="2">
        <v>20</v>
      </c>
      <c r="W153" s="60">
        <f t="shared" si="4"/>
        <v>78.8</v>
      </c>
      <c r="X153" s="2"/>
      <c r="Y153" s="3">
        <f>(W153-X157)/X157*100</f>
        <v>1.1878009630818582</v>
      </c>
      <c r="Z153" s="3"/>
      <c r="AA153" s="2">
        <v>10.1</v>
      </c>
      <c r="AB153" s="2"/>
      <c r="AC153" s="3"/>
      <c r="AD153" s="3"/>
      <c r="AE153" s="2">
        <v>2.6</v>
      </c>
      <c r="AF153" s="2"/>
    </row>
    <row r="154" spans="1:32">
      <c r="A154" s="2"/>
      <c r="B154" s="2"/>
      <c r="C154" s="2"/>
      <c r="D154" s="2">
        <v>2</v>
      </c>
      <c r="E154" s="2">
        <v>3.9</v>
      </c>
      <c r="F154" s="2">
        <v>1.6</v>
      </c>
      <c r="G154" s="2">
        <v>1.9</v>
      </c>
      <c r="H154" s="2">
        <v>0</v>
      </c>
      <c r="I154" s="2">
        <v>4.4000000000000004</v>
      </c>
      <c r="J154" s="2">
        <v>0</v>
      </c>
      <c r="K154" s="2">
        <v>0</v>
      </c>
      <c r="L154" s="2">
        <v>0.6</v>
      </c>
      <c r="M154" s="2">
        <v>5.8</v>
      </c>
      <c r="N154" s="2">
        <v>0</v>
      </c>
      <c r="O154" s="2">
        <v>0.7</v>
      </c>
      <c r="P154" s="2">
        <v>36.1</v>
      </c>
      <c r="Q154" s="2">
        <v>0.3</v>
      </c>
      <c r="R154" s="2">
        <v>0.7</v>
      </c>
      <c r="S154" s="2">
        <v>0.9</v>
      </c>
      <c r="T154" s="2">
        <v>0</v>
      </c>
      <c r="U154" s="2">
        <v>4.4000000000000004</v>
      </c>
      <c r="V154" s="2">
        <v>25.7</v>
      </c>
      <c r="W154" s="60">
        <f t="shared" si="4"/>
        <v>85.6</v>
      </c>
      <c r="X154" s="2"/>
      <c r="Y154" s="3">
        <f>(W154-X157)/X157*100</f>
        <v>9.9197431781701368</v>
      </c>
      <c r="Z154" s="3"/>
      <c r="AA154" s="2">
        <v>8.7799999999999994</v>
      </c>
      <c r="AB154" s="2"/>
      <c r="AC154" s="3"/>
      <c r="AD154" s="3"/>
      <c r="AE154" s="2">
        <v>17.899999999999999</v>
      </c>
      <c r="AF154" s="2"/>
    </row>
    <row r="155" spans="1:32">
      <c r="A155" s="2"/>
      <c r="B155" s="2"/>
      <c r="C155" s="2"/>
      <c r="D155" s="2">
        <v>3</v>
      </c>
      <c r="E155" s="2">
        <v>0.4</v>
      </c>
      <c r="F155" s="2">
        <v>0</v>
      </c>
      <c r="G155" s="2">
        <v>3.4</v>
      </c>
      <c r="H155" s="2">
        <v>0</v>
      </c>
      <c r="I155" s="2">
        <v>5.2</v>
      </c>
      <c r="J155" s="2">
        <v>0</v>
      </c>
      <c r="K155" s="2">
        <v>0</v>
      </c>
      <c r="L155" s="2">
        <v>0</v>
      </c>
      <c r="M155" s="2">
        <v>3.1</v>
      </c>
      <c r="N155" s="2">
        <v>0</v>
      </c>
      <c r="O155" s="2">
        <v>0.1</v>
      </c>
      <c r="P155" s="2">
        <v>6.2</v>
      </c>
      <c r="Q155" s="2">
        <v>0</v>
      </c>
      <c r="R155" s="2">
        <v>2.1</v>
      </c>
      <c r="S155" s="2">
        <v>0.4</v>
      </c>
      <c r="T155" s="2">
        <v>0</v>
      </c>
      <c r="U155" s="2">
        <v>17.7</v>
      </c>
      <c r="V155" s="2">
        <v>43.2</v>
      </c>
      <c r="W155" s="60">
        <f t="shared" si="4"/>
        <v>79.599999999999994</v>
      </c>
      <c r="X155" s="2"/>
      <c r="Y155" s="3">
        <f>(W155-X157)/X157*100</f>
        <v>2.2150882825040052</v>
      </c>
      <c r="Z155" s="3"/>
      <c r="AA155" s="2">
        <v>8.4600000000000009</v>
      </c>
      <c r="AB155" s="2"/>
      <c r="AC155" s="3"/>
      <c r="AD155" s="3"/>
      <c r="AE155" s="2">
        <v>13</v>
      </c>
      <c r="AF155" s="2"/>
    </row>
    <row r="156" spans="1:32">
      <c r="A156" s="2"/>
      <c r="B156" s="2"/>
      <c r="C156" s="2"/>
      <c r="D156" s="2">
        <v>4</v>
      </c>
      <c r="E156" s="2">
        <v>1.8</v>
      </c>
      <c r="F156" s="2">
        <v>0</v>
      </c>
      <c r="G156" s="2">
        <v>11.1</v>
      </c>
      <c r="H156" s="2">
        <v>0</v>
      </c>
      <c r="I156" s="2">
        <v>4.5</v>
      </c>
      <c r="J156" s="2">
        <v>0</v>
      </c>
      <c r="K156" s="2">
        <v>0</v>
      </c>
      <c r="L156" s="2">
        <v>0.3</v>
      </c>
      <c r="M156" s="2">
        <v>1.9</v>
      </c>
      <c r="N156" s="2">
        <v>0</v>
      </c>
      <c r="O156" s="2">
        <v>0.3</v>
      </c>
      <c r="P156" s="2">
        <v>3.9</v>
      </c>
      <c r="Q156" s="2">
        <v>0</v>
      </c>
      <c r="R156" s="2">
        <v>2.5</v>
      </c>
      <c r="S156" s="2">
        <v>0.6</v>
      </c>
      <c r="T156" s="2">
        <v>0</v>
      </c>
      <c r="U156" s="2">
        <v>15.3</v>
      </c>
      <c r="V156" s="2">
        <v>28.1</v>
      </c>
      <c r="W156" s="60">
        <f t="shared" si="4"/>
        <v>67.5</v>
      </c>
      <c r="X156" s="2"/>
      <c r="Y156" s="3">
        <f>(W156-X157)/X157*100</f>
        <v>-13.322632423756019</v>
      </c>
      <c r="Z156" s="3"/>
      <c r="AA156" s="2">
        <v>14.32</v>
      </c>
      <c r="AB156" s="2"/>
      <c r="AC156" s="3"/>
      <c r="AD156" s="3"/>
      <c r="AE156" s="2">
        <v>18.5</v>
      </c>
      <c r="AF156" s="2"/>
    </row>
    <row r="157" spans="1:32">
      <c r="A157" s="2"/>
      <c r="B157" s="2"/>
      <c r="C157" s="2"/>
      <c r="D157" s="2">
        <v>5</v>
      </c>
      <c r="E157" s="5"/>
      <c r="F157" s="5"/>
      <c r="G157" s="5"/>
      <c r="H157" s="5"/>
      <c r="I157" s="5"/>
      <c r="J157" s="5"/>
      <c r="K157" s="5"/>
      <c r="L157" s="5"/>
      <c r="M157" s="5"/>
      <c r="N157" s="5"/>
      <c r="O157" s="5"/>
      <c r="P157" s="5"/>
      <c r="Q157" s="5"/>
      <c r="R157" s="5"/>
      <c r="S157" s="5"/>
      <c r="T157" s="5"/>
      <c r="U157" s="5"/>
      <c r="V157" s="5"/>
      <c r="W157" s="60"/>
      <c r="X157" s="2">
        <f>AVERAGE(W153:W157)</f>
        <v>77.875</v>
      </c>
      <c r="Y157" s="3"/>
      <c r="Z157" s="3">
        <f>STDEV(W153:W156)</f>
        <v>7.553089875452736</v>
      </c>
      <c r="AA157" s="2">
        <v>10.25</v>
      </c>
      <c r="AB157" s="2">
        <f>AVERAGE(AA153:AA157)</f>
        <v>10.382</v>
      </c>
      <c r="AC157" s="3"/>
      <c r="AD157" s="3"/>
      <c r="AE157" s="2">
        <v>1.5</v>
      </c>
      <c r="AF157" s="2">
        <f>AVERAGE(AE153:AE157)</f>
        <v>10.7</v>
      </c>
    </row>
    <row r="158" spans="1:32">
      <c r="A158" s="2"/>
      <c r="B158" s="2"/>
      <c r="C158" s="2">
        <v>4</v>
      </c>
      <c r="D158" s="2">
        <v>1</v>
      </c>
      <c r="E158" s="2">
        <v>0.7</v>
      </c>
      <c r="F158" s="2">
        <v>0</v>
      </c>
      <c r="G158" s="2">
        <v>0.9</v>
      </c>
      <c r="H158" s="2">
        <v>0</v>
      </c>
      <c r="I158" s="2">
        <v>11.1</v>
      </c>
      <c r="J158" s="2">
        <v>0</v>
      </c>
      <c r="K158" s="2">
        <v>0</v>
      </c>
      <c r="L158" s="2">
        <v>1.5</v>
      </c>
      <c r="M158" s="2">
        <v>2.2999999999999998</v>
      </c>
      <c r="N158" s="2">
        <v>0</v>
      </c>
      <c r="O158" s="2">
        <v>0.7</v>
      </c>
      <c r="P158" s="2">
        <v>9.1999999999999993</v>
      </c>
      <c r="Q158" s="2">
        <v>1.5</v>
      </c>
      <c r="R158" s="2">
        <v>1.3</v>
      </c>
      <c r="S158" s="2">
        <v>1.7</v>
      </c>
      <c r="T158" s="2">
        <v>0</v>
      </c>
      <c r="U158" s="2">
        <v>6.6</v>
      </c>
      <c r="V158" s="2">
        <v>59.9</v>
      </c>
      <c r="W158" s="60">
        <f>SUM(E158:N158,P158:Q158,S158:V158)</f>
        <v>95.4</v>
      </c>
      <c r="X158" s="2"/>
      <c r="Y158" s="3">
        <f>(W158-X162)/X162*100</f>
        <v>4.3193001640240762</v>
      </c>
      <c r="Z158" s="3"/>
      <c r="AA158" s="2">
        <v>10.02</v>
      </c>
      <c r="AB158" s="2"/>
      <c r="AC158" s="3"/>
      <c r="AD158" s="3"/>
      <c r="AE158" s="2">
        <v>3.1</v>
      </c>
      <c r="AF158" s="2"/>
    </row>
    <row r="159" spans="1:32">
      <c r="A159" s="2"/>
      <c r="B159" s="2"/>
      <c r="C159" s="2"/>
      <c r="D159" s="2">
        <v>2</v>
      </c>
      <c r="E159" s="5"/>
      <c r="F159" s="5"/>
      <c r="G159" s="5"/>
      <c r="H159" s="5"/>
      <c r="I159" s="5"/>
      <c r="J159" s="5"/>
      <c r="K159" s="5"/>
      <c r="L159" s="5"/>
      <c r="M159" s="5"/>
      <c r="N159" s="5"/>
      <c r="O159" s="5"/>
      <c r="P159" s="5"/>
      <c r="Q159" s="5"/>
      <c r="R159" s="5"/>
      <c r="S159" s="5"/>
      <c r="T159" s="5"/>
      <c r="U159" s="5"/>
      <c r="V159" s="5"/>
      <c r="W159" s="60"/>
      <c r="X159" s="2"/>
      <c r="Y159" s="3"/>
      <c r="Z159" s="3"/>
      <c r="AA159" s="2">
        <v>14.6</v>
      </c>
      <c r="AB159" s="2"/>
      <c r="AC159" s="3"/>
      <c r="AD159" s="3"/>
      <c r="AE159" s="2">
        <v>2.2999999999999998</v>
      </c>
      <c r="AF159" s="2"/>
    </row>
    <row r="160" spans="1:32">
      <c r="A160" s="2"/>
      <c r="B160" s="2"/>
      <c r="C160" s="2"/>
      <c r="D160" s="2">
        <v>3</v>
      </c>
      <c r="E160" s="2">
        <v>6.3</v>
      </c>
      <c r="F160" s="2">
        <v>0</v>
      </c>
      <c r="G160" s="2">
        <v>0.6</v>
      </c>
      <c r="H160" s="2">
        <v>0</v>
      </c>
      <c r="I160" s="2">
        <v>10.9</v>
      </c>
      <c r="J160" s="2">
        <v>0</v>
      </c>
      <c r="K160" s="2">
        <v>0</v>
      </c>
      <c r="L160" s="2">
        <v>0.7</v>
      </c>
      <c r="M160" s="2">
        <v>14.7</v>
      </c>
      <c r="N160" s="2">
        <v>0</v>
      </c>
      <c r="O160" s="2">
        <v>0.6</v>
      </c>
      <c r="P160" s="2">
        <v>8.1999999999999993</v>
      </c>
      <c r="Q160" s="2">
        <v>0.7</v>
      </c>
      <c r="R160" s="2">
        <v>0.4</v>
      </c>
      <c r="S160" s="2">
        <v>4.9000000000000004</v>
      </c>
      <c r="T160" s="2">
        <v>0</v>
      </c>
      <c r="U160" s="2">
        <v>7.9</v>
      </c>
      <c r="V160" s="2">
        <v>37.700000000000003</v>
      </c>
      <c r="W160" s="60">
        <f t="shared" ref="W160:W176" si="5">SUM(E160:N160,P160:Q160,S160:V160)</f>
        <v>92.600000000000009</v>
      </c>
      <c r="X160" s="2"/>
      <c r="Y160" s="3">
        <f>(W160-X162)/X162*100</f>
        <v>1.2575177692728485</v>
      </c>
      <c r="Z160" s="3"/>
      <c r="AA160" s="2">
        <v>16.68</v>
      </c>
      <c r="AB160" s="2"/>
      <c r="AC160" s="3"/>
      <c r="AD160" s="3"/>
      <c r="AE160" s="60">
        <v>18.5</v>
      </c>
      <c r="AF160" s="2"/>
    </row>
    <row r="161" spans="1:32">
      <c r="A161" s="2"/>
      <c r="B161" s="2"/>
      <c r="C161" s="2"/>
      <c r="D161" s="2">
        <v>4</v>
      </c>
      <c r="E161" s="2">
        <v>3.2</v>
      </c>
      <c r="F161" s="2">
        <v>0</v>
      </c>
      <c r="G161" s="2">
        <v>0</v>
      </c>
      <c r="H161" s="2">
        <v>0</v>
      </c>
      <c r="I161" s="2">
        <v>9.5</v>
      </c>
      <c r="J161" s="2">
        <v>0</v>
      </c>
      <c r="K161" s="2">
        <v>0</v>
      </c>
      <c r="L161" s="2">
        <v>0.7</v>
      </c>
      <c r="M161" s="2">
        <v>0.2</v>
      </c>
      <c r="N161" s="2">
        <v>0</v>
      </c>
      <c r="O161" s="2">
        <v>1</v>
      </c>
      <c r="P161" s="2">
        <v>11.5</v>
      </c>
      <c r="Q161" s="2">
        <v>0</v>
      </c>
      <c r="R161" s="2">
        <v>0.5</v>
      </c>
      <c r="S161" s="2">
        <v>0.5</v>
      </c>
      <c r="T161" s="2">
        <v>0</v>
      </c>
      <c r="U161" s="2">
        <v>31.8</v>
      </c>
      <c r="V161" s="2">
        <v>36.799999999999997</v>
      </c>
      <c r="W161" s="60">
        <f t="shared" si="5"/>
        <v>94.199999999999989</v>
      </c>
      <c r="X161" s="2"/>
      <c r="Y161" s="3">
        <f>(W161-X162)/X162*100</f>
        <v>3.0071077091306728</v>
      </c>
      <c r="Z161" s="3"/>
      <c r="AA161" s="2">
        <v>8.23</v>
      </c>
      <c r="AB161" s="2"/>
      <c r="AC161" s="3"/>
      <c r="AD161" s="3"/>
      <c r="AE161" s="2">
        <v>3.2</v>
      </c>
      <c r="AF161" s="2"/>
    </row>
    <row r="162" spans="1:32">
      <c r="A162" s="2"/>
      <c r="B162" s="2"/>
      <c r="C162" s="2"/>
      <c r="D162" s="2">
        <v>5</v>
      </c>
      <c r="E162" s="2">
        <v>4.9000000000000004</v>
      </c>
      <c r="F162" s="2">
        <v>0</v>
      </c>
      <c r="G162" s="2">
        <v>0</v>
      </c>
      <c r="H162" s="2">
        <v>0</v>
      </c>
      <c r="I162" s="2">
        <v>10.8</v>
      </c>
      <c r="J162" s="2">
        <v>8.1999999999999993</v>
      </c>
      <c r="K162" s="2">
        <v>0</v>
      </c>
      <c r="L162" s="2">
        <v>1</v>
      </c>
      <c r="M162" s="2">
        <v>3.7</v>
      </c>
      <c r="N162" s="2">
        <v>0</v>
      </c>
      <c r="O162" s="2">
        <v>0.9</v>
      </c>
      <c r="P162" s="2">
        <v>20.7</v>
      </c>
      <c r="Q162" s="2">
        <v>0</v>
      </c>
      <c r="R162" s="2">
        <v>2.2999999999999998</v>
      </c>
      <c r="S162" s="2">
        <v>5.3</v>
      </c>
      <c r="T162" s="2">
        <v>0</v>
      </c>
      <c r="U162" s="2">
        <v>8.3000000000000007</v>
      </c>
      <c r="V162" s="2">
        <v>20.7</v>
      </c>
      <c r="W162" s="60">
        <f t="shared" si="5"/>
        <v>83.6</v>
      </c>
      <c r="X162" s="2">
        <f>AVERAGE(W158:W162)</f>
        <v>91.449999999999989</v>
      </c>
      <c r="Y162" s="3">
        <f>(W162-X162)/X162*100</f>
        <v>-8.5839256424275501</v>
      </c>
      <c r="Z162" s="3">
        <f>STDEV(W158,W160:W162)</f>
        <v>5.3575491909392081</v>
      </c>
      <c r="AA162" s="2">
        <v>15.31</v>
      </c>
      <c r="AB162" s="2">
        <f>AVERAGE(AA158:AA162)</f>
        <v>12.968</v>
      </c>
      <c r="AC162" s="3"/>
      <c r="AD162" s="3"/>
      <c r="AE162" s="2">
        <v>6.1</v>
      </c>
      <c r="AF162" s="2">
        <f>AVERAGE(AE158:AE162)</f>
        <v>6.6399999999999988</v>
      </c>
    </row>
    <row r="163" spans="1:32">
      <c r="A163" s="2" t="s">
        <v>106</v>
      </c>
      <c r="B163" s="2" t="s">
        <v>133</v>
      </c>
      <c r="C163" s="2">
        <v>1</v>
      </c>
      <c r="D163" s="2">
        <v>1</v>
      </c>
      <c r="E163" s="2">
        <v>0</v>
      </c>
      <c r="F163" s="2">
        <v>0</v>
      </c>
      <c r="G163" s="2">
        <v>0</v>
      </c>
      <c r="H163" s="2">
        <v>0</v>
      </c>
      <c r="I163" s="2">
        <v>22.1</v>
      </c>
      <c r="J163" s="2">
        <v>0</v>
      </c>
      <c r="K163" s="2">
        <v>0</v>
      </c>
      <c r="L163" s="2">
        <v>0</v>
      </c>
      <c r="M163" s="2">
        <v>0</v>
      </c>
      <c r="N163" s="2">
        <v>0</v>
      </c>
      <c r="O163" s="2">
        <v>0.9</v>
      </c>
      <c r="P163" s="2">
        <v>5.3</v>
      </c>
      <c r="Q163" s="2">
        <v>0</v>
      </c>
      <c r="R163" s="2">
        <v>0.2</v>
      </c>
      <c r="S163" s="2">
        <v>0.3</v>
      </c>
      <c r="T163" s="2">
        <v>0</v>
      </c>
      <c r="U163" s="2">
        <v>0</v>
      </c>
      <c r="V163" s="2">
        <v>48</v>
      </c>
      <c r="W163" s="60">
        <f t="shared" si="5"/>
        <v>75.7</v>
      </c>
      <c r="X163" s="2"/>
      <c r="Y163" s="3">
        <f>(W163-X167)/X167*100</f>
        <v>20.965164589325656</v>
      </c>
      <c r="Z163" s="3"/>
      <c r="AA163" s="62">
        <v>16.2</v>
      </c>
      <c r="AB163" s="2"/>
      <c r="AC163" s="3"/>
      <c r="AD163" s="3"/>
      <c r="AE163" s="2">
        <v>1.9</v>
      </c>
      <c r="AF163" s="2"/>
    </row>
    <row r="164" spans="1:32">
      <c r="A164" s="2"/>
      <c r="B164" s="2"/>
      <c r="C164" s="2"/>
      <c r="D164" s="2">
        <v>2</v>
      </c>
      <c r="E164" s="2">
        <v>0</v>
      </c>
      <c r="F164" s="2">
        <v>0</v>
      </c>
      <c r="G164" s="2">
        <v>0</v>
      </c>
      <c r="H164" s="2">
        <v>0</v>
      </c>
      <c r="I164" s="2">
        <v>20.7</v>
      </c>
      <c r="J164" s="2">
        <v>0</v>
      </c>
      <c r="K164" s="2">
        <v>0</v>
      </c>
      <c r="L164" s="2">
        <v>0</v>
      </c>
      <c r="M164" s="2">
        <v>0</v>
      </c>
      <c r="N164" s="2">
        <v>0</v>
      </c>
      <c r="O164" s="2">
        <v>1.9</v>
      </c>
      <c r="P164" s="2">
        <v>0.5</v>
      </c>
      <c r="Q164" s="2">
        <v>0.2</v>
      </c>
      <c r="R164" s="2">
        <v>1.3</v>
      </c>
      <c r="S164" s="2">
        <v>0.3</v>
      </c>
      <c r="T164" s="2">
        <v>0</v>
      </c>
      <c r="U164" s="2">
        <v>0</v>
      </c>
      <c r="V164" s="2">
        <v>48.6</v>
      </c>
      <c r="W164" s="60">
        <f t="shared" si="5"/>
        <v>70.3</v>
      </c>
      <c r="X164" s="2"/>
      <c r="Y164" s="3">
        <f>(W164-X167)/X167*100</f>
        <v>12.336209651645881</v>
      </c>
      <c r="Z164" s="3"/>
      <c r="AA164" s="62">
        <v>7.3</v>
      </c>
      <c r="AB164" s="2"/>
      <c r="AC164" s="3"/>
      <c r="AD164" s="3"/>
      <c r="AE164" s="2">
        <v>1.4</v>
      </c>
      <c r="AF164" s="2"/>
    </row>
    <row r="165" spans="1:32">
      <c r="A165" s="2"/>
      <c r="B165" s="2"/>
      <c r="C165" s="2"/>
      <c r="D165" s="2">
        <v>3</v>
      </c>
      <c r="E165" s="2">
        <v>0</v>
      </c>
      <c r="F165" s="2">
        <v>0.6</v>
      </c>
      <c r="G165" s="2">
        <v>0</v>
      </c>
      <c r="H165" s="2">
        <v>0</v>
      </c>
      <c r="I165" s="2">
        <v>0</v>
      </c>
      <c r="J165" s="2">
        <v>0</v>
      </c>
      <c r="K165" s="2">
        <v>0</v>
      </c>
      <c r="L165" s="2">
        <v>0</v>
      </c>
      <c r="M165" s="2">
        <v>0</v>
      </c>
      <c r="N165" s="2">
        <v>0</v>
      </c>
      <c r="O165" s="2">
        <v>0.3</v>
      </c>
      <c r="P165" s="2">
        <v>1.6</v>
      </c>
      <c r="Q165" s="2">
        <v>0.2</v>
      </c>
      <c r="R165" s="2">
        <v>0.4</v>
      </c>
      <c r="S165" s="2">
        <v>1.2</v>
      </c>
      <c r="T165" s="2">
        <v>0</v>
      </c>
      <c r="U165" s="2">
        <v>0</v>
      </c>
      <c r="V165" s="2">
        <v>34.6</v>
      </c>
      <c r="W165" s="60">
        <f t="shared" si="5"/>
        <v>38.200000000000003</v>
      </c>
      <c r="X165" s="2"/>
      <c r="Y165" s="3">
        <f>(W165-X167)/X167*100</f>
        <v>-38.958133589006074</v>
      </c>
      <c r="Z165" s="3"/>
      <c r="AA165" s="2">
        <v>11.82</v>
      </c>
      <c r="AB165" s="2"/>
      <c r="AC165" s="3"/>
      <c r="AD165" s="3"/>
      <c r="AE165" s="2">
        <v>3.8</v>
      </c>
      <c r="AF165" s="2"/>
    </row>
    <row r="166" spans="1:32">
      <c r="A166" s="2"/>
      <c r="B166" s="2"/>
      <c r="C166" s="2"/>
      <c r="D166" s="2">
        <v>4</v>
      </c>
      <c r="E166" s="2">
        <v>0</v>
      </c>
      <c r="F166" s="2">
        <v>0</v>
      </c>
      <c r="G166" s="2">
        <v>0</v>
      </c>
      <c r="H166" s="2">
        <v>0</v>
      </c>
      <c r="I166" s="2">
        <v>23</v>
      </c>
      <c r="J166" s="2">
        <v>0</v>
      </c>
      <c r="K166" s="2">
        <v>0</v>
      </c>
      <c r="L166" s="2">
        <v>0</v>
      </c>
      <c r="M166" s="2">
        <v>0</v>
      </c>
      <c r="N166" s="2">
        <v>0</v>
      </c>
      <c r="O166" s="2">
        <v>1.4</v>
      </c>
      <c r="P166" s="2">
        <v>6</v>
      </c>
      <c r="Q166" s="2">
        <v>0</v>
      </c>
      <c r="R166" s="2">
        <v>0.9</v>
      </c>
      <c r="S166" s="2">
        <v>0.7</v>
      </c>
      <c r="T166" s="2">
        <v>0</v>
      </c>
      <c r="U166" s="2">
        <v>0</v>
      </c>
      <c r="V166" s="2">
        <v>44.7</v>
      </c>
      <c r="W166" s="60">
        <f t="shared" si="5"/>
        <v>74.400000000000006</v>
      </c>
      <c r="X166" s="2"/>
      <c r="Y166" s="3">
        <f>(W166-X167)/X167*100</f>
        <v>18.887823585810164</v>
      </c>
      <c r="Z166" s="3"/>
      <c r="AA166" s="62">
        <v>3.2</v>
      </c>
      <c r="AB166" s="2"/>
      <c r="AC166" s="3"/>
      <c r="AD166" s="3"/>
      <c r="AE166" s="2">
        <v>10.5</v>
      </c>
      <c r="AF166" s="2"/>
    </row>
    <row r="167" spans="1:32">
      <c r="A167" s="2"/>
      <c r="B167" s="2"/>
      <c r="C167" s="2"/>
      <c r="D167" s="2">
        <v>5</v>
      </c>
      <c r="E167" s="2">
        <v>0</v>
      </c>
      <c r="F167" s="2">
        <v>0</v>
      </c>
      <c r="G167" s="2">
        <v>0</v>
      </c>
      <c r="H167" s="2">
        <v>0</v>
      </c>
      <c r="I167" s="2">
        <v>27.9</v>
      </c>
      <c r="J167" s="2">
        <v>0</v>
      </c>
      <c r="K167" s="2">
        <v>0</v>
      </c>
      <c r="L167" s="2">
        <v>0</v>
      </c>
      <c r="M167" s="2">
        <v>0</v>
      </c>
      <c r="N167" s="2">
        <v>0</v>
      </c>
      <c r="O167" s="2">
        <v>2.5</v>
      </c>
      <c r="P167" s="2">
        <v>0.1</v>
      </c>
      <c r="Q167" s="2">
        <v>0</v>
      </c>
      <c r="R167" s="2">
        <v>0.6</v>
      </c>
      <c r="S167" s="2">
        <v>0.3</v>
      </c>
      <c r="T167" s="2">
        <v>0</v>
      </c>
      <c r="U167" s="2">
        <v>0</v>
      </c>
      <c r="V167" s="2">
        <v>26</v>
      </c>
      <c r="W167" s="60">
        <f t="shared" si="5"/>
        <v>54.3</v>
      </c>
      <c r="X167" s="2">
        <f>AVERAGE(W163:W167)</f>
        <v>62.580000000000005</v>
      </c>
      <c r="Y167" s="3">
        <f>(W167-X167)/X167*100</f>
        <v>-13.231064237775659</v>
      </c>
      <c r="Z167" s="3">
        <f>STDEV(W163:W167)</f>
        <v>16.080951464387883</v>
      </c>
      <c r="AA167" s="62">
        <v>11.2</v>
      </c>
      <c r="AB167" s="62">
        <f>AVERAGE(AA163:AA167)</f>
        <v>9.9439999999999991</v>
      </c>
      <c r="AC167" s="3"/>
      <c r="AD167" s="3"/>
      <c r="AE167" s="2">
        <v>1</v>
      </c>
      <c r="AF167" s="2">
        <f>AVERAGE(AE163:AE167)</f>
        <v>3.72</v>
      </c>
    </row>
    <row r="168" spans="1:32">
      <c r="A168" s="2"/>
      <c r="B168" s="2"/>
      <c r="C168" s="2">
        <v>2</v>
      </c>
      <c r="D168" s="2">
        <v>1</v>
      </c>
      <c r="E168" s="2">
        <v>0</v>
      </c>
      <c r="F168" s="2">
        <v>0</v>
      </c>
      <c r="G168" s="2">
        <v>0</v>
      </c>
      <c r="H168" s="2">
        <v>0</v>
      </c>
      <c r="I168" s="2">
        <v>21.3</v>
      </c>
      <c r="J168" s="2">
        <v>0</v>
      </c>
      <c r="K168" s="2">
        <v>0</v>
      </c>
      <c r="L168" s="2">
        <v>0</v>
      </c>
      <c r="M168" s="2">
        <v>0</v>
      </c>
      <c r="N168" s="2">
        <v>0</v>
      </c>
      <c r="O168" s="2">
        <v>0.8</v>
      </c>
      <c r="P168" s="2">
        <v>17.8</v>
      </c>
      <c r="Q168" s="2">
        <v>0</v>
      </c>
      <c r="R168" s="2">
        <v>0</v>
      </c>
      <c r="S168" s="2">
        <v>1.3</v>
      </c>
      <c r="T168" s="2">
        <v>0</v>
      </c>
      <c r="U168" s="2">
        <v>0</v>
      </c>
      <c r="V168" s="2">
        <v>48.2</v>
      </c>
      <c r="W168" s="60">
        <f t="shared" si="5"/>
        <v>88.6</v>
      </c>
      <c r="X168" s="2"/>
      <c r="Y168" s="3">
        <f>(W168-X172)/X172*100</f>
        <v>15.2745251105907</v>
      </c>
      <c r="Z168" s="3"/>
      <c r="AA168" s="62">
        <v>12.8</v>
      </c>
      <c r="AB168" s="2"/>
      <c r="AC168" s="3"/>
      <c r="AD168" s="3"/>
      <c r="AE168" s="2">
        <v>3.9</v>
      </c>
      <c r="AF168" s="2"/>
    </row>
    <row r="169" spans="1:32">
      <c r="A169" s="2"/>
      <c r="B169" s="2"/>
      <c r="C169" s="2"/>
      <c r="D169" s="2">
        <v>2</v>
      </c>
      <c r="E169" s="2">
        <v>0</v>
      </c>
      <c r="F169" s="2">
        <v>0</v>
      </c>
      <c r="G169" s="2">
        <v>0</v>
      </c>
      <c r="H169" s="2">
        <v>0</v>
      </c>
      <c r="I169" s="2">
        <v>24.2</v>
      </c>
      <c r="J169" s="2">
        <v>0</v>
      </c>
      <c r="K169" s="2">
        <v>0</v>
      </c>
      <c r="L169" s="2">
        <v>0</v>
      </c>
      <c r="M169" s="2">
        <v>0</v>
      </c>
      <c r="N169" s="2">
        <v>0</v>
      </c>
      <c r="O169" s="2">
        <v>1</v>
      </c>
      <c r="P169" s="2">
        <v>4.5</v>
      </c>
      <c r="Q169" s="2">
        <v>1.6</v>
      </c>
      <c r="R169" s="2">
        <v>0</v>
      </c>
      <c r="S169" s="2">
        <v>2.7</v>
      </c>
      <c r="T169" s="2">
        <v>0</v>
      </c>
      <c r="U169" s="2">
        <v>1.1000000000000001</v>
      </c>
      <c r="V169" s="2">
        <v>36.5</v>
      </c>
      <c r="W169" s="60">
        <f t="shared" si="5"/>
        <v>70.599999999999994</v>
      </c>
      <c r="X169" s="2"/>
      <c r="Y169" s="3">
        <f>(W169-X172)/X172*100</f>
        <v>-8.1446786364819044</v>
      </c>
      <c r="Z169" s="3"/>
      <c r="AA169" s="62">
        <v>12.1</v>
      </c>
      <c r="AB169" s="2"/>
      <c r="AC169" s="3"/>
      <c r="AD169" s="3"/>
      <c r="AE169" s="2">
        <v>3</v>
      </c>
      <c r="AF169" s="2"/>
    </row>
    <row r="170" spans="1:32">
      <c r="A170" s="2"/>
      <c r="B170" s="2"/>
      <c r="C170" s="2"/>
      <c r="D170" s="2">
        <v>3</v>
      </c>
      <c r="E170" s="2">
        <v>1.5</v>
      </c>
      <c r="F170" s="2">
        <v>0</v>
      </c>
      <c r="G170" s="2">
        <v>0</v>
      </c>
      <c r="H170" s="2">
        <v>0</v>
      </c>
      <c r="I170" s="2">
        <v>14.6</v>
      </c>
      <c r="J170" s="2">
        <v>0</v>
      </c>
      <c r="K170" s="2">
        <v>0</v>
      </c>
      <c r="L170" s="2">
        <v>0</v>
      </c>
      <c r="M170" s="2">
        <v>0.2</v>
      </c>
      <c r="N170" s="2">
        <v>0</v>
      </c>
      <c r="O170" s="2">
        <v>0.5</v>
      </c>
      <c r="P170" s="2">
        <v>24.1</v>
      </c>
      <c r="Q170" s="2">
        <v>0.6</v>
      </c>
      <c r="R170" s="2">
        <v>0.1</v>
      </c>
      <c r="S170" s="2">
        <v>0.9</v>
      </c>
      <c r="T170" s="2">
        <v>0</v>
      </c>
      <c r="U170" s="2">
        <v>0.2</v>
      </c>
      <c r="V170" s="2">
        <v>29.4</v>
      </c>
      <c r="W170" s="60">
        <f t="shared" si="5"/>
        <v>71.5</v>
      </c>
      <c r="X170" s="2"/>
      <c r="Y170" s="3">
        <f>(W170-X172)/X172*100</f>
        <v>-6.9737184491282678</v>
      </c>
      <c r="Z170" s="3"/>
      <c r="AA170" s="62">
        <v>9.9</v>
      </c>
      <c r="AB170" s="2"/>
      <c r="AC170" s="3"/>
      <c r="AD170" s="3"/>
      <c r="AE170" s="2">
        <v>2.9</v>
      </c>
      <c r="AF170" s="2"/>
    </row>
    <row r="171" spans="1:32">
      <c r="A171" s="2"/>
      <c r="B171" s="2"/>
      <c r="C171" s="2"/>
      <c r="D171" s="2">
        <v>4</v>
      </c>
      <c r="E171" s="2">
        <v>0</v>
      </c>
      <c r="F171" s="2">
        <v>0</v>
      </c>
      <c r="G171" s="2">
        <v>0</v>
      </c>
      <c r="H171" s="2">
        <v>0</v>
      </c>
      <c r="I171" s="2">
        <v>13.4</v>
      </c>
      <c r="J171" s="2">
        <v>0</v>
      </c>
      <c r="K171" s="2">
        <v>0</v>
      </c>
      <c r="L171" s="2">
        <v>0</v>
      </c>
      <c r="M171" s="2">
        <v>3.7</v>
      </c>
      <c r="N171" s="2">
        <v>0</v>
      </c>
      <c r="O171" s="2">
        <v>0</v>
      </c>
      <c r="P171" s="2">
        <v>16.5</v>
      </c>
      <c r="Q171" s="2">
        <v>0.2</v>
      </c>
      <c r="R171" s="2">
        <v>1.1000000000000001</v>
      </c>
      <c r="S171" s="2">
        <v>1.4</v>
      </c>
      <c r="T171" s="2">
        <v>0</v>
      </c>
      <c r="U171" s="2">
        <v>4</v>
      </c>
      <c r="V171" s="2">
        <v>50.3</v>
      </c>
      <c r="W171" s="60">
        <f t="shared" si="5"/>
        <v>89.5</v>
      </c>
      <c r="X171" s="2"/>
      <c r="Y171" s="3">
        <f>(W171-X172)/X172*100</f>
        <v>16.445485297944337</v>
      </c>
      <c r="Z171" s="3"/>
      <c r="AA171" s="2">
        <v>11.15</v>
      </c>
      <c r="AB171" s="2"/>
      <c r="AC171" s="3"/>
      <c r="AD171" s="3"/>
      <c r="AE171" s="2">
        <v>3.1</v>
      </c>
      <c r="AF171" s="2"/>
    </row>
    <row r="172" spans="1:32">
      <c r="A172" s="2"/>
      <c r="B172" s="2"/>
      <c r="C172" s="2"/>
      <c r="D172" s="2">
        <v>5</v>
      </c>
      <c r="E172" s="2">
        <v>0</v>
      </c>
      <c r="F172" s="2">
        <v>0</v>
      </c>
      <c r="G172" s="2">
        <v>0</v>
      </c>
      <c r="H172" s="2">
        <v>0</v>
      </c>
      <c r="I172" s="2">
        <v>17</v>
      </c>
      <c r="J172" s="2">
        <v>0</v>
      </c>
      <c r="K172" s="2">
        <v>0</v>
      </c>
      <c r="L172" s="2">
        <v>0</v>
      </c>
      <c r="M172" s="2">
        <v>0</v>
      </c>
      <c r="N172" s="2">
        <v>0</v>
      </c>
      <c r="O172" s="2">
        <v>0.8</v>
      </c>
      <c r="P172" s="2">
        <v>11</v>
      </c>
      <c r="Q172" s="2">
        <v>0</v>
      </c>
      <c r="R172" s="2">
        <v>0.2</v>
      </c>
      <c r="S172" s="2">
        <v>0.6</v>
      </c>
      <c r="T172" s="2">
        <v>0</v>
      </c>
      <c r="U172" s="2">
        <v>0</v>
      </c>
      <c r="V172" s="2">
        <v>35.5</v>
      </c>
      <c r="W172" s="60">
        <f t="shared" si="5"/>
        <v>64.099999999999994</v>
      </c>
      <c r="X172" s="2">
        <f>AVERAGE(W168:W172)</f>
        <v>76.859999999999985</v>
      </c>
      <c r="Y172" s="3">
        <f>(W172-X172)/X172*100</f>
        <v>-16.601613322924791</v>
      </c>
      <c r="Z172" s="3">
        <f>STDEV(W168:W172)</f>
        <v>11.492736836802688</v>
      </c>
      <c r="AA172" s="62">
        <v>7.5</v>
      </c>
      <c r="AB172" s="62">
        <f>AVERAGE(AA168:AA172)</f>
        <v>10.69</v>
      </c>
      <c r="AC172" s="3"/>
      <c r="AD172" s="3"/>
      <c r="AE172" s="2">
        <v>0.9</v>
      </c>
      <c r="AF172" s="2">
        <f>AVERAGE(AE168:AE172)</f>
        <v>2.7600000000000002</v>
      </c>
    </row>
    <row r="173" spans="1:32">
      <c r="A173" s="2"/>
      <c r="B173" s="2"/>
      <c r="C173" s="2">
        <v>3</v>
      </c>
      <c r="D173" s="2">
        <v>1</v>
      </c>
      <c r="E173" s="2">
        <v>0.4</v>
      </c>
      <c r="F173" s="2">
        <v>0</v>
      </c>
      <c r="G173" s="2">
        <v>0</v>
      </c>
      <c r="H173" s="2">
        <v>0</v>
      </c>
      <c r="I173" s="2">
        <v>19.7</v>
      </c>
      <c r="J173" s="2">
        <v>0</v>
      </c>
      <c r="K173" s="2">
        <v>0</v>
      </c>
      <c r="L173" s="2">
        <v>0</v>
      </c>
      <c r="M173" s="2">
        <v>7.5</v>
      </c>
      <c r="N173" s="2">
        <v>0</v>
      </c>
      <c r="O173" s="2">
        <v>0.3</v>
      </c>
      <c r="P173" s="2">
        <v>6.1</v>
      </c>
      <c r="Q173" s="2">
        <v>0</v>
      </c>
      <c r="R173" s="2">
        <v>0.2</v>
      </c>
      <c r="S173" s="2">
        <v>3.8</v>
      </c>
      <c r="T173" s="2">
        <v>0</v>
      </c>
      <c r="U173" s="2">
        <v>0</v>
      </c>
      <c r="V173" s="2">
        <v>48.3</v>
      </c>
      <c r="W173" s="60">
        <f t="shared" si="5"/>
        <v>85.799999999999983</v>
      </c>
      <c r="X173" s="2"/>
      <c r="Y173" s="3">
        <f>(W173-X177)/X177*100</f>
        <v>17.373461012311886</v>
      </c>
      <c r="Z173" s="3"/>
      <c r="AA173" s="2">
        <v>13.34</v>
      </c>
      <c r="AB173" s="2"/>
      <c r="AC173" s="3"/>
      <c r="AD173" s="3"/>
      <c r="AE173" s="2">
        <v>5</v>
      </c>
      <c r="AF173" s="2"/>
    </row>
    <row r="174" spans="1:32">
      <c r="A174" s="2"/>
      <c r="B174" s="2"/>
      <c r="C174" s="2"/>
      <c r="D174" s="2">
        <v>2</v>
      </c>
      <c r="E174" s="2">
        <v>0.1</v>
      </c>
      <c r="F174" s="2">
        <v>0</v>
      </c>
      <c r="G174" s="2">
        <v>0</v>
      </c>
      <c r="H174" s="2">
        <v>0</v>
      </c>
      <c r="I174" s="2">
        <v>8.4</v>
      </c>
      <c r="J174" s="2">
        <v>0</v>
      </c>
      <c r="K174" s="2">
        <v>0</v>
      </c>
      <c r="L174" s="2">
        <v>0</v>
      </c>
      <c r="M174" s="2">
        <v>5</v>
      </c>
      <c r="N174" s="2">
        <v>0</v>
      </c>
      <c r="O174" s="2">
        <v>0.2</v>
      </c>
      <c r="P174" s="2">
        <v>7.4</v>
      </c>
      <c r="Q174" s="2">
        <v>0.2</v>
      </c>
      <c r="R174" s="2">
        <v>0.6</v>
      </c>
      <c r="S174" s="2">
        <v>1.6</v>
      </c>
      <c r="T174" s="2">
        <v>0</v>
      </c>
      <c r="U174" s="2">
        <v>0</v>
      </c>
      <c r="V174" s="2">
        <v>35.1</v>
      </c>
      <c r="W174" s="60">
        <f t="shared" si="5"/>
        <v>57.8</v>
      </c>
      <c r="X174" s="2"/>
      <c r="Y174" s="3">
        <f>(W174-X177)/X177*100</f>
        <v>-20.930232558139533</v>
      </c>
      <c r="Z174" s="3"/>
      <c r="AA174" s="2">
        <v>5.57</v>
      </c>
      <c r="AB174" s="2"/>
      <c r="AC174" s="3"/>
      <c r="AD174" s="3"/>
      <c r="AE174" s="2">
        <v>1.5</v>
      </c>
      <c r="AF174" s="2"/>
    </row>
    <row r="175" spans="1:32">
      <c r="A175" s="2"/>
      <c r="B175" s="2"/>
      <c r="C175" s="2"/>
      <c r="D175" s="2">
        <v>3</v>
      </c>
      <c r="E175" s="2">
        <v>0.2</v>
      </c>
      <c r="F175" s="2">
        <v>0</v>
      </c>
      <c r="G175" s="2">
        <v>0</v>
      </c>
      <c r="H175" s="2">
        <v>0</v>
      </c>
      <c r="I175" s="2">
        <v>17.5</v>
      </c>
      <c r="J175" s="2">
        <v>0</v>
      </c>
      <c r="K175" s="2">
        <v>0</v>
      </c>
      <c r="L175" s="2">
        <v>0</v>
      </c>
      <c r="M175" s="2">
        <v>7.9</v>
      </c>
      <c r="N175" s="2">
        <v>0</v>
      </c>
      <c r="O175" s="2">
        <v>1.2</v>
      </c>
      <c r="P175" s="2">
        <v>7</v>
      </c>
      <c r="Q175" s="2">
        <v>2</v>
      </c>
      <c r="R175" s="2">
        <v>0.8</v>
      </c>
      <c r="S175" s="2">
        <v>0.7</v>
      </c>
      <c r="T175" s="2">
        <v>0</v>
      </c>
      <c r="U175" s="2">
        <v>0</v>
      </c>
      <c r="V175" s="2">
        <v>42</v>
      </c>
      <c r="W175" s="60">
        <f t="shared" si="5"/>
        <v>77.300000000000011</v>
      </c>
      <c r="X175" s="2"/>
      <c r="Y175" s="3">
        <f>(W175-X177)/X177*100</f>
        <v>5.7455540355677392</v>
      </c>
      <c r="Z175" s="3"/>
      <c r="AA175" s="2">
        <v>4.3600000000000003</v>
      </c>
      <c r="AB175" s="2"/>
      <c r="AC175" s="3"/>
      <c r="AD175" s="3"/>
      <c r="AE175" s="2">
        <v>2.2999999999999998</v>
      </c>
      <c r="AF175" s="2"/>
    </row>
    <row r="176" spans="1:32">
      <c r="A176" s="2"/>
      <c r="B176" s="2"/>
      <c r="C176" s="2"/>
      <c r="D176" s="2">
        <v>4</v>
      </c>
      <c r="E176" s="2">
        <v>1.4</v>
      </c>
      <c r="F176" s="2">
        <v>0</v>
      </c>
      <c r="G176" s="2">
        <v>0</v>
      </c>
      <c r="H176" s="2">
        <v>0</v>
      </c>
      <c r="I176" s="2">
        <v>26.2</v>
      </c>
      <c r="J176" s="2">
        <v>0</v>
      </c>
      <c r="K176" s="2">
        <v>0</v>
      </c>
      <c r="L176" s="2">
        <v>0</v>
      </c>
      <c r="M176" s="2">
        <v>3.6</v>
      </c>
      <c r="N176" s="2">
        <v>0</v>
      </c>
      <c r="O176" s="2">
        <v>0.7</v>
      </c>
      <c r="P176" s="2">
        <v>4.5</v>
      </c>
      <c r="Q176" s="2">
        <v>0.5</v>
      </c>
      <c r="R176" s="2">
        <v>0.3</v>
      </c>
      <c r="S176" s="2">
        <v>0.4</v>
      </c>
      <c r="T176" s="2">
        <v>0</v>
      </c>
      <c r="U176" s="2">
        <v>0</v>
      </c>
      <c r="V176" s="2">
        <v>34.9</v>
      </c>
      <c r="W176" s="60">
        <f t="shared" si="5"/>
        <v>71.5</v>
      </c>
      <c r="X176" s="2"/>
      <c r="Y176" s="3">
        <f>(W176-X177)/X177*100</f>
        <v>-2.1887824897400745</v>
      </c>
      <c r="Z176" s="3"/>
      <c r="AA176" s="2">
        <v>3.12</v>
      </c>
      <c r="AB176" s="2"/>
      <c r="AC176" s="3"/>
      <c r="AD176" s="3"/>
      <c r="AE176" s="2">
        <v>0.8</v>
      </c>
      <c r="AF176" s="2"/>
    </row>
    <row r="177" spans="1:32">
      <c r="A177" s="2"/>
      <c r="B177" s="2"/>
      <c r="C177" s="2"/>
      <c r="D177" s="2">
        <v>5</v>
      </c>
      <c r="E177" s="5"/>
      <c r="F177" s="5"/>
      <c r="G177" s="5"/>
      <c r="H177" s="5"/>
      <c r="I177" s="5"/>
      <c r="J177" s="5"/>
      <c r="K177" s="5"/>
      <c r="L177" s="5"/>
      <c r="M177" s="5"/>
      <c r="N177" s="5"/>
      <c r="O177" s="5"/>
      <c r="P177" s="5"/>
      <c r="Q177" s="5"/>
      <c r="R177" s="5"/>
      <c r="S177" s="5"/>
      <c r="T177" s="5"/>
      <c r="U177" s="5"/>
      <c r="V177" s="5"/>
      <c r="W177" s="60"/>
      <c r="X177" s="2">
        <f>AVERAGE(W173:W177)</f>
        <v>73.099999999999994</v>
      </c>
      <c r="Y177" s="3"/>
      <c r="Z177" s="3">
        <f>STDEV(W173:W176)</f>
        <v>11.769735199513507</v>
      </c>
      <c r="AA177" s="2">
        <v>9.17</v>
      </c>
      <c r="AB177" s="2">
        <f>AVERAGE(AA173:AA177)</f>
        <v>7.1120000000000001</v>
      </c>
      <c r="AC177" s="3"/>
      <c r="AD177" s="3"/>
      <c r="AE177" s="2">
        <v>8.6</v>
      </c>
      <c r="AF177" s="2">
        <f>AVERAGE(AE173:AE177)</f>
        <v>3.6400000000000006</v>
      </c>
    </row>
    <row r="178" spans="1:32">
      <c r="A178" s="2"/>
      <c r="B178" s="2"/>
      <c r="C178" s="2">
        <v>4</v>
      </c>
      <c r="D178" s="2">
        <v>1</v>
      </c>
      <c r="E178" s="5"/>
      <c r="F178" s="5"/>
      <c r="G178" s="5"/>
      <c r="H178" s="5"/>
      <c r="I178" s="5"/>
      <c r="J178" s="5"/>
      <c r="K178" s="5"/>
      <c r="L178" s="5"/>
      <c r="M178" s="5"/>
      <c r="N178" s="5"/>
      <c r="O178" s="5"/>
      <c r="P178" s="5"/>
      <c r="Q178" s="5"/>
      <c r="R178" s="5"/>
      <c r="S178" s="5"/>
      <c r="T178" s="5"/>
      <c r="U178" s="5"/>
      <c r="V178" s="5"/>
      <c r="W178" s="60"/>
      <c r="X178" s="2"/>
      <c r="Y178" s="3"/>
      <c r="Z178" s="3"/>
      <c r="AA178" s="2">
        <v>23.6</v>
      </c>
      <c r="AB178" s="2"/>
      <c r="AC178" s="3"/>
      <c r="AD178" s="3"/>
      <c r="AE178" s="2">
        <v>1.7</v>
      </c>
      <c r="AF178" s="2"/>
    </row>
    <row r="179" spans="1:32">
      <c r="A179" s="2"/>
      <c r="B179" s="2"/>
      <c r="C179" s="2"/>
      <c r="D179" s="2">
        <v>2</v>
      </c>
      <c r="E179" s="2">
        <v>0</v>
      </c>
      <c r="F179" s="2">
        <v>0</v>
      </c>
      <c r="G179" s="2">
        <v>0</v>
      </c>
      <c r="H179" s="2">
        <v>0</v>
      </c>
      <c r="I179" s="2">
        <v>31.6</v>
      </c>
      <c r="J179" s="2">
        <v>0</v>
      </c>
      <c r="K179" s="2">
        <v>0</v>
      </c>
      <c r="L179" s="2">
        <v>0</v>
      </c>
      <c r="M179" s="2">
        <v>1.5</v>
      </c>
      <c r="N179" s="2">
        <v>0</v>
      </c>
      <c r="O179" s="2">
        <v>1.1000000000000001</v>
      </c>
      <c r="P179" s="2">
        <v>55.4</v>
      </c>
      <c r="Q179" s="2">
        <v>0</v>
      </c>
      <c r="R179" s="2">
        <v>2.7</v>
      </c>
      <c r="S179" s="2">
        <v>1</v>
      </c>
      <c r="T179" s="2">
        <v>0</v>
      </c>
      <c r="U179" s="2">
        <v>0</v>
      </c>
      <c r="V179" s="2">
        <v>12.1</v>
      </c>
      <c r="W179" s="60">
        <f t="shared" ref="W179:W181" si="6">SUM(E179:N179,P179:Q179,S179:V179)</f>
        <v>101.6</v>
      </c>
      <c r="X179" s="2"/>
      <c r="Y179" s="3">
        <f>(W179-X182)/X182*100</f>
        <v>14.586466165413523</v>
      </c>
      <c r="Z179" s="3"/>
      <c r="AA179" s="2">
        <v>16.03</v>
      </c>
      <c r="AB179" s="2"/>
      <c r="AC179" s="3"/>
      <c r="AD179" s="3"/>
      <c r="AE179" s="2">
        <v>4</v>
      </c>
      <c r="AF179" s="2"/>
    </row>
    <row r="180" spans="1:32">
      <c r="A180" s="2"/>
      <c r="B180" s="2"/>
      <c r="C180" s="2"/>
      <c r="D180" s="2">
        <v>3</v>
      </c>
      <c r="E180" s="2">
        <v>0</v>
      </c>
      <c r="F180" s="2">
        <v>0</v>
      </c>
      <c r="G180" s="2">
        <v>0</v>
      </c>
      <c r="H180" s="2">
        <v>0</v>
      </c>
      <c r="I180" s="2">
        <v>41.5</v>
      </c>
      <c r="J180" s="2">
        <v>0</v>
      </c>
      <c r="K180" s="2">
        <v>0</v>
      </c>
      <c r="L180" s="2">
        <v>0</v>
      </c>
      <c r="M180" s="2">
        <v>0.2</v>
      </c>
      <c r="N180" s="2">
        <v>0</v>
      </c>
      <c r="O180" s="2">
        <v>1.7</v>
      </c>
      <c r="P180" s="2">
        <v>18.7</v>
      </c>
      <c r="Q180" s="2">
        <v>0.6</v>
      </c>
      <c r="R180" s="2">
        <v>0.7</v>
      </c>
      <c r="S180" s="2">
        <v>0.4</v>
      </c>
      <c r="T180" s="2">
        <v>0</v>
      </c>
      <c r="U180" s="2">
        <v>0</v>
      </c>
      <c r="V180" s="2">
        <v>23.9</v>
      </c>
      <c r="W180" s="60">
        <f t="shared" si="6"/>
        <v>85.300000000000011</v>
      </c>
      <c r="X180" s="2"/>
      <c r="Y180" s="3">
        <f>(W180-X182)/X182*100</f>
        <v>-3.796992481203</v>
      </c>
      <c r="Z180" s="3"/>
      <c r="AA180" s="2">
        <v>23.35</v>
      </c>
      <c r="AB180" s="2"/>
      <c r="AC180" s="3"/>
      <c r="AD180" s="3"/>
      <c r="AE180" s="2">
        <v>3.6</v>
      </c>
      <c r="AF180" s="2"/>
    </row>
    <row r="181" spans="1:32">
      <c r="A181" s="2"/>
      <c r="B181" s="2"/>
      <c r="C181" s="2"/>
      <c r="D181" s="2">
        <v>4</v>
      </c>
      <c r="E181" s="2">
        <v>0</v>
      </c>
      <c r="F181" s="2">
        <v>0</v>
      </c>
      <c r="G181" s="2">
        <v>0</v>
      </c>
      <c r="H181" s="2">
        <v>0</v>
      </c>
      <c r="I181" s="2">
        <v>35.200000000000003</v>
      </c>
      <c r="J181" s="2">
        <v>0</v>
      </c>
      <c r="K181" s="2">
        <v>0</v>
      </c>
      <c r="L181" s="2">
        <v>0</v>
      </c>
      <c r="M181" s="2">
        <v>0</v>
      </c>
      <c r="N181" s="2">
        <v>0</v>
      </c>
      <c r="O181" s="2">
        <v>7.2</v>
      </c>
      <c r="P181" s="2">
        <v>10.1</v>
      </c>
      <c r="Q181" s="2"/>
      <c r="R181" s="2">
        <v>2</v>
      </c>
      <c r="S181" s="2">
        <v>1.1000000000000001</v>
      </c>
      <c r="T181" s="2">
        <v>0</v>
      </c>
      <c r="U181" s="2">
        <v>0</v>
      </c>
      <c r="V181" s="2">
        <v>32.700000000000003</v>
      </c>
      <c r="W181" s="60">
        <f t="shared" si="6"/>
        <v>79.100000000000009</v>
      </c>
      <c r="X181" s="2"/>
      <c r="Y181" s="3">
        <f>(W181-X182)/X182*100</f>
        <v>-10.78947368421052</v>
      </c>
      <c r="Z181" s="3"/>
      <c r="AA181" s="62">
        <v>24.5</v>
      </c>
      <c r="AB181" s="2"/>
      <c r="AC181" s="3"/>
      <c r="AD181" s="3"/>
      <c r="AE181" s="2">
        <v>3.2</v>
      </c>
      <c r="AF181" s="2"/>
    </row>
    <row r="182" spans="1:32">
      <c r="A182" s="2"/>
      <c r="B182" s="2"/>
      <c r="C182" s="2"/>
      <c r="D182" s="2">
        <v>5</v>
      </c>
      <c r="E182" s="5"/>
      <c r="F182" s="5"/>
      <c r="G182" s="5"/>
      <c r="H182" s="5"/>
      <c r="I182" s="5"/>
      <c r="J182" s="5"/>
      <c r="K182" s="5"/>
      <c r="L182" s="5"/>
      <c r="M182" s="5"/>
      <c r="N182" s="5"/>
      <c r="O182" s="5"/>
      <c r="P182" s="5"/>
      <c r="Q182" s="5"/>
      <c r="R182" s="5"/>
      <c r="S182" s="5"/>
      <c r="T182" s="5"/>
      <c r="U182" s="5"/>
      <c r="V182" s="5"/>
      <c r="W182" s="60"/>
      <c r="X182" s="2">
        <f>AVERAGE(W178:W182)</f>
        <v>88.666666666666671</v>
      </c>
      <c r="Y182" s="3"/>
      <c r="Z182" s="3">
        <f>STDEV(W179:W181)</f>
        <v>11.621675151772886</v>
      </c>
      <c r="AA182" s="62">
        <v>25.2</v>
      </c>
      <c r="AB182" s="2">
        <f>AVERAGE(AA178:AA182)</f>
        <v>22.536000000000001</v>
      </c>
      <c r="AC182" s="3"/>
      <c r="AD182" s="3"/>
      <c r="AE182" s="2">
        <v>2.8</v>
      </c>
      <c r="AF182" s="2">
        <f>AVERAGE(AE178:AE182)</f>
        <v>3.06</v>
      </c>
    </row>
    <row r="183" spans="1:32">
      <c r="A183" s="2" t="s">
        <v>112</v>
      </c>
      <c r="B183" s="2" t="s">
        <v>125</v>
      </c>
      <c r="C183" s="2">
        <v>1</v>
      </c>
      <c r="D183" s="2">
        <v>1</v>
      </c>
      <c r="E183" s="2">
        <v>0</v>
      </c>
      <c r="F183" s="2">
        <v>0</v>
      </c>
      <c r="G183" s="2">
        <v>0</v>
      </c>
      <c r="H183" s="2">
        <v>0</v>
      </c>
      <c r="I183" s="2">
        <v>1.25</v>
      </c>
      <c r="J183" s="2">
        <v>0</v>
      </c>
      <c r="K183" s="2">
        <v>0</v>
      </c>
      <c r="L183" s="2">
        <v>2.89</v>
      </c>
      <c r="M183" s="2">
        <v>0</v>
      </c>
      <c r="N183" s="2">
        <v>0</v>
      </c>
      <c r="O183" s="2">
        <v>7.0000000000000007E-2</v>
      </c>
      <c r="P183" s="2">
        <v>23.74</v>
      </c>
      <c r="Q183" s="2">
        <v>0.75</v>
      </c>
      <c r="R183" s="2">
        <v>0</v>
      </c>
      <c r="S183" s="2">
        <v>0</v>
      </c>
      <c r="T183" s="2">
        <v>0</v>
      </c>
      <c r="U183" s="2">
        <v>2.67</v>
      </c>
      <c r="V183" s="2">
        <v>15.77</v>
      </c>
      <c r="W183" s="60">
        <f t="shared" ref="W183:W184" si="7">SUM(E183:N183,P183:Q183,S183:V183)</f>
        <v>47.069999999999993</v>
      </c>
      <c r="X183" s="3"/>
      <c r="Y183" s="3">
        <f>(W183-X187)/X187*100</f>
        <v>-29.143459280445583</v>
      </c>
      <c r="Z183" s="3"/>
      <c r="AA183" s="62">
        <v>14.5</v>
      </c>
      <c r="AB183" s="2"/>
      <c r="AC183" s="3"/>
      <c r="AD183" s="3"/>
      <c r="AE183" s="2">
        <v>8.1</v>
      </c>
      <c r="AF183" s="2"/>
    </row>
    <row r="184" spans="1:32">
      <c r="A184" s="2"/>
      <c r="B184" s="2"/>
      <c r="C184" s="2"/>
      <c r="D184" s="2">
        <v>2</v>
      </c>
      <c r="E184" s="2">
        <v>2.78</v>
      </c>
      <c r="F184" s="2">
        <v>0</v>
      </c>
      <c r="G184" s="2">
        <v>0.7</v>
      </c>
      <c r="H184" s="2">
        <v>0</v>
      </c>
      <c r="I184" s="2">
        <v>20.53</v>
      </c>
      <c r="J184" s="2">
        <v>0</v>
      </c>
      <c r="K184" s="2">
        <v>0</v>
      </c>
      <c r="L184" s="2">
        <v>2.33</v>
      </c>
      <c r="M184" s="2">
        <v>12.9</v>
      </c>
      <c r="N184" s="2">
        <v>0</v>
      </c>
      <c r="O184" s="2">
        <v>7.0000000000000007E-2</v>
      </c>
      <c r="P184" s="2">
        <v>1.42</v>
      </c>
      <c r="Q184" s="2">
        <v>0</v>
      </c>
      <c r="R184" s="2">
        <v>0</v>
      </c>
      <c r="S184" s="2">
        <v>0</v>
      </c>
      <c r="T184" s="2">
        <v>0</v>
      </c>
      <c r="U184" s="2">
        <v>55.2</v>
      </c>
      <c r="V184" s="2">
        <v>8.39</v>
      </c>
      <c r="W184" s="60">
        <f t="shared" si="7"/>
        <v>104.25000000000001</v>
      </c>
      <c r="X184" s="3"/>
      <c r="Y184" s="3">
        <f>(W184-X187)/X187*100</f>
        <v>56.93210898690355</v>
      </c>
      <c r="Z184" s="3"/>
      <c r="AA184" s="62">
        <v>10</v>
      </c>
      <c r="AB184" s="2"/>
      <c r="AC184" s="3"/>
      <c r="AD184" s="3"/>
      <c r="AE184" s="2">
        <v>0.9</v>
      </c>
      <c r="AF184" s="2"/>
    </row>
    <row r="185" spans="1:32">
      <c r="A185" s="2"/>
      <c r="B185" s="2"/>
      <c r="C185" s="2"/>
      <c r="D185" s="2">
        <v>3</v>
      </c>
      <c r="E185" s="5"/>
      <c r="F185" s="5"/>
      <c r="G185" s="5"/>
      <c r="H185" s="5"/>
      <c r="I185" s="5"/>
      <c r="J185" s="5"/>
      <c r="K185" s="5"/>
      <c r="L185" s="5"/>
      <c r="M185" s="5"/>
      <c r="N185" s="5"/>
      <c r="O185" s="5"/>
      <c r="P185" s="5"/>
      <c r="Q185" s="5"/>
      <c r="R185" s="5"/>
      <c r="S185" s="5"/>
      <c r="T185" s="5"/>
      <c r="U185" s="5"/>
      <c r="V185" s="5"/>
      <c r="W185" s="60"/>
      <c r="X185" s="3"/>
      <c r="Y185" s="3"/>
      <c r="Z185" s="3"/>
      <c r="AA185" s="62">
        <v>10.9</v>
      </c>
      <c r="AB185" s="2"/>
      <c r="AC185" s="3"/>
      <c r="AD185" s="3"/>
      <c r="AE185" s="2">
        <v>5.4</v>
      </c>
      <c r="AF185" s="2"/>
    </row>
    <row r="186" spans="1:32">
      <c r="A186" s="2"/>
      <c r="B186" s="2"/>
      <c r="C186" s="2"/>
      <c r="D186" s="2">
        <v>4</v>
      </c>
      <c r="E186" s="2">
        <v>0</v>
      </c>
      <c r="F186" s="2">
        <v>0</v>
      </c>
      <c r="G186" s="2">
        <v>0.06</v>
      </c>
      <c r="H186" s="2">
        <v>0</v>
      </c>
      <c r="I186" s="2">
        <v>2.66</v>
      </c>
      <c r="J186" s="2">
        <v>0</v>
      </c>
      <c r="K186" s="2">
        <v>0</v>
      </c>
      <c r="L186" s="2">
        <v>0.22</v>
      </c>
      <c r="M186" s="2">
        <v>0</v>
      </c>
      <c r="N186" s="2">
        <v>0</v>
      </c>
      <c r="O186" s="2">
        <v>10.31</v>
      </c>
      <c r="P186" s="2">
        <v>9.94</v>
      </c>
      <c r="Q186" s="2">
        <v>0</v>
      </c>
      <c r="R186" s="2">
        <v>0</v>
      </c>
      <c r="S186" s="2">
        <v>0</v>
      </c>
      <c r="T186" s="2">
        <v>0</v>
      </c>
      <c r="U186" s="2">
        <v>2.54</v>
      </c>
      <c r="V186" s="2">
        <v>13.16</v>
      </c>
      <c r="W186" s="60">
        <f t="shared" ref="W186:W192" si="8">SUM(E186:N186,P186:Q186,S186:V186)</f>
        <v>28.58</v>
      </c>
      <c r="X186" s="3"/>
      <c r="Y186" s="3">
        <f>(W186-X187)/X187*100</f>
        <v>-56.977269306036426</v>
      </c>
      <c r="Z186" s="3"/>
      <c r="AA186" s="62">
        <v>10.1</v>
      </c>
      <c r="AB186" s="2"/>
      <c r="AC186" s="3"/>
      <c r="AD186" s="3"/>
      <c r="AE186" s="2">
        <v>2.2000000000000002</v>
      </c>
      <c r="AF186" s="2"/>
    </row>
    <row r="187" spans="1:32">
      <c r="A187" s="2"/>
      <c r="B187" s="2"/>
      <c r="C187" s="2"/>
      <c r="D187" s="2">
        <v>5</v>
      </c>
      <c r="E187" s="2">
        <v>0</v>
      </c>
      <c r="F187" s="2">
        <v>0</v>
      </c>
      <c r="G187" s="2">
        <v>0</v>
      </c>
      <c r="H187" s="2">
        <v>0</v>
      </c>
      <c r="I187" s="2">
        <v>6.96</v>
      </c>
      <c r="J187" s="2">
        <v>0</v>
      </c>
      <c r="K187" s="2">
        <v>0</v>
      </c>
      <c r="L187" s="2">
        <v>2.4000000000000004</v>
      </c>
      <c r="M187" s="2">
        <v>0</v>
      </c>
      <c r="N187" s="2">
        <v>0</v>
      </c>
      <c r="O187" s="2">
        <v>0.71</v>
      </c>
      <c r="P187" s="2">
        <v>20.3</v>
      </c>
      <c r="Q187" s="2">
        <v>1.01</v>
      </c>
      <c r="R187" s="2">
        <v>0</v>
      </c>
      <c r="S187" s="2">
        <v>0</v>
      </c>
      <c r="T187" s="2">
        <v>0</v>
      </c>
      <c r="U187" s="2">
        <v>20.04</v>
      </c>
      <c r="V187" s="2">
        <v>35.11</v>
      </c>
      <c r="W187" s="60">
        <f t="shared" si="8"/>
        <v>85.82</v>
      </c>
      <c r="X187" s="2">
        <f>AVERAGE(W183:W187)</f>
        <v>66.429999999999993</v>
      </c>
      <c r="Y187" s="3">
        <f>(W187-X187)/X187*100</f>
        <v>29.188619599578509</v>
      </c>
      <c r="Z187" s="3">
        <f>STDEV(W183:W184,W186:W187)</f>
        <v>34.707139515283245</v>
      </c>
      <c r="AA187" s="62">
        <v>9</v>
      </c>
      <c r="AB187" s="62">
        <f>AVERAGE(AA183:AA187)</f>
        <v>10.9</v>
      </c>
      <c r="AC187" s="3"/>
      <c r="AD187" s="3"/>
      <c r="AE187" s="2">
        <v>2.2999999999999998</v>
      </c>
      <c r="AF187" s="2">
        <f>AVERAGE(AE183:AE187)</f>
        <v>3.7800000000000002</v>
      </c>
    </row>
    <row r="188" spans="1:32">
      <c r="A188" s="2"/>
      <c r="B188" s="2"/>
      <c r="C188" s="2">
        <v>2</v>
      </c>
      <c r="D188" s="2">
        <v>1</v>
      </c>
      <c r="E188" s="2">
        <v>0</v>
      </c>
      <c r="F188" s="2">
        <v>0</v>
      </c>
      <c r="G188" s="2">
        <v>0</v>
      </c>
      <c r="H188" s="2">
        <v>0</v>
      </c>
      <c r="I188" s="2">
        <v>1.3</v>
      </c>
      <c r="J188" s="2">
        <v>0</v>
      </c>
      <c r="K188" s="2">
        <v>0</v>
      </c>
      <c r="L188" s="2">
        <v>0.9</v>
      </c>
      <c r="M188" s="2">
        <v>0</v>
      </c>
      <c r="N188" s="2">
        <v>0</v>
      </c>
      <c r="O188" s="2">
        <v>0</v>
      </c>
      <c r="P188" s="2">
        <v>3.7</v>
      </c>
      <c r="Q188" s="2">
        <v>3.5</v>
      </c>
      <c r="R188" s="2">
        <v>0.3</v>
      </c>
      <c r="S188" s="2">
        <v>10.5</v>
      </c>
      <c r="T188" s="2">
        <v>0</v>
      </c>
      <c r="U188" s="2">
        <v>3.8</v>
      </c>
      <c r="V188" s="2">
        <v>14.7</v>
      </c>
      <c r="W188" s="60">
        <f t="shared" si="8"/>
        <v>38.4</v>
      </c>
      <c r="X188" s="2"/>
      <c r="Y188" s="3">
        <f>(W188-X192)/X192*100</f>
        <v>-21.465968586387426</v>
      </c>
      <c r="Z188" s="3"/>
      <c r="AA188" s="62">
        <v>15</v>
      </c>
      <c r="AB188" s="2"/>
      <c r="AC188" s="3"/>
      <c r="AD188" s="3"/>
      <c r="AE188" s="2">
        <v>4</v>
      </c>
      <c r="AF188" s="2"/>
    </row>
    <row r="189" spans="1:32">
      <c r="A189" s="2"/>
      <c r="B189" s="2"/>
      <c r="C189" s="2"/>
      <c r="D189" s="2">
        <v>2</v>
      </c>
      <c r="E189" s="2">
        <v>0</v>
      </c>
      <c r="F189" s="2">
        <v>0</v>
      </c>
      <c r="G189" s="2">
        <v>0.1</v>
      </c>
      <c r="H189" s="2">
        <v>0</v>
      </c>
      <c r="I189" s="2">
        <v>0.59</v>
      </c>
      <c r="J189" s="2">
        <v>0</v>
      </c>
      <c r="K189" s="2">
        <v>0</v>
      </c>
      <c r="L189" s="2">
        <v>1.72</v>
      </c>
      <c r="M189" s="2">
        <v>0</v>
      </c>
      <c r="N189" s="2">
        <v>0</v>
      </c>
      <c r="O189" s="2">
        <v>0.23</v>
      </c>
      <c r="P189" s="2">
        <v>25.52</v>
      </c>
      <c r="Q189" s="2">
        <v>3.38</v>
      </c>
      <c r="R189" s="2">
        <v>3.82</v>
      </c>
      <c r="S189" s="2">
        <v>14.88</v>
      </c>
      <c r="T189" s="2">
        <v>0</v>
      </c>
      <c r="U189" s="2">
        <v>9.9700000000000006</v>
      </c>
      <c r="V189" s="2">
        <v>23.92</v>
      </c>
      <c r="W189" s="60">
        <f t="shared" si="8"/>
        <v>80.08</v>
      </c>
      <c r="X189" s="2"/>
      <c r="Y189" s="3">
        <f>(W189-X192)/X192*100</f>
        <v>63.77617801047122</v>
      </c>
      <c r="Z189" s="3"/>
      <c r="AA189" s="62">
        <v>13.6</v>
      </c>
      <c r="AB189" s="2"/>
      <c r="AC189" s="3"/>
      <c r="AD189" s="3"/>
      <c r="AE189" s="2">
        <v>2.8</v>
      </c>
      <c r="AF189" s="2"/>
    </row>
    <row r="190" spans="1:32">
      <c r="A190" s="2"/>
      <c r="B190" s="2"/>
      <c r="C190" s="2"/>
      <c r="D190" s="2">
        <v>3</v>
      </c>
      <c r="E190" s="2">
        <v>0</v>
      </c>
      <c r="F190" s="2">
        <v>0</v>
      </c>
      <c r="G190" s="2">
        <v>0.4</v>
      </c>
      <c r="H190" s="2">
        <v>0</v>
      </c>
      <c r="I190" s="2">
        <v>0.5</v>
      </c>
      <c r="J190" s="2">
        <v>0</v>
      </c>
      <c r="K190" s="2">
        <v>0</v>
      </c>
      <c r="L190" s="2">
        <v>0.7</v>
      </c>
      <c r="M190" s="2">
        <v>0</v>
      </c>
      <c r="N190" s="2">
        <v>0</v>
      </c>
      <c r="O190" s="2">
        <v>0.1</v>
      </c>
      <c r="P190" s="2">
        <v>5.3</v>
      </c>
      <c r="Q190" s="2"/>
      <c r="R190" s="2">
        <v>0.4</v>
      </c>
      <c r="S190" s="2">
        <v>10.7</v>
      </c>
      <c r="T190" s="2">
        <v>0</v>
      </c>
      <c r="U190" s="2">
        <v>13.8</v>
      </c>
      <c r="V190" s="2">
        <v>21.6</v>
      </c>
      <c r="W190" s="60">
        <f t="shared" si="8"/>
        <v>53</v>
      </c>
      <c r="X190" s="2"/>
      <c r="Y190" s="3">
        <f>(W190-X192)/X192*100</f>
        <v>8.3933246073298573</v>
      </c>
      <c r="Z190" s="3"/>
      <c r="AA190" s="62">
        <v>15.2</v>
      </c>
      <c r="AB190" s="2"/>
      <c r="AC190" s="3"/>
      <c r="AD190" s="3"/>
      <c r="AE190" s="2">
        <v>2.9</v>
      </c>
      <c r="AF190" s="2"/>
    </row>
    <row r="191" spans="1:32">
      <c r="A191" s="2"/>
      <c r="B191" s="2"/>
      <c r="C191" s="2"/>
      <c r="D191" s="2">
        <v>4</v>
      </c>
      <c r="E191" s="2">
        <v>0</v>
      </c>
      <c r="F191" s="2">
        <v>0</v>
      </c>
      <c r="G191" s="2">
        <v>0.8</v>
      </c>
      <c r="H191" s="2">
        <v>0</v>
      </c>
      <c r="I191" s="2">
        <v>0.7</v>
      </c>
      <c r="J191" s="2">
        <v>0</v>
      </c>
      <c r="K191" s="2">
        <v>0</v>
      </c>
      <c r="L191" s="2">
        <v>0.8</v>
      </c>
      <c r="M191" s="2">
        <v>0</v>
      </c>
      <c r="N191" s="2">
        <v>0</v>
      </c>
      <c r="O191" s="2">
        <v>0.1</v>
      </c>
      <c r="P191" s="2">
        <v>4.8</v>
      </c>
      <c r="Q191" s="2">
        <v>0.5</v>
      </c>
      <c r="R191" s="2">
        <v>0.6</v>
      </c>
      <c r="S191" s="2">
        <v>10.1</v>
      </c>
      <c r="T191" s="2">
        <v>0</v>
      </c>
      <c r="U191" s="2">
        <v>9.6</v>
      </c>
      <c r="V191" s="2">
        <v>11</v>
      </c>
      <c r="W191" s="60">
        <f t="shared" si="8"/>
        <v>38.299999999999997</v>
      </c>
      <c r="X191" s="2"/>
      <c r="Y191" s="3">
        <f>(W191-X192)/X192*100</f>
        <v>-21.670484293193713</v>
      </c>
      <c r="Z191" s="3"/>
      <c r="AA191" s="62">
        <v>16.100000000000001</v>
      </c>
      <c r="AB191" s="2"/>
      <c r="AC191" s="3"/>
      <c r="AD191" s="3"/>
      <c r="AE191" s="2">
        <v>1.9</v>
      </c>
      <c r="AF191" s="2"/>
    </row>
    <row r="192" spans="1:32">
      <c r="A192" s="2"/>
      <c r="B192" s="2"/>
      <c r="C192" s="2"/>
      <c r="D192" s="2">
        <v>5</v>
      </c>
      <c r="E192" s="2">
        <v>0</v>
      </c>
      <c r="F192" s="2">
        <v>0</v>
      </c>
      <c r="G192" s="2">
        <v>0.6</v>
      </c>
      <c r="H192" s="2">
        <v>0</v>
      </c>
      <c r="I192" s="2">
        <v>1.5</v>
      </c>
      <c r="J192" s="2">
        <v>0</v>
      </c>
      <c r="K192" s="2">
        <v>0</v>
      </c>
      <c r="L192" s="2">
        <v>0.3</v>
      </c>
      <c r="M192" s="2">
        <v>0</v>
      </c>
      <c r="N192" s="2">
        <v>0</v>
      </c>
      <c r="O192" s="2">
        <v>0.1</v>
      </c>
      <c r="P192" s="2">
        <v>5.3</v>
      </c>
      <c r="Q192" s="2">
        <v>2.1</v>
      </c>
      <c r="R192" s="2">
        <v>1.8</v>
      </c>
      <c r="S192" s="2">
        <v>7.5</v>
      </c>
      <c r="T192" s="2">
        <v>0</v>
      </c>
      <c r="U192" s="2">
        <v>4.4000000000000004</v>
      </c>
      <c r="V192" s="2">
        <v>13</v>
      </c>
      <c r="W192" s="60">
        <f t="shared" si="8"/>
        <v>34.699999999999996</v>
      </c>
      <c r="X192" s="2">
        <f>AVERAGE(W188:W192)</f>
        <v>48.895999999999994</v>
      </c>
      <c r="Y192" s="3">
        <f>(W192-X192)/X192*100</f>
        <v>-29.033049738219894</v>
      </c>
      <c r="Z192" s="3">
        <f>STDEV(W188:W192)</f>
        <v>18.796624164993041</v>
      </c>
      <c r="AA192" s="62">
        <v>21.3</v>
      </c>
      <c r="AB192" s="62">
        <f>AVERAGE(AA188:AA192)</f>
        <v>16.240000000000002</v>
      </c>
      <c r="AC192" s="3"/>
      <c r="AD192" s="3"/>
      <c r="AE192" s="2">
        <v>6.9</v>
      </c>
      <c r="AF192" s="2">
        <f>AVERAGE(AE188:AE192)</f>
        <v>3.7</v>
      </c>
    </row>
    <row r="193" spans="1:32">
      <c r="A193" s="2"/>
      <c r="B193" s="2"/>
      <c r="C193" s="2">
        <v>3</v>
      </c>
      <c r="D193" s="2">
        <v>1</v>
      </c>
      <c r="E193" s="5"/>
      <c r="F193" s="5"/>
      <c r="G193" s="5"/>
      <c r="H193" s="5"/>
      <c r="I193" s="5"/>
      <c r="J193" s="5"/>
      <c r="K193" s="5"/>
      <c r="L193" s="5"/>
      <c r="M193" s="5"/>
      <c r="N193" s="5"/>
      <c r="O193" s="5"/>
      <c r="P193" s="5"/>
      <c r="Q193" s="5"/>
      <c r="R193" s="5"/>
      <c r="S193" s="5"/>
      <c r="T193" s="5"/>
      <c r="U193" s="5"/>
      <c r="V193" s="5"/>
      <c r="W193" s="60"/>
      <c r="X193" s="2"/>
      <c r="Y193" s="3"/>
      <c r="Z193" s="3"/>
      <c r="AA193" s="62">
        <v>14.7</v>
      </c>
      <c r="AB193" s="2"/>
      <c r="AC193" s="3"/>
      <c r="AD193" s="3"/>
      <c r="AE193" s="2">
        <v>16.2</v>
      </c>
      <c r="AF193" s="2"/>
    </row>
    <row r="194" spans="1:32">
      <c r="A194" s="2"/>
      <c r="B194" s="2"/>
      <c r="C194" s="2"/>
      <c r="D194" s="2">
        <v>2</v>
      </c>
      <c r="E194" s="2">
        <v>0</v>
      </c>
      <c r="F194" s="2">
        <v>0</v>
      </c>
      <c r="G194" s="2">
        <v>0.7</v>
      </c>
      <c r="H194" s="2">
        <v>0</v>
      </c>
      <c r="I194" s="2">
        <v>0.4</v>
      </c>
      <c r="J194" s="2">
        <v>0</v>
      </c>
      <c r="K194" s="2">
        <v>0</v>
      </c>
      <c r="L194" s="2">
        <v>0.2</v>
      </c>
      <c r="M194" s="2">
        <v>0</v>
      </c>
      <c r="N194" s="2">
        <v>0</v>
      </c>
      <c r="O194" s="2">
        <v>0</v>
      </c>
      <c r="P194" s="2">
        <v>10.1</v>
      </c>
      <c r="Q194" s="2">
        <v>0.3</v>
      </c>
      <c r="R194" s="2">
        <v>0.1</v>
      </c>
      <c r="S194" s="2">
        <v>2.6</v>
      </c>
      <c r="T194" s="2">
        <v>0</v>
      </c>
      <c r="U194" s="2">
        <v>4.7</v>
      </c>
      <c r="V194" s="2">
        <v>10.6</v>
      </c>
      <c r="W194" s="60">
        <f t="shared" ref="W194:W222" si="9">SUM(E194:N194,P194:Q194,S194:V194)</f>
        <v>29.6</v>
      </c>
      <c r="X194" s="2"/>
      <c r="Y194" s="3">
        <f>(W194-X197)/X197*100</f>
        <v>-25.440806045340036</v>
      </c>
      <c r="Z194" s="3"/>
      <c r="AA194" s="62">
        <v>23.2</v>
      </c>
      <c r="AB194" s="2"/>
      <c r="AC194" s="3"/>
      <c r="AD194" s="3"/>
      <c r="AE194" s="2">
        <v>6.5</v>
      </c>
      <c r="AF194" s="2"/>
    </row>
    <row r="195" spans="1:32">
      <c r="A195" s="2"/>
      <c r="B195" s="2"/>
      <c r="C195" s="2"/>
      <c r="D195" s="2">
        <v>3</v>
      </c>
      <c r="E195" s="2">
        <v>0</v>
      </c>
      <c r="F195" s="2">
        <v>0</v>
      </c>
      <c r="G195" s="2">
        <v>11.3</v>
      </c>
      <c r="H195" s="2">
        <v>0</v>
      </c>
      <c r="I195" s="2">
        <v>0.3</v>
      </c>
      <c r="J195" s="2">
        <v>0</v>
      </c>
      <c r="K195" s="2">
        <v>0</v>
      </c>
      <c r="L195" s="2">
        <v>0.5</v>
      </c>
      <c r="M195" s="2">
        <v>0</v>
      </c>
      <c r="N195" s="2">
        <v>0</v>
      </c>
      <c r="O195" s="2">
        <v>0.1</v>
      </c>
      <c r="P195" s="2">
        <v>21.8</v>
      </c>
      <c r="Q195" s="2">
        <v>0</v>
      </c>
      <c r="R195" s="2">
        <v>3.8</v>
      </c>
      <c r="S195" s="2">
        <v>2.5</v>
      </c>
      <c r="T195" s="2">
        <v>0</v>
      </c>
      <c r="U195" s="2">
        <v>3.7</v>
      </c>
      <c r="V195" s="2">
        <v>7.8</v>
      </c>
      <c r="W195" s="60">
        <f t="shared" si="9"/>
        <v>47.900000000000006</v>
      </c>
      <c r="X195" s="2"/>
      <c r="Y195" s="3">
        <f>(W195-X197)/X197*100</f>
        <v>20.654911838790959</v>
      </c>
      <c r="Z195" s="3"/>
      <c r="AA195" s="62">
        <v>23.9</v>
      </c>
      <c r="AB195" s="2"/>
      <c r="AC195" s="3"/>
      <c r="AD195" s="3"/>
      <c r="AE195" s="2">
        <v>3.2</v>
      </c>
      <c r="AF195" s="2"/>
    </row>
    <row r="196" spans="1:32">
      <c r="A196" s="2"/>
      <c r="B196" s="2"/>
      <c r="C196" s="2"/>
      <c r="D196" s="2">
        <v>4</v>
      </c>
      <c r="E196" s="2">
        <v>0</v>
      </c>
      <c r="F196" s="2">
        <v>0</v>
      </c>
      <c r="G196" s="2">
        <v>10.199999999999999</v>
      </c>
      <c r="H196" s="2">
        <v>0</v>
      </c>
      <c r="I196" s="2">
        <v>3</v>
      </c>
      <c r="J196" s="2">
        <v>0</v>
      </c>
      <c r="K196" s="2">
        <v>0</v>
      </c>
      <c r="L196" s="2">
        <v>0.2</v>
      </c>
      <c r="M196" s="2">
        <v>0</v>
      </c>
      <c r="N196" s="2">
        <v>0</v>
      </c>
      <c r="O196" s="2">
        <v>0</v>
      </c>
      <c r="P196" s="2">
        <v>21.2</v>
      </c>
      <c r="Q196" s="2">
        <v>0</v>
      </c>
      <c r="R196" s="2">
        <v>4.5</v>
      </c>
      <c r="S196" s="2">
        <v>1</v>
      </c>
      <c r="T196" s="2">
        <v>0</v>
      </c>
      <c r="U196" s="2">
        <v>3</v>
      </c>
      <c r="V196" s="2">
        <v>10.6</v>
      </c>
      <c r="W196" s="60">
        <f t="shared" si="9"/>
        <v>49.199999999999996</v>
      </c>
      <c r="X196" s="2"/>
      <c r="Y196" s="3">
        <f>(W196-X197)/X197*100</f>
        <v>23.929471032745596</v>
      </c>
      <c r="Z196" s="3"/>
      <c r="AA196" s="62">
        <v>26.3</v>
      </c>
      <c r="AB196" s="2"/>
      <c r="AC196" s="3"/>
      <c r="AD196" s="3"/>
      <c r="AE196" s="2">
        <v>3.2</v>
      </c>
      <c r="AF196" s="2"/>
    </row>
    <row r="197" spans="1:32">
      <c r="A197" s="2"/>
      <c r="B197" s="2"/>
      <c r="C197" s="2"/>
      <c r="D197" s="2">
        <v>5</v>
      </c>
      <c r="E197" s="2">
        <v>0</v>
      </c>
      <c r="F197" s="2">
        <v>0</v>
      </c>
      <c r="G197" s="2">
        <v>5.0999999999999996</v>
      </c>
      <c r="H197" s="2">
        <v>0</v>
      </c>
      <c r="I197" s="2">
        <v>0.2</v>
      </c>
      <c r="J197" s="2">
        <v>0</v>
      </c>
      <c r="K197" s="2">
        <v>0</v>
      </c>
      <c r="L197" s="2">
        <v>0</v>
      </c>
      <c r="M197" s="2">
        <v>0</v>
      </c>
      <c r="N197" s="2">
        <v>0</v>
      </c>
      <c r="O197" s="2">
        <v>0</v>
      </c>
      <c r="P197" s="2">
        <v>16.100000000000001</v>
      </c>
      <c r="Q197" s="2">
        <v>0</v>
      </c>
      <c r="R197" s="2">
        <v>4</v>
      </c>
      <c r="S197" s="2">
        <v>4.3</v>
      </c>
      <c r="T197" s="2">
        <v>0</v>
      </c>
      <c r="U197" s="2">
        <v>3.6</v>
      </c>
      <c r="V197" s="2">
        <v>2.8</v>
      </c>
      <c r="W197" s="60">
        <f t="shared" si="9"/>
        <v>32.1</v>
      </c>
      <c r="X197" s="2">
        <f>AVERAGE(W193:W197)</f>
        <v>39.699999999999996</v>
      </c>
      <c r="Y197" s="3">
        <f>(W197-X197)/X197*100</f>
        <v>-19.143576826196462</v>
      </c>
      <c r="Z197" s="3">
        <f>STDEV(W194:W197)</f>
        <v>10.283643971537215</v>
      </c>
      <c r="AA197" s="62">
        <v>23.7</v>
      </c>
      <c r="AB197" s="62">
        <f>AVERAGE(AA193:AA197)</f>
        <v>22.36</v>
      </c>
      <c r="AC197" s="3"/>
      <c r="AD197" s="3"/>
      <c r="AE197" s="2">
        <v>9.9</v>
      </c>
      <c r="AF197" s="2">
        <f>AVERAGE(AE193:AE197)</f>
        <v>7.8</v>
      </c>
    </row>
    <row r="198" spans="1:32">
      <c r="A198" s="2"/>
      <c r="B198" s="2"/>
      <c r="C198" s="2">
        <v>4</v>
      </c>
      <c r="D198" s="2">
        <v>1</v>
      </c>
      <c r="E198" s="2">
        <v>0.17</v>
      </c>
      <c r="F198" s="2">
        <v>0</v>
      </c>
      <c r="G198" s="2">
        <v>1.25</v>
      </c>
      <c r="H198" s="2">
        <v>0</v>
      </c>
      <c r="I198" s="2">
        <v>1.53</v>
      </c>
      <c r="J198" s="2">
        <v>0</v>
      </c>
      <c r="K198" s="2">
        <v>0</v>
      </c>
      <c r="L198" s="2">
        <v>0.1</v>
      </c>
      <c r="M198" s="2">
        <v>0</v>
      </c>
      <c r="N198" s="2">
        <v>0</v>
      </c>
      <c r="O198" s="2">
        <v>0</v>
      </c>
      <c r="P198" s="2">
        <v>11.73</v>
      </c>
      <c r="Q198" s="2">
        <v>0</v>
      </c>
      <c r="R198" s="2">
        <v>12.78</v>
      </c>
      <c r="S198" s="2">
        <v>5.79</v>
      </c>
      <c r="T198" s="2">
        <v>0</v>
      </c>
      <c r="U198" s="2">
        <v>2.62</v>
      </c>
      <c r="V198" s="2">
        <v>20.14</v>
      </c>
      <c r="W198" s="60">
        <f t="shared" si="9"/>
        <v>43.33</v>
      </c>
      <c r="X198" s="2"/>
      <c r="Y198" s="3">
        <f>(W198-X202)/X202*100</f>
        <v>-20.742637644046098</v>
      </c>
      <c r="Z198" s="3"/>
      <c r="AA198" s="62">
        <v>17.5</v>
      </c>
      <c r="AB198" s="2"/>
      <c r="AC198" s="3"/>
      <c r="AD198" s="3"/>
      <c r="AE198" s="2">
        <v>3.4</v>
      </c>
      <c r="AF198" s="2"/>
    </row>
    <row r="199" spans="1:32">
      <c r="A199" s="2"/>
      <c r="B199" s="2"/>
      <c r="C199" s="2"/>
      <c r="D199" s="2">
        <v>2</v>
      </c>
      <c r="E199" s="2">
        <v>0</v>
      </c>
      <c r="F199" s="2">
        <v>0.37</v>
      </c>
      <c r="G199" s="2">
        <v>0.96</v>
      </c>
      <c r="H199" s="2">
        <v>0</v>
      </c>
      <c r="I199" s="2">
        <v>2.36</v>
      </c>
      <c r="J199" s="2">
        <v>0</v>
      </c>
      <c r="K199" s="2">
        <v>0</v>
      </c>
      <c r="L199" s="2">
        <v>0.23</v>
      </c>
      <c r="M199" s="2">
        <v>0</v>
      </c>
      <c r="N199" s="2">
        <v>0</v>
      </c>
      <c r="O199" s="2">
        <v>0</v>
      </c>
      <c r="P199" s="2">
        <v>11.68</v>
      </c>
      <c r="Q199" s="2">
        <v>0.25</v>
      </c>
      <c r="R199" s="2">
        <v>0</v>
      </c>
      <c r="S199" s="2">
        <v>4.78</v>
      </c>
      <c r="T199" s="2">
        <v>0</v>
      </c>
      <c r="U199" s="2">
        <v>6.13</v>
      </c>
      <c r="V199" s="2">
        <v>21.13</v>
      </c>
      <c r="W199" s="60">
        <f t="shared" si="9"/>
        <v>47.89</v>
      </c>
      <c r="X199" s="2"/>
      <c r="Y199" s="3">
        <f>(W199-X202)/X202*100</f>
        <v>-12.401682824218037</v>
      </c>
      <c r="Z199" s="3"/>
      <c r="AA199" s="62">
        <v>16.399999999999999</v>
      </c>
      <c r="AB199" s="2"/>
      <c r="AC199" s="3"/>
      <c r="AD199" s="3"/>
      <c r="AE199" s="2">
        <v>2.7</v>
      </c>
      <c r="AF199" s="2"/>
    </row>
    <row r="200" spans="1:32">
      <c r="A200" s="2"/>
      <c r="B200" s="2"/>
      <c r="C200" s="2"/>
      <c r="D200" s="2">
        <v>3</v>
      </c>
      <c r="E200" s="2">
        <v>0.2</v>
      </c>
      <c r="F200" s="2">
        <v>1.61</v>
      </c>
      <c r="G200" s="2">
        <v>10.210000000000001</v>
      </c>
      <c r="H200" s="2">
        <v>0</v>
      </c>
      <c r="I200" s="2">
        <v>4.03</v>
      </c>
      <c r="J200" s="2">
        <v>0</v>
      </c>
      <c r="K200" s="2">
        <v>0</v>
      </c>
      <c r="L200" s="2">
        <v>0.79</v>
      </c>
      <c r="M200" s="2">
        <v>0</v>
      </c>
      <c r="N200" s="2">
        <v>0</v>
      </c>
      <c r="O200" s="2">
        <v>0</v>
      </c>
      <c r="P200" s="2">
        <v>9.36</v>
      </c>
      <c r="Q200" s="2">
        <v>1.51</v>
      </c>
      <c r="R200" s="2">
        <v>3.36</v>
      </c>
      <c r="S200" s="2">
        <v>12.67</v>
      </c>
      <c r="T200" s="2">
        <v>0</v>
      </c>
      <c r="U200" s="2">
        <v>4.1900000000000004</v>
      </c>
      <c r="V200" s="2">
        <v>26.86</v>
      </c>
      <c r="W200" s="60">
        <f t="shared" si="9"/>
        <v>71.430000000000007</v>
      </c>
      <c r="X200" s="2"/>
      <c r="Y200" s="3">
        <f>(W200-X202)/X202*100</f>
        <v>30.656667276385598</v>
      </c>
      <c r="Z200" s="3"/>
      <c r="AA200" s="62">
        <v>9</v>
      </c>
      <c r="AB200" s="2"/>
      <c r="AC200" s="3"/>
      <c r="AD200" s="3"/>
      <c r="AE200" s="2">
        <v>3.4</v>
      </c>
      <c r="AF200" s="2"/>
    </row>
    <row r="201" spans="1:32">
      <c r="A201" s="2"/>
      <c r="B201" s="2"/>
      <c r="C201" s="2"/>
      <c r="D201" s="2">
        <v>4</v>
      </c>
      <c r="E201" s="2">
        <v>0</v>
      </c>
      <c r="F201" s="2">
        <v>1.22</v>
      </c>
      <c r="G201" s="2">
        <v>4.5</v>
      </c>
      <c r="H201" s="2">
        <v>0</v>
      </c>
      <c r="I201" s="2">
        <v>4.22</v>
      </c>
      <c r="J201" s="2">
        <v>0</v>
      </c>
      <c r="K201" s="2">
        <v>0</v>
      </c>
      <c r="L201" s="2">
        <v>0.42</v>
      </c>
      <c r="M201" s="2">
        <v>0</v>
      </c>
      <c r="N201" s="2">
        <v>0</v>
      </c>
      <c r="O201" s="2">
        <v>0</v>
      </c>
      <c r="P201" s="2">
        <v>14.88</v>
      </c>
      <c r="Q201" s="2">
        <v>0</v>
      </c>
      <c r="R201" s="2">
        <v>2.4900000000000002</v>
      </c>
      <c r="S201" s="2">
        <v>3.46</v>
      </c>
      <c r="T201" s="2">
        <v>0</v>
      </c>
      <c r="U201" s="2">
        <v>12.61</v>
      </c>
      <c r="V201" s="2">
        <v>12.58</v>
      </c>
      <c r="W201" s="60">
        <f t="shared" si="9"/>
        <v>53.89</v>
      </c>
      <c r="X201" s="2"/>
      <c r="Y201" s="3">
        <f>(W201-X202)/X202*100</f>
        <v>-1.4267422718126965</v>
      </c>
      <c r="Z201" s="3"/>
      <c r="AA201" s="62">
        <v>15.9</v>
      </c>
      <c r="AB201" s="2"/>
      <c r="AC201" s="3"/>
      <c r="AD201" s="3"/>
      <c r="AE201" s="2">
        <v>9.8000000000000007</v>
      </c>
      <c r="AF201" s="2"/>
    </row>
    <row r="202" spans="1:32">
      <c r="A202" s="2"/>
      <c r="B202" s="2"/>
      <c r="C202" s="2"/>
      <c r="D202" s="2">
        <v>5</v>
      </c>
      <c r="E202" s="2">
        <v>0.09</v>
      </c>
      <c r="F202" s="2">
        <v>1.24</v>
      </c>
      <c r="G202" s="2">
        <v>3.85</v>
      </c>
      <c r="H202" s="2">
        <v>0</v>
      </c>
      <c r="I202" s="2">
        <v>3.76</v>
      </c>
      <c r="J202" s="2">
        <v>0</v>
      </c>
      <c r="K202" s="2">
        <v>0</v>
      </c>
      <c r="L202" s="2">
        <v>0.57999999999999996</v>
      </c>
      <c r="M202" s="2">
        <v>0.09</v>
      </c>
      <c r="N202" s="2">
        <v>0</v>
      </c>
      <c r="O202" s="2">
        <v>0</v>
      </c>
      <c r="P202" s="2">
        <v>13.51</v>
      </c>
      <c r="Q202" s="2">
        <v>0.76</v>
      </c>
      <c r="R202" s="2">
        <v>0</v>
      </c>
      <c r="S202" s="2">
        <v>4.2699999999999996</v>
      </c>
      <c r="T202" s="2">
        <v>0</v>
      </c>
      <c r="U202" s="2">
        <v>10.94</v>
      </c>
      <c r="V202" s="2">
        <v>17.72</v>
      </c>
      <c r="W202" s="60">
        <f t="shared" si="9"/>
        <v>56.809999999999995</v>
      </c>
      <c r="X202" s="2">
        <f>AVERAGE(W198:W202)</f>
        <v>54.67</v>
      </c>
      <c r="Y202" s="3">
        <f>(W202-X202)/X202*100</f>
        <v>3.9143954636912262</v>
      </c>
      <c r="Z202" s="3">
        <f>STDEV(W198:W202)</f>
        <v>10.731374562468652</v>
      </c>
      <c r="AA202" s="62">
        <v>18</v>
      </c>
      <c r="AB202" s="62">
        <f>AVERAGE(AA198:AA202)</f>
        <v>15.36</v>
      </c>
      <c r="AC202" s="3"/>
      <c r="AD202" s="3"/>
      <c r="AE202" s="2">
        <v>4.0999999999999996</v>
      </c>
      <c r="AF202" s="2">
        <f>AVERAGE(AE198:AE202)</f>
        <v>4.68</v>
      </c>
    </row>
    <row r="203" spans="1:32">
      <c r="A203" s="2" t="s">
        <v>112</v>
      </c>
      <c r="B203" s="2" t="s">
        <v>133</v>
      </c>
      <c r="C203" s="2">
        <v>1</v>
      </c>
      <c r="D203" s="2">
        <v>1</v>
      </c>
      <c r="E203" s="2">
        <v>0</v>
      </c>
      <c r="F203" s="2">
        <v>0</v>
      </c>
      <c r="G203" s="2">
        <v>0</v>
      </c>
      <c r="H203" s="2">
        <v>0</v>
      </c>
      <c r="I203" s="2">
        <v>2.8</v>
      </c>
      <c r="J203" s="2">
        <v>0</v>
      </c>
      <c r="K203" s="2">
        <v>0</v>
      </c>
      <c r="L203" s="2">
        <v>0</v>
      </c>
      <c r="M203" s="2">
        <v>0</v>
      </c>
      <c r="N203" s="2">
        <v>0</v>
      </c>
      <c r="O203" s="2">
        <v>0.3</v>
      </c>
      <c r="P203" s="2">
        <v>51.9</v>
      </c>
      <c r="Q203" s="2">
        <v>0.6</v>
      </c>
      <c r="R203" s="2">
        <v>0.1</v>
      </c>
      <c r="S203" s="2">
        <v>2.9</v>
      </c>
      <c r="T203" s="2">
        <v>0</v>
      </c>
      <c r="U203" s="2">
        <v>0</v>
      </c>
      <c r="V203" s="2">
        <v>8.1</v>
      </c>
      <c r="W203" s="60">
        <f t="shared" si="9"/>
        <v>66.3</v>
      </c>
      <c r="X203" s="2"/>
      <c r="Y203" s="3">
        <f>(W203-X207)/X207*100</f>
        <v>20.108695652173903</v>
      </c>
      <c r="Z203" s="3"/>
      <c r="AA203" s="62">
        <v>15.9</v>
      </c>
      <c r="AB203" s="2"/>
      <c r="AC203" s="3"/>
      <c r="AD203" s="3"/>
      <c r="AE203" s="2">
        <v>5.7</v>
      </c>
      <c r="AF203" s="2"/>
    </row>
    <row r="204" spans="1:32">
      <c r="A204" s="2"/>
      <c r="B204" s="2"/>
      <c r="C204" s="2"/>
      <c r="D204" s="2">
        <v>2</v>
      </c>
      <c r="E204" s="2">
        <v>0</v>
      </c>
      <c r="F204" s="2">
        <v>0</v>
      </c>
      <c r="G204" s="2">
        <v>0</v>
      </c>
      <c r="H204" s="2">
        <v>0</v>
      </c>
      <c r="I204" s="2">
        <v>2.2000000000000002</v>
      </c>
      <c r="J204" s="2">
        <v>0</v>
      </c>
      <c r="K204" s="2">
        <v>0</v>
      </c>
      <c r="L204" s="2">
        <v>0</v>
      </c>
      <c r="M204" s="2">
        <v>0</v>
      </c>
      <c r="N204" s="2">
        <v>0</v>
      </c>
      <c r="O204" s="2">
        <v>0.4</v>
      </c>
      <c r="P204" s="2">
        <v>43.7</v>
      </c>
      <c r="Q204" s="2">
        <v>0</v>
      </c>
      <c r="R204" s="2">
        <v>0.7</v>
      </c>
      <c r="S204" s="2">
        <v>1</v>
      </c>
      <c r="T204" s="2">
        <v>0</v>
      </c>
      <c r="U204" s="2">
        <v>0</v>
      </c>
      <c r="V204" s="2">
        <v>1.2</v>
      </c>
      <c r="W204" s="60">
        <f t="shared" si="9"/>
        <v>48.100000000000009</v>
      </c>
      <c r="X204" s="2"/>
      <c r="Y204" s="3">
        <f>(W204-X207)/X207*100</f>
        <v>-12.862318840579698</v>
      </c>
      <c r="Z204" s="3"/>
      <c r="AA204" s="62">
        <v>22.1</v>
      </c>
      <c r="AB204" s="2"/>
      <c r="AC204" s="3"/>
      <c r="AD204" s="3"/>
      <c r="AE204" s="2">
        <v>3</v>
      </c>
      <c r="AF204" s="2"/>
    </row>
    <row r="205" spans="1:32">
      <c r="A205" s="2"/>
      <c r="B205" s="2"/>
      <c r="C205" s="2"/>
      <c r="D205" s="2">
        <v>3</v>
      </c>
      <c r="E205" s="2">
        <v>0</v>
      </c>
      <c r="F205" s="2">
        <v>0</v>
      </c>
      <c r="G205" s="2">
        <v>0</v>
      </c>
      <c r="H205" s="2">
        <v>0</v>
      </c>
      <c r="I205" s="2">
        <v>2.9</v>
      </c>
      <c r="J205" s="2">
        <v>0</v>
      </c>
      <c r="K205" s="2">
        <v>0</v>
      </c>
      <c r="L205" s="2">
        <v>0</v>
      </c>
      <c r="M205" s="2">
        <v>0</v>
      </c>
      <c r="N205" s="2">
        <v>0</v>
      </c>
      <c r="O205" s="2">
        <v>0.7</v>
      </c>
      <c r="P205" s="2">
        <v>56.6</v>
      </c>
      <c r="Q205" s="2">
        <v>0</v>
      </c>
      <c r="R205" s="2">
        <v>1.3</v>
      </c>
      <c r="S205" s="2">
        <v>1.5</v>
      </c>
      <c r="T205" s="2">
        <v>0</v>
      </c>
      <c r="U205" s="2">
        <v>0</v>
      </c>
      <c r="V205" s="2">
        <v>2.4</v>
      </c>
      <c r="W205" s="60">
        <f t="shared" si="9"/>
        <v>63.4</v>
      </c>
      <c r="X205" s="2"/>
      <c r="Y205" s="3">
        <f>(W205-X207)/X207*100</f>
        <v>14.855072463768106</v>
      </c>
      <c r="Z205" s="3"/>
      <c r="AA205" s="62">
        <v>10</v>
      </c>
      <c r="AB205" s="2"/>
      <c r="AC205" s="3"/>
      <c r="AD205" s="3"/>
      <c r="AE205" s="2">
        <v>1.8</v>
      </c>
      <c r="AF205" s="2"/>
    </row>
    <row r="206" spans="1:32">
      <c r="A206" s="2"/>
      <c r="B206" s="2"/>
      <c r="C206" s="2"/>
      <c r="D206" s="2">
        <v>4</v>
      </c>
      <c r="E206" s="2">
        <v>0</v>
      </c>
      <c r="F206" s="2">
        <v>0</v>
      </c>
      <c r="G206" s="2">
        <v>0</v>
      </c>
      <c r="H206" s="2">
        <v>0</v>
      </c>
      <c r="I206" s="2">
        <v>0.67</v>
      </c>
      <c r="J206" s="2">
        <v>0</v>
      </c>
      <c r="K206" s="2">
        <v>0</v>
      </c>
      <c r="L206" s="2">
        <v>0</v>
      </c>
      <c r="M206" s="2">
        <v>0</v>
      </c>
      <c r="N206" s="2">
        <v>0</v>
      </c>
      <c r="O206" s="2">
        <v>0.52</v>
      </c>
      <c r="P206" s="2">
        <v>27.78</v>
      </c>
      <c r="Q206" s="2">
        <v>1.29</v>
      </c>
      <c r="R206" s="2">
        <v>1.1000000000000001</v>
      </c>
      <c r="S206" s="2">
        <v>1.1499999999999999</v>
      </c>
      <c r="T206" s="2">
        <v>0</v>
      </c>
      <c r="U206" s="2">
        <v>0</v>
      </c>
      <c r="V206" s="2">
        <v>9.0299999999999994</v>
      </c>
      <c r="W206" s="60">
        <f t="shared" si="9"/>
        <v>39.92</v>
      </c>
      <c r="X206" s="2"/>
      <c r="Y206" s="3">
        <f>(W206-X207)/X207*100</f>
        <v>-27.681159420289859</v>
      </c>
      <c r="Z206" s="3"/>
      <c r="AA206" s="62">
        <v>16.600000000000001</v>
      </c>
      <c r="AB206" s="2"/>
      <c r="AC206" s="3"/>
      <c r="AD206" s="3"/>
      <c r="AE206" s="2">
        <v>1.5</v>
      </c>
      <c r="AF206" s="2"/>
    </row>
    <row r="207" spans="1:32">
      <c r="A207" s="2"/>
      <c r="B207" s="2"/>
      <c r="C207" s="2"/>
      <c r="D207" s="2">
        <v>5</v>
      </c>
      <c r="E207" s="2">
        <v>0</v>
      </c>
      <c r="F207" s="2">
        <v>0</v>
      </c>
      <c r="G207" s="2">
        <v>0</v>
      </c>
      <c r="H207" s="2">
        <v>0</v>
      </c>
      <c r="I207" s="2">
        <v>3.1</v>
      </c>
      <c r="J207" s="2">
        <v>0</v>
      </c>
      <c r="K207" s="2">
        <v>0</v>
      </c>
      <c r="L207" s="2">
        <v>0</v>
      </c>
      <c r="M207" s="2">
        <v>0</v>
      </c>
      <c r="N207" s="2">
        <v>0</v>
      </c>
      <c r="O207" s="2">
        <v>0.73</v>
      </c>
      <c r="P207" s="2">
        <v>45.589999999999996</v>
      </c>
      <c r="Q207" s="2">
        <v>0.16</v>
      </c>
      <c r="R207" s="2">
        <v>0</v>
      </c>
      <c r="S207" s="2">
        <v>0</v>
      </c>
      <c r="T207" s="2">
        <v>0</v>
      </c>
      <c r="U207" s="2">
        <v>0</v>
      </c>
      <c r="V207" s="2">
        <v>9.43</v>
      </c>
      <c r="W207" s="60">
        <f t="shared" si="9"/>
        <v>58.279999999999994</v>
      </c>
      <c r="X207" s="2">
        <f>AVERAGE(W203:W207)</f>
        <v>55.2</v>
      </c>
      <c r="Y207" s="3">
        <f>(W207-X207)/X207*100</f>
        <v>5.5797101449275202</v>
      </c>
      <c r="Z207" s="3">
        <f>STDEV(W203:W207)</f>
        <v>10.998008910707432</v>
      </c>
      <c r="AA207" s="62">
        <v>19.600000000000001</v>
      </c>
      <c r="AB207" s="62">
        <f>AVERAGE(AA203:AA207)</f>
        <v>16.839999999999996</v>
      </c>
      <c r="AC207" s="3"/>
      <c r="AD207" s="3"/>
      <c r="AE207" s="2">
        <v>15.7</v>
      </c>
      <c r="AF207" s="2">
        <f>AVERAGE(AE203:AE207)</f>
        <v>5.54</v>
      </c>
    </row>
    <row r="208" spans="1:32">
      <c r="A208" s="2"/>
      <c r="B208" s="2"/>
      <c r="C208" s="2">
        <v>2</v>
      </c>
      <c r="D208" s="2">
        <v>1</v>
      </c>
      <c r="E208" s="2">
        <v>0</v>
      </c>
      <c r="F208" s="2">
        <v>0</v>
      </c>
      <c r="G208" s="2">
        <v>0</v>
      </c>
      <c r="H208" s="2">
        <v>0</v>
      </c>
      <c r="I208" s="2">
        <v>4.3</v>
      </c>
      <c r="J208" s="2">
        <v>0</v>
      </c>
      <c r="K208" s="2">
        <v>0</v>
      </c>
      <c r="L208" s="2">
        <v>0</v>
      </c>
      <c r="M208" s="2">
        <v>0</v>
      </c>
      <c r="N208" s="2">
        <v>0</v>
      </c>
      <c r="O208" s="2">
        <v>0.6</v>
      </c>
      <c r="P208" s="2">
        <v>41.4</v>
      </c>
      <c r="Q208" s="2">
        <v>0</v>
      </c>
      <c r="R208" s="2">
        <v>3.9</v>
      </c>
      <c r="S208" s="2">
        <v>1.8</v>
      </c>
      <c r="T208" s="2">
        <v>0</v>
      </c>
      <c r="U208" s="2">
        <v>0</v>
      </c>
      <c r="V208" s="2">
        <v>6.2</v>
      </c>
      <c r="W208" s="60">
        <f t="shared" si="9"/>
        <v>53.699999999999996</v>
      </c>
      <c r="X208" s="2"/>
      <c r="Y208" s="3">
        <f>(W208-X212)/X212*100</f>
        <v>-2.9985549132948046</v>
      </c>
      <c r="Z208" s="3"/>
      <c r="AA208" s="62">
        <v>17.3</v>
      </c>
      <c r="AB208" s="2"/>
      <c r="AC208" s="3"/>
      <c r="AD208" s="3"/>
      <c r="AE208" s="2">
        <v>5.8</v>
      </c>
      <c r="AF208" s="2"/>
    </row>
    <row r="209" spans="1:32">
      <c r="A209" s="2"/>
      <c r="B209" s="2"/>
      <c r="C209" s="2"/>
      <c r="D209" s="2">
        <v>2</v>
      </c>
      <c r="E209" s="2">
        <v>0</v>
      </c>
      <c r="F209" s="2">
        <v>0</v>
      </c>
      <c r="G209" s="2">
        <v>0</v>
      </c>
      <c r="H209" s="2">
        <v>0</v>
      </c>
      <c r="I209" s="2">
        <v>1.3</v>
      </c>
      <c r="J209" s="2">
        <v>0</v>
      </c>
      <c r="K209" s="2">
        <v>0</v>
      </c>
      <c r="L209" s="2">
        <v>0</v>
      </c>
      <c r="M209" s="2">
        <v>0</v>
      </c>
      <c r="N209" s="2">
        <v>0</v>
      </c>
      <c r="O209" s="2">
        <v>0.8</v>
      </c>
      <c r="P209" s="2">
        <v>33.700000000000003</v>
      </c>
      <c r="Q209" s="2">
        <v>0.2</v>
      </c>
      <c r="R209" s="2">
        <v>3</v>
      </c>
      <c r="S209" s="2">
        <v>3.4</v>
      </c>
      <c r="T209" s="2">
        <v>0</v>
      </c>
      <c r="U209" s="2">
        <v>0</v>
      </c>
      <c r="V209" s="2">
        <v>13.5</v>
      </c>
      <c r="W209" s="60">
        <f t="shared" si="9"/>
        <v>52.1</v>
      </c>
      <c r="X209" s="2"/>
      <c r="Y209" s="3">
        <f>(W209-X212)/X212*100</f>
        <v>-5.8887283236994188</v>
      </c>
      <c r="Z209" s="3"/>
      <c r="AA209" s="62">
        <v>17</v>
      </c>
      <c r="AB209" s="2"/>
      <c r="AC209" s="3"/>
      <c r="AD209" s="3"/>
      <c r="AE209" s="2">
        <v>2.4</v>
      </c>
      <c r="AF209" s="2"/>
    </row>
    <row r="210" spans="1:32">
      <c r="A210" s="2"/>
      <c r="B210" s="2"/>
      <c r="C210" s="2"/>
      <c r="D210" s="2">
        <v>3</v>
      </c>
      <c r="E210" s="2">
        <v>0</v>
      </c>
      <c r="F210" s="2">
        <v>0</v>
      </c>
      <c r="G210" s="2">
        <v>0</v>
      </c>
      <c r="H210" s="2">
        <v>0</v>
      </c>
      <c r="I210" s="2">
        <v>2.9</v>
      </c>
      <c r="J210" s="2">
        <v>0</v>
      </c>
      <c r="K210" s="2">
        <v>0</v>
      </c>
      <c r="L210" s="2">
        <v>0</v>
      </c>
      <c r="M210" s="2">
        <v>0</v>
      </c>
      <c r="N210" s="2">
        <v>0</v>
      </c>
      <c r="O210" s="2">
        <v>1.1000000000000001</v>
      </c>
      <c r="P210" s="2">
        <v>41.7</v>
      </c>
      <c r="Q210" s="2">
        <v>0</v>
      </c>
      <c r="R210" s="2">
        <v>1.5</v>
      </c>
      <c r="S210" s="2">
        <v>1.3</v>
      </c>
      <c r="T210" s="2">
        <v>0</v>
      </c>
      <c r="U210" s="2">
        <v>0</v>
      </c>
      <c r="V210" s="2">
        <v>4.5999999999999996</v>
      </c>
      <c r="W210" s="60">
        <f t="shared" si="9"/>
        <v>50.5</v>
      </c>
      <c r="X210" s="2"/>
      <c r="Y210" s="3">
        <f>(W210-X212)/X212*100</f>
        <v>-8.7789017341040463</v>
      </c>
      <c r="Z210" s="3"/>
      <c r="AA210" s="62">
        <v>15.3</v>
      </c>
      <c r="AB210" s="2"/>
      <c r="AC210" s="3"/>
      <c r="AD210" s="3"/>
      <c r="AE210" s="2">
        <v>3.7</v>
      </c>
      <c r="AF210" s="2"/>
    </row>
    <row r="211" spans="1:32">
      <c r="A211" s="2"/>
      <c r="B211" s="2"/>
      <c r="C211" s="2"/>
      <c r="D211" s="2">
        <v>4</v>
      </c>
      <c r="E211" s="2">
        <v>0</v>
      </c>
      <c r="F211" s="2">
        <v>0</v>
      </c>
      <c r="G211" s="2">
        <v>0</v>
      </c>
      <c r="H211" s="2">
        <v>0</v>
      </c>
      <c r="I211" s="2">
        <v>2.1</v>
      </c>
      <c r="J211" s="2">
        <v>0</v>
      </c>
      <c r="K211" s="2">
        <v>0</v>
      </c>
      <c r="L211" s="2">
        <v>0</v>
      </c>
      <c r="M211" s="2">
        <v>0</v>
      </c>
      <c r="N211" s="2">
        <v>0</v>
      </c>
      <c r="O211" s="2">
        <v>0.6</v>
      </c>
      <c r="P211" s="2">
        <v>51.1</v>
      </c>
      <c r="Q211" s="2">
        <v>0</v>
      </c>
      <c r="R211" s="2">
        <v>2.5</v>
      </c>
      <c r="S211" s="2">
        <v>2.8</v>
      </c>
      <c r="T211" s="2">
        <v>0</v>
      </c>
      <c r="U211" s="2">
        <v>0</v>
      </c>
      <c r="V211" s="2">
        <v>2</v>
      </c>
      <c r="W211" s="60">
        <f t="shared" si="9"/>
        <v>58</v>
      </c>
      <c r="X211" s="2"/>
      <c r="Y211" s="3">
        <f>(W211-X212)/X212*100</f>
        <v>4.7687861271676315</v>
      </c>
      <c r="Z211" s="3"/>
      <c r="AA211" s="62">
        <v>17.2</v>
      </c>
      <c r="AB211" s="2"/>
      <c r="AC211" s="3"/>
      <c r="AD211" s="3"/>
      <c r="AE211" s="2">
        <v>2</v>
      </c>
      <c r="AF211" s="2"/>
    </row>
    <row r="212" spans="1:32">
      <c r="A212" s="2"/>
      <c r="B212" s="2"/>
      <c r="C212" s="2"/>
      <c r="D212" s="2">
        <v>5</v>
      </c>
      <c r="E212" s="2">
        <v>0</v>
      </c>
      <c r="F212" s="2">
        <v>0</v>
      </c>
      <c r="G212" s="2">
        <v>0</v>
      </c>
      <c r="H212" s="2">
        <v>0</v>
      </c>
      <c r="I212" s="2">
        <v>2.9</v>
      </c>
      <c r="J212" s="2">
        <v>0</v>
      </c>
      <c r="K212" s="2">
        <v>0</v>
      </c>
      <c r="L212" s="2">
        <v>0</v>
      </c>
      <c r="M212" s="2">
        <v>0</v>
      </c>
      <c r="N212" s="2">
        <v>0</v>
      </c>
      <c r="O212" s="2">
        <v>0.1</v>
      </c>
      <c r="P212" s="2">
        <v>51.6</v>
      </c>
      <c r="Q212" s="2">
        <v>0.7</v>
      </c>
      <c r="R212" s="2">
        <v>3.3</v>
      </c>
      <c r="S212" s="2">
        <v>1.8</v>
      </c>
      <c r="T212" s="2">
        <v>0</v>
      </c>
      <c r="U212" s="2">
        <v>0</v>
      </c>
      <c r="V212" s="2">
        <v>5.5</v>
      </c>
      <c r="W212" s="60">
        <f t="shared" si="9"/>
        <v>62.5</v>
      </c>
      <c r="X212" s="2">
        <f>AVERAGE(W208:W212)</f>
        <v>55.36</v>
      </c>
      <c r="Y212" s="3">
        <f>(W212-X212)/X212*100</f>
        <v>12.897398843930638</v>
      </c>
      <c r="Z212" s="3">
        <f>STDEV(W208:W212)</f>
        <v>4.87216584282596</v>
      </c>
      <c r="AA212" s="62">
        <v>20.6</v>
      </c>
      <c r="AB212" s="62">
        <f>AVERAGE(AA208:AA212)</f>
        <v>17.48</v>
      </c>
      <c r="AC212" s="3"/>
      <c r="AD212" s="3"/>
      <c r="AE212" s="2">
        <v>5</v>
      </c>
      <c r="AF212" s="2">
        <f>AVERAGE(AE208:AE212)</f>
        <v>3.78</v>
      </c>
    </row>
    <row r="213" spans="1:32">
      <c r="A213" s="2"/>
      <c r="B213" s="2"/>
      <c r="C213" s="2">
        <v>3</v>
      </c>
      <c r="D213" s="2">
        <v>1</v>
      </c>
      <c r="E213" s="2">
        <v>0</v>
      </c>
      <c r="F213" s="2">
        <v>0</v>
      </c>
      <c r="G213" s="2">
        <v>0</v>
      </c>
      <c r="H213" s="2">
        <v>0</v>
      </c>
      <c r="I213" s="2">
        <v>5.45</v>
      </c>
      <c r="J213" s="2">
        <v>0</v>
      </c>
      <c r="K213" s="2">
        <v>0</v>
      </c>
      <c r="L213" s="2">
        <v>0</v>
      </c>
      <c r="M213" s="2">
        <v>0</v>
      </c>
      <c r="N213" s="2">
        <v>0</v>
      </c>
      <c r="O213" s="2">
        <v>0.44</v>
      </c>
      <c r="P213" s="2">
        <v>54.71</v>
      </c>
      <c r="Q213" s="2">
        <v>0</v>
      </c>
      <c r="R213" s="2">
        <v>0</v>
      </c>
      <c r="S213" s="2">
        <v>0</v>
      </c>
      <c r="T213" s="2">
        <v>0</v>
      </c>
      <c r="U213" s="2">
        <v>0</v>
      </c>
      <c r="V213" s="2">
        <v>1.1599999999999999</v>
      </c>
      <c r="W213" s="60">
        <f t="shared" si="9"/>
        <v>61.32</v>
      </c>
      <c r="X213" s="2"/>
      <c r="Y213" s="3">
        <f>(W213-X217)/X217*100</f>
        <v>33.200104266226425</v>
      </c>
      <c r="Z213" s="3"/>
      <c r="AA213" s="62">
        <v>15.4</v>
      </c>
      <c r="AB213" s="2"/>
      <c r="AC213" s="3"/>
      <c r="AD213" s="3"/>
      <c r="AE213" s="2">
        <v>4.5</v>
      </c>
      <c r="AF213" s="2"/>
    </row>
    <row r="214" spans="1:32">
      <c r="A214" s="2"/>
      <c r="B214" s="2"/>
      <c r="C214" s="2"/>
      <c r="D214" s="2">
        <v>2</v>
      </c>
      <c r="E214" s="2">
        <v>0</v>
      </c>
      <c r="F214" s="2">
        <v>0</v>
      </c>
      <c r="G214" s="2">
        <v>0</v>
      </c>
      <c r="H214" s="2">
        <v>0</v>
      </c>
      <c r="I214" s="2">
        <v>6.63</v>
      </c>
      <c r="J214" s="2">
        <v>0</v>
      </c>
      <c r="K214" s="2">
        <v>0</v>
      </c>
      <c r="L214" s="2">
        <v>0</v>
      </c>
      <c r="M214" s="2">
        <v>0</v>
      </c>
      <c r="N214" s="2">
        <v>0</v>
      </c>
      <c r="O214" s="2">
        <v>0.68</v>
      </c>
      <c r="P214" s="2">
        <v>42.65</v>
      </c>
      <c r="Q214" s="2">
        <v>0</v>
      </c>
      <c r="R214" s="2">
        <v>0</v>
      </c>
      <c r="S214" s="2">
        <v>0</v>
      </c>
      <c r="T214" s="2">
        <v>0</v>
      </c>
      <c r="U214" s="2">
        <v>0</v>
      </c>
      <c r="V214" s="2">
        <v>8.73</v>
      </c>
      <c r="W214" s="60">
        <f t="shared" si="9"/>
        <v>58.010000000000005</v>
      </c>
      <c r="X214" s="2"/>
      <c r="Y214" s="3">
        <f>(W214-X217)/X217*100</f>
        <v>26.010079068555054</v>
      </c>
      <c r="Z214" s="3"/>
      <c r="AA214" s="62">
        <v>10.6</v>
      </c>
      <c r="AB214" s="2"/>
      <c r="AC214" s="3"/>
      <c r="AD214" s="3"/>
      <c r="AE214" s="2">
        <v>2.1</v>
      </c>
      <c r="AF214" s="2"/>
    </row>
    <row r="215" spans="1:32">
      <c r="A215" s="2"/>
      <c r="B215" s="2"/>
      <c r="C215" s="2"/>
      <c r="D215" s="2">
        <v>3</v>
      </c>
      <c r="E215" s="2">
        <v>0</v>
      </c>
      <c r="F215" s="2">
        <v>0</v>
      </c>
      <c r="G215" s="2">
        <v>0</v>
      </c>
      <c r="H215" s="2">
        <v>0</v>
      </c>
      <c r="I215" s="2">
        <v>9.8000000000000007</v>
      </c>
      <c r="J215" s="2">
        <v>0</v>
      </c>
      <c r="K215" s="2">
        <v>0</v>
      </c>
      <c r="L215" s="2">
        <v>0</v>
      </c>
      <c r="M215" s="2">
        <v>0</v>
      </c>
      <c r="N215" s="2">
        <v>0</v>
      </c>
      <c r="O215" s="2">
        <v>0.7</v>
      </c>
      <c r="P215" s="2">
        <v>17.7</v>
      </c>
      <c r="Q215" s="2">
        <v>0.4</v>
      </c>
      <c r="R215" s="2">
        <v>11.3</v>
      </c>
      <c r="S215" s="2">
        <v>1.6</v>
      </c>
      <c r="T215" s="2">
        <v>0</v>
      </c>
      <c r="U215" s="2">
        <v>0</v>
      </c>
      <c r="V215" s="2">
        <v>15.8</v>
      </c>
      <c r="W215" s="60">
        <f t="shared" si="9"/>
        <v>45.3</v>
      </c>
      <c r="X215" s="2"/>
      <c r="Y215" s="3">
        <f>(W215-X217)/X217*100</f>
        <v>-1.5987488052828311</v>
      </c>
      <c r="Z215" s="3"/>
      <c r="AA215" s="62">
        <v>22.4</v>
      </c>
      <c r="AB215" s="2"/>
      <c r="AC215" s="3"/>
      <c r="AD215" s="3"/>
      <c r="AE215" s="2">
        <v>4.0999999999999996</v>
      </c>
      <c r="AF215" s="2"/>
    </row>
    <row r="216" spans="1:32">
      <c r="A216" s="2"/>
      <c r="B216" s="2"/>
      <c r="C216" s="2"/>
      <c r="D216" s="2">
        <v>4</v>
      </c>
      <c r="E216" s="2">
        <v>0</v>
      </c>
      <c r="F216" s="2">
        <v>0</v>
      </c>
      <c r="G216" s="2">
        <v>0</v>
      </c>
      <c r="H216" s="2">
        <v>0</v>
      </c>
      <c r="I216" s="2">
        <v>13.11</v>
      </c>
      <c r="J216" s="2">
        <v>0</v>
      </c>
      <c r="K216" s="2">
        <v>0</v>
      </c>
      <c r="L216" s="2">
        <v>0</v>
      </c>
      <c r="M216" s="2">
        <v>0</v>
      </c>
      <c r="N216" s="2">
        <v>0</v>
      </c>
      <c r="O216" s="2">
        <v>0.61</v>
      </c>
      <c r="P216" s="2">
        <v>0</v>
      </c>
      <c r="Q216" s="2">
        <v>0</v>
      </c>
      <c r="R216" s="2">
        <v>0</v>
      </c>
      <c r="S216" s="2">
        <v>0</v>
      </c>
      <c r="T216" s="2">
        <v>0</v>
      </c>
      <c r="U216" s="2">
        <v>0</v>
      </c>
      <c r="V216" s="2">
        <v>0</v>
      </c>
      <c r="W216" s="60">
        <f t="shared" si="9"/>
        <v>13.11</v>
      </c>
      <c r="X216" s="2"/>
      <c r="Y216" s="3">
        <f>(W216-X217)/X217*100</f>
        <v>-71.522286905899733</v>
      </c>
      <c r="Z216" s="3"/>
      <c r="AA216" s="62">
        <v>22.3</v>
      </c>
      <c r="AB216" s="2"/>
      <c r="AC216" s="3"/>
      <c r="AD216" s="3"/>
      <c r="AE216" s="2">
        <v>1.7</v>
      </c>
      <c r="AF216" s="2"/>
    </row>
    <row r="217" spans="1:32">
      <c r="A217" s="2"/>
      <c r="B217" s="2"/>
      <c r="C217" s="2"/>
      <c r="D217" s="2">
        <v>5</v>
      </c>
      <c r="E217" s="2">
        <v>0</v>
      </c>
      <c r="F217" s="2">
        <v>0</v>
      </c>
      <c r="G217" s="2">
        <v>0</v>
      </c>
      <c r="H217" s="2">
        <v>0</v>
      </c>
      <c r="I217" s="2">
        <v>5.04</v>
      </c>
      <c r="J217" s="2">
        <v>0</v>
      </c>
      <c r="K217" s="2">
        <v>0</v>
      </c>
      <c r="L217" s="2">
        <v>0</v>
      </c>
      <c r="M217" s="2">
        <v>0</v>
      </c>
      <c r="N217" s="2">
        <v>0</v>
      </c>
      <c r="O217" s="2">
        <v>2.41</v>
      </c>
      <c r="P217" s="2">
        <v>35.47</v>
      </c>
      <c r="Q217" s="2">
        <v>0</v>
      </c>
      <c r="R217" s="2">
        <v>0</v>
      </c>
      <c r="S217" s="2">
        <v>0</v>
      </c>
      <c r="T217" s="2">
        <v>0</v>
      </c>
      <c r="U217" s="2"/>
      <c r="V217" s="2">
        <v>11.93</v>
      </c>
      <c r="W217" s="60">
        <f t="shared" si="9"/>
        <v>52.44</v>
      </c>
      <c r="X217" s="2">
        <f>AVERAGE(W213:W217)</f>
        <v>46.036000000000001</v>
      </c>
      <c r="Y217" s="3">
        <f>(W217-X217)/X217*100</f>
        <v>13.910852376401071</v>
      </c>
      <c r="Z217" s="3">
        <f>STDEV(W213:W217)</f>
        <v>19.382025951896761</v>
      </c>
      <c r="AA217" s="62">
        <v>16.899999999999999</v>
      </c>
      <c r="AB217" s="62">
        <f>AVERAGE(AA213:AA217)</f>
        <v>17.52</v>
      </c>
      <c r="AC217" s="3"/>
      <c r="AD217" s="3"/>
      <c r="AE217" s="2">
        <v>2.7</v>
      </c>
      <c r="AF217" s="2">
        <f>AVERAGE(AE213:AE217)</f>
        <v>3.0199999999999996</v>
      </c>
    </row>
    <row r="218" spans="1:32">
      <c r="A218" s="2"/>
      <c r="B218" s="2"/>
      <c r="C218" s="2">
        <v>4</v>
      </c>
      <c r="D218" s="2">
        <v>1</v>
      </c>
      <c r="E218" s="2">
        <v>0</v>
      </c>
      <c r="F218" s="2">
        <v>0</v>
      </c>
      <c r="G218" s="2">
        <v>0</v>
      </c>
      <c r="H218" s="2">
        <v>0</v>
      </c>
      <c r="I218" s="2">
        <v>1.79</v>
      </c>
      <c r="J218" s="2">
        <v>0</v>
      </c>
      <c r="K218" s="2">
        <v>0</v>
      </c>
      <c r="L218" s="2">
        <v>0</v>
      </c>
      <c r="M218" s="2">
        <v>0</v>
      </c>
      <c r="N218" s="2">
        <v>0</v>
      </c>
      <c r="O218" s="2">
        <v>0.75</v>
      </c>
      <c r="P218" s="2">
        <v>58.45</v>
      </c>
      <c r="Q218" s="2">
        <v>0</v>
      </c>
      <c r="R218" s="2">
        <v>0</v>
      </c>
      <c r="S218" s="2">
        <v>0</v>
      </c>
      <c r="T218" s="2">
        <v>0</v>
      </c>
      <c r="U218" s="2">
        <v>0.64</v>
      </c>
      <c r="V218" s="2">
        <v>2.2200000000000002</v>
      </c>
      <c r="W218" s="60">
        <f t="shared" si="9"/>
        <v>63.1</v>
      </c>
      <c r="X218" s="2"/>
      <c r="Y218" s="3">
        <f>(W218-X222)/X222*100</f>
        <v>-6.540671840748864</v>
      </c>
      <c r="Z218" s="3"/>
      <c r="AA218" s="62">
        <v>13.5</v>
      </c>
      <c r="AB218" s="2"/>
      <c r="AC218" s="3"/>
      <c r="AD218" s="3"/>
      <c r="AE218" s="2">
        <v>8.9</v>
      </c>
      <c r="AF218" s="2"/>
    </row>
    <row r="219" spans="1:32">
      <c r="A219" s="2"/>
      <c r="B219" s="2"/>
      <c r="C219" s="2"/>
      <c r="D219" s="2">
        <v>2</v>
      </c>
      <c r="E219" s="2">
        <v>0</v>
      </c>
      <c r="F219" s="2">
        <v>0</v>
      </c>
      <c r="G219" s="2">
        <v>0</v>
      </c>
      <c r="H219" s="2">
        <v>0</v>
      </c>
      <c r="I219" s="2">
        <v>0.78</v>
      </c>
      <c r="J219" s="2">
        <v>0</v>
      </c>
      <c r="K219" s="2">
        <v>0</v>
      </c>
      <c r="L219" s="2">
        <v>0</v>
      </c>
      <c r="M219" s="2">
        <v>0</v>
      </c>
      <c r="N219" s="2">
        <v>0</v>
      </c>
      <c r="O219" s="2">
        <v>1.54</v>
      </c>
      <c r="P219" s="2">
        <v>54.48</v>
      </c>
      <c r="Q219" s="2">
        <v>0</v>
      </c>
      <c r="R219" s="2">
        <v>0</v>
      </c>
      <c r="S219" s="2">
        <v>0</v>
      </c>
      <c r="T219" s="2">
        <v>0</v>
      </c>
      <c r="U219" s="2">
        <v>0</v>
      </c>
      <c r="V219" s="2">
        <v>0.23</v>
      </c>
      <c r="W219" s="60">
        <f t="shared" si="9"/>
        <v>55.489999999999995</v>
      </c>
      <c r="X219" s="2"/>
      <c r="Y219" s="3">
        <f>(W219-X222)/X222*100</f>
        <v>-17.81207417501038</v>
      </c>
      <c r="Z219" s="3"/>
      <c r="AA219" s="62">
        <v>16.2</v>
      </c>
      <c r="AB219" s="2"/>
      <c r="AC219" s="3"/>
      <c r="AD219" s="3"/>
      <c r="AE219" s="2">
        <v>1.7</v>
      </c>
      <c r="AF219" s="2"/>
    </row>
    <row r="220" spans="1:32">
      <c r="A220" s="2"/>
      <c r="B220" s="2"/>
      <c r="C220" s="2"/>
      <c r="D220" s="2">
        <v>3</v>
      </c>
      <c r="E220" s="2">
        <v>0</v>
      </c>
      <c r="F220" s="2">
        <v>0</v>
      </c>
      <c r="G220" s="2">
        <v>0</v>
      </c>
      <c r="H220" s="2">
        <v>0</v>
      </c>
      <c r="I220" s="2">
        <v>1.17</v>
      </c>
      <c r="J220" s="2">
        <v>0</v>
      </c>
      <c r="K220" s="2">
        <v>0</v>
      </c>
      <c r="L220" s="2">
        <v>0</v>
      </c>
      <c r="M220" s="2">
        <v>0</v>
      </c>
      <c r="N220" s="2">
        <v>0</v>
      </c>
      <c r="O220" s="2">
        <v>0.32</v>
      </c>
      <c r="P220" s="2">
        <v>51.52</v>
      </c>
      <c r="Q220" s="2">
        <v>0</v>
      </c>
      <c r="R220" s="2">
        <v>0</v>
      </c>
      <c r="S220" s="2">
        <v>0.83</v>
      </c>
      <c r="T220" s="2">
        <v>0</v>
      </c>
      <c r="U220" s="2">
        <v>0.27</v>
      </c>
      <c r="V220" s="2">
        <v>46.85</v>
      </c>
      <c r="W220" s="60">
        <f t="shared" si="9"/>
        <v>100.64000000000001</v>
      </c>
      <c r="X220" s="2"/>
      <c r="Y220" s="3">
        <f>(W220-X222)/X222*100</f>
        <v>49.06096332721134</v>
      </c>
      <c r="Z220" s="3"/>
      <c r="AA220" s="62">
        <v>12.5</v>
      </c>
      <c r="AB220" s="2"/>
      <c r="AC220" s="3"/>
      <c r="AD220" s="3"/>
      <c r="AE220" s="2">
        <v>1.8</v>
      </c>
      <c r="AF220" s="2"/>
    </row>
    <row r="221" spans="1:32">
      <c r="A221" s="2"/>
      <c r="B221" s="2"/>
      <c r="C221" s="2"/>
      <c r="D221" s="2">
        <v>4</v>
      </c>
      <c r="E221" s="2">
        <v>0</v>
      </c>
      <c r="F221" s="2">
        <v>0</v>
      </c>
      <c r="G221" s="2">
        <v>0</v>
      </c>
      <c r="H221" s="2">
        <v>0</v>
      </c>
      <c r="I221" s="2">
        <v>2.35</v>
      </c>
      <c r="J221" s="2">
        <v>0</v>
      </c>
      <c r="K221" s="2">
        <v>0</v>
      </c>
      <c r="L221" s="2">
        <v>0</v>
      </c>
      <c r="M221" s="2">
        <v>0</v>
      </c>
      <c r="N221" s="2">
        <v>0</v>
      </c>
      <c r="O221" s="2">
        <v>0</v>
      </c>
      <c r="P221" s="2">
        <v>105.1</v>
      </c>
      <c r="Q221" s="2">
        <v>0.28000000000000003</v>
      </c>
      <c r="R221" s="2">
        <v>0</v>
      </c>
      <c r="S221" s="2">
        <v>0</v>
      </c>
      <c r="T221" s="2">
        <v>0</v>
      </c>
      <c r="U221" s="2">
        <v>0.28999999999999998</v>
      </c>
      <c r="V221" s="2">
        <v>1.05</v>
      </c>
      <c r="W221" s="60">
        <f t="shared" si="9"/>
        <v>109.07</v>
      </c>
      <c r="X221" s="2"/>
      <c r="Y221" s="3">
        <f>(W221-X222)/X222*100</f>
        <v>61.546892588423461</v>
      </c>
      <c r="Z221" s="3"/>
      <c r="AA221" s="62">
        <v>12.6</v>
      </c>
      <c r="AB221" s="2"/>
      <c r="AC221" s="3"/>
      <c r="AD221" s="3"/>
      <c r="AE221" s="2">
        <v>4</v>
      </c>
      <c r="AF221" s="2"/>
    </row>
    <row r="222" spans="1:32">
      <c r="A222" s="2"/>
      <c r="B222" s="2"/>
      <c r="C222" s="2"/>
      <c r="D222" s="2">
        <v>5</v>
      </c>
      <c r="E222" s="2">
        <v>0</v>
      </c>
      <c r="F222" s="2">
        <v>0</v>
      </c>
      <c r="G222" s="2">
        <v>0</v>
      </c>
      <c r="H222" s="2">
        <v>0</v>
      </c>
      <c r="I222" s="2">
        <v>3.24</v>
      </c>
      <c r="J222" s="2">
        <v>0</v>
      </c>
      <c r="K222" s="2">
        <v>0</v>
      </c>
      <c r="L222" s="2">
        <v>0</v>
      </c>
      <c r="M222" s="2">
        <v>0</v>
      </c>
      <c r="N222" s="2">
        <v>0</v>
      </c>
      <c r="O222" s="2">
        <v>0</v>
      </c>
      <c r="P222" s="2">
        <v>0</v>
      </c>
      <c r="Q222" s="2">
        <v>0</v>
      </c>
      <c r="R222" s="2">
        <v>0</v>
      </c>
      <c r="S222" s="2">
        <v>0.53</v>
      </c>
      <c r="T222" s="2">
        <v>0.23</v>
      </c>
      <c r="U222" s="2">
        <v>3.22</v>
      </c>
      <c r="V222" s="2">
        <v>2.06</v>
      </c>
      <c r="W222" s="60">
        <f t="shared" si="9"/>
        <v>9.2800000000000011</v>
      </c>
      <c r="X222" s="2">
        <f>AVERAGE(W218:W222)</f>
        <v>67.516000000000005</v>
      </c>
      <c r="Y222" s="3">
        <f>(W222-X222)/X222*100</f>
        <v>-86.255109899875578</v>
      </c>
      <c r="Z222" s="3">
        <f>STDEV(W218:W222)</f>
        <v>39.935860201077411</v>
      </c>
      <c r="AA222" s="62">
        <v>11.6</v>
      </c>
      <c r="AB222" s="62">
        <f>AVERAGE(AA218:AA222)</f>
        <v>13.280000000000001</v>
      </c>
      <c r="AC222" s="3"/>
      <c r="AD222" s="3"/>
      <c r="AE222" s="2">
        <v>3.7</v>
      </c>
      <c r="AF222" s="2">
        <f>AVERAGE(AE218:AE222)</f>
        <v>4.0199999999999996</v>
      </c>
    </row>
    <row r="223" spans="1:32"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row>
    <row r="224" spans="1:32" ht="15.75" customHeight="1">
      <c r="A224" s="3"/>
      <c r="B224" s="3"/>
      <c r="C224" s="3"/>
      <c r="D224" s="3"/>
      <c r="E224" s="3"/>
      <c r="F224" s="3"/>
      <c r="G224" s="3"/>
      <c r="H224" s="3"/>
      <c r="I224" s="3"/>
      <c r="J224" s="3"/>
      <c r="K224" s="3"/>
      <c r="L224" s="3"/>
      <c r="M224" s="3"/>
      <c r="N224" s="3"/>
      <c r="O224" s="3"/>
      <c r="P224" s="3"/>
      <c r="Q224" s="3"/>
      <c r="R224" s="3"/>
      <c r="S224" s="3"/>
      <c r="T224" s="3"/>
      <c r="U224" s="3"/>
      <c r="V224" s="3"/>
      <c r="W224" s="56">
        <f>MAX(W3:W222)</f>
        <v>127.28</v>
      </c>
      <c r="X224" s="3"/>
      <c r="Y224" s="3"/>
      <c r="Z224" s="3"/>
      <c r="AA224" s="82">
        <f>MAX(AA3:AA222)</f>
        <v>49.6</v>
      </c>
      <c r="AB224" s="3"/>
      <c r="AC224" s="3"/>
      <c r="AD224" s="3"/>
      <c r="AE224" s="56">
        <f>MAX(AE3:AE222)</f>
        <v>77.7</v>
      </c>
      <c r="AF224" s="3"/>
    </row>
    <row r="225" spans="1:33"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row>
    <row r="226" spans="1:33"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t="s">
        <v>169</v>
      </c>
      <c r="AB226" s="3"/>
      <c r="AC226" s="3"/>
      <c r="AD226" s="3"/>
      <c r="AE226" s="3"/>
      <c r="AF226" s="3"/>
      <c r="AG226" s="3" t="s">
        <v>98</v>
      </c>
    </row>
    <row r="227" spans="1:33"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t="s">
        <v>170</v>
      </c>
    </row>
    <row r="228" spans="1:33"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t="s">
        <v>171</v>
      </c>
    </row>
    <row r="229" spans="1:33"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t="s">
        <v>172</v>
      </c>
      <c r="AB229" s="3"/>
      <c r="AC229" s="3"/>
      <c r="AD229" s="3"/>
      <c r="AE229" s="3"/>
      <c r="AF229" s="3"/>
      <c r="AG229" s="3" t="s">
        <v>173</v>
      </c>
    </row>
    <row r="230" spans="1:33"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t="s">
        <v>174</v>
      </c>
      <c r="AB230" s="3"/>
      <c r="AC230" s="3"/>
      <c r="AD230" s="3"/>
      <c r="AE230" s="3"/>
      <c r="AF230" s="3"/>
      <c r="AG230" s="3" t="s">
        <v>175</v>
      </c>
    </row>
    <row r="231" spans="1:33"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t="s">
        <v>176</v>
      </c>
      <c r="AB231" s="3"/>
      <c r="AC231" s="3"/>
      <c r="AD231" s="3"/>
      <c r="AE231" s="3"/>
      <c r="AF231" s="3"/>
      <c r="AG231" s="3" t="s">
        <v>177</v>
      </c>
    </row>
  </sheetData>
  <mergeCells count="1">
    <mergeCell ref="E1:X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O232"/>
  <sheetViews>
    <sheetView workbookViewId="0"/>
  </sheetViews>
  <sheetFormatPr defaultColWidth="17.28515625" defaultRowHeight="15" customHeight="1"/>
  <cols>
    <col min="1" max="5" width="9.140625" customWidth="1"/>
    <col min="6" max="6" width="13.5703125" customWidth="1"/>
    <col min="7" max="7" width="10.5703125" customWidth="1"/>
    <col min="8" max="27" width="9.140625" customWidth="1"/>
    <col min="28" max="29" width="18" customWidth="1"/>
    <col min="30" max="32" width="9.140625" customWidth="1"/>
    <col min="33" max="33" width="18.28515625" customWidth="1"/>
    <col min="34" max="34" width="9.140625" customWidth="1"/>
    <col min="35" max="41" width="17.28515625" customWidth="1"/>
  </cols>
  <sheetData>
    <row r="1" spans="1:36" ht="18" customHeight="1">
      <c r="A1" s="2"/>
      <c r="B1" s="2"/>
      <c r="C1" s="2"/>
      <c r="D1" s="2"/>
      <c r="E1" s="164" t="s">
        <v>48</v>
      </c>
      <c r="F1" s="154"/>
      <c r="G1" s="154"/>
      <c r="H1" s="154"/>
      <c r="I1" s="154"/>
      <c r="J1" s="154"/>
      <c r="K1" s="154"/>
      <c r="L1" s="154"/>
      <c r="M1" s="154"/>
      <c r="N1" s="154"/>
      <c r="O1" s="154"/>
      <c r="P1" s="154"/>
      <c r="Q1" s="154"/>
      <c r="R1" s="154"/>
      <c r="S1" s="154"/>
      <c r="T1" s="154"/>
      <c r="U1" s="154"/>
      <c r="V1" s="154"/>
      <c r="W1" s="2"/>
      <c r="X1" s="2"/>
      <c r="Y1" s="2"/>
      <c r="Z1" s="2"/>
      <c r="AA1" s="2"/>
      <c r="AB1" s="55" t="s">
        <v>49</v>
      </c>
      <c r="AC1" s="2"/>
      <c r="AD1" s="2"/>
      <c r="AE1" s="2"/>
      <c r="AF1" s="2"/>
      <c r="AG1" s="55" t="s">
        <v>50</v>
      </c>
      <c r="AH1" s="2"/>
      <c r="AJ1" s="56"/>
    </row>
    <row r="2" spans="1:36">
      <c r="A2" s="6" t="s">
        <v>51</v>
      </c>
      <c r="B2" s="6" t="s">
        <v>52</v>
      </c>
      <c r="C2" s="6" t="s">
        <v>53</v>
      </c>
      <c r="D2" s="6" t="s">
        <v>54</v>
      </c>
      <c r="E2" s="6" t="s">
        <v>55</v>
      </c>
      <c r="F2" s="6" t="s">
        <v>56</v>
      </c>
      <c r="G2" s="6" t="s">
        <v>57</v>
      </c>
      <c r="H2" s="6" t="s">
        <v>58</v>
      </c>
      <c r="I2" s="6" t="s">
        <v>59</v>
      </c>
      <c r="J2" s="6" t="s">
        <v>60</v>
      </c>
      <c r="K2" s="6" t="s">
        <v>61</v>
      </c>
      <c r="L2" s="6" t="s">
        <v>62</v>
      </c>
      <c r="M2" s="2" t="s">
        <v>63</v>
      </c>
      <c r="N2" s="2" t="s">
        <v>64</v>
      </c>
      <c r="O2" s="2" t="s">
        <v>65</v>
      </c>
      <c r="P2" s="2" t="s">
        <v>66</v>
      </c>
      <c r="Q2" s="2" t="s">
        <v>67</v>
      </c>
      <c r="R2" s="2" t="s">
        <v>68</v>
      </c>
      <c r="S2" s="2" t="s">
        <v>69</v>
      </c>
      <c r="T2" s="2" t="s">
        <v>70</v>
      </c>
      <c r="U2" s="2" t="s">
        <v>71</v>
      </c>
      <c r="V2" s="2" t="s">
        <v>72</v>
      </c>
      <c r="W2" s="2" t="s">
        <v>73</v>
      </c>
      <c r="X2" s="2" t="s">
        <v>74</v>
      </c>
      <c r="Y2" s="2"/>
      <c r="Z2" s="2"/>
      <c r="AA2" s="2"/>
      <c r="AB2" s="2" t="s">
        <v>75</v>
      </c>
      <c r="AC2" s="2" t="s">
        <v>76</v>
      </c>
      <c r="AD2" s="2" t="s">
        <v>74</v>
      </c>
      <c r="AE2" s="2"/>
      <c r="AF2" s="2"/>
      <c r="AG2" s="2" t="s">
        <v>75</v>
      </c>
      <c r="AH2" s="2" t="s">
        <v>74</v>
      </c>
      <c r="AI2" s="2" t="s">
        <v>77</v>
      </c>
      <c r="AJ2" s="2"/>
    </row>
    <row r="3" spans="1:36">
      <c r="A3" s="2" t="s">
        <v>78</v>
      </c>
      <c r="B3" s="2" t="s">
        <v>79</v>
      </c>
      <c r="C3" s="2">
        <v>1</v>
      </c>
      <c r="D3" s="2">
        <v>1</v>
      </c>
      <c r="E3" s="2"/>
      <c r="F3" s="2"/>
      <c r="G3" s="2"/>
      <c r="H3" s="2"/>
      <c r="I3" s="2">
        <v>13.4</v>
      </c>
      <c r="J3" s="2"/>
      <c r="K3" s="2"/>
      <c r="L3" s="2">
        <v>9.8000000000000007</v>
      </c>
      <c r="M3" s="2"/>
      <c r="N3" s="2"/>
      <c r="O3" s="2"/>
      <c r="P3" s="2">
        <v>3.26</v>
      </c>
      <c r="Q3" s="2">
        <v>0.21</v>
      </c>
      <c r="R3" s="2"/>
      <c r="S3" s="2">
        <v>4.5</v>
      </c>
      <c r="T3" s="2"/>
      <c r="U3" s="2">
        <v>11.1</v>
      </c>
      <c r="V3" s="2">
        <v>7.5</v>
      </c>
      <c r="W3" s="2">
        <f t="shared" ref="W3:W10" si="0">SUM(E3:V3)</f>
        <v>49.77</v>
      </c>
      <c r="X3" s="2"/>
      <c r="Y3" s="2">
        <f>(W3-X7)/X7*100</f>
        <v>-16.844884047316704</v>
      </c>
      <c r="Z3" s="2"/>
      <c r="AA3" s="2"/>
      <c r="AB3" s="2">
        <v>5.8</v>
      </c>
      <c r="AC3" s="2">
        <v>1.26</v>
      </c>
      <c r="AD3" s="2"/>
      <c r="AE3" s="2"/>
      <c r="AF3" s="2"/>
      <c r="AG3" s="2">
        <v>8.86</v>
      </c>
      <c r="AH3" s="2"/>
      <c r="AI3" s="3">
        <f>SUM(W3,AC3,AG3)</f>
        <v>59.89</v>
      </c>
      <c r="AJ3" s="56"/>
    </row>
    <row r="4" spans="1:36">
      <c r="A4" s="2"/>
      <c r="B4" s="2"/>
      <c r="C4" s="2"/>
      <c r="D4" s="2">
        <v>2</v>
      </c>
      <c r="E4" s="2"/>
      <c r="F4" s="2"/>
      <c r="G4" s="2"/>
      <c r="H4" s="2"/>
      <c r="I4" s="2">
        <v>15.99</v>
      </c>
      <c r="J4" s="2"/>
      <c r="K4" s="2"/>
      <c r="L4" s="2">
        <v>10.31</v>
      </c>
      <c r="M4" s="2">
        <v>5.75</v>
      </c>
      <c r="N4" s="2"/>
      <c r="O4" s="2"/>
      <c r="P4" s="2">
        <v>2.34</v>
      </c>
      <c r="Q4" s="2">
        <v>2.78</v>
      </c>
      <c r="R4" s="2"/>
      <c r="S4" s="2">
        <v>3.86</v>
      </c>
      <c r="T4" s="2"/>
      <c r="U4" s="2">
        <v>6.37</v>
      </c>
      <c r="V4" s="2">
        <v>1.93</v>
      </c>
      <c r="W4" s="2">
        <f t="shared" si="0"/>
        <v>49.33</v>
      </c>
      <c r="X4" s="2"/>
      <c r="Y4" s="2">
        <f>(W4-X7)/X7*100</f>
        <v>-17.58003074249816</v>
      </c>
      <c r="Z4" s="2"/>
      <c r="AA4" s="2"/>
      <c r="AB4" s="2">
        <v>5.8</v>
      </c>
      <c r="AC4" s="2">
        <v>1.17</v>
      </c>
      <c r="AD4" s="2"/>
      <c r="AE4" s="2"/>
      <c r="AF4" s="2"/>
      <c r="AG4" s="2">
        <v>9.25</v>
      </c>
      <c r="AH4" s="2"/>
      <c r="AJ4" s="56"/>
    </row>
    <row r="5" spans="1:36">
      <c r="A5" s="2"/>
      <c r="B5" s="2"/>
      <c r="C5" s="2"/>
      <c r="D5" s="2">
        <v>3</v>
      </c>
      <c r="E5" s="2">
        <v>28.01</v>
      </c>
      <c r="F5" s="2"/>
      <c r="G5" s="2"/>
      <c r="H5" s="2"/>
      <c r="I5" s="2">
        <v>10.16</v>
      </c>
      <c r="J5" s="2"/>
      <c r="K5" s="2"/>
      <c r="L5" s="2">
        <v>2.93</v>
      </c>
      <c r="M5" s="2">
        <v>6.03</v>
      </c>
      <c r="N5" s="2"/>
      <c r="O5" s="2"/>
      <c r="P5" s="2">
        <v>2.06</v>
      </c>
      <c r="Q5" s="2">
        <v>3.25</v>
      </c>
      <c r="R5" s="2"/>
      <c r="S5" s="2">
        <v>9.66</v>
      </c>
      <c r="T5" s="2"/>
      <c r="U5" s="2">
        <v>16.760000000000002</v>
      </c>
      <c r="V5" s="2">
        <v>3.33</v>
      </c>
      <c r="W5" s="2">
        <f t="shared" si="0"/>
        <v>82.190000000000012</v>
      </c>
      <c r="X5" s="2"/>
      <c r="Y5" s="2">
        <f>(W5-X7)/X7*100</f>
        <v>37.322061084007245</v>
      </c>
      <c r="Z5" s="2"/>
      <c r="AA5" s="2"/>
      <c r="AB5" s="2">
        <v>7.4</v>
      </c>
      <c r="AC5" s="2">
        <v>0.79</v>
      </c>
      <c r="AD5" s="2"/>
      <c r="AE5" s="2"/>
      <c r="AF5" s="2"/>
      <c r="AG5" s="2">
        <v>8.0299999999999994</v>
      </c>
      <c r="AH5" s="2"/>
      <c r="AJ5" s="56"/>
    </row>
    <row r="6" spans="1:36">
      <c r="A6" s="2"/>
      <c r="B6" s="2"/>
      <c r="C6" s="2"/>
      <c r="D6" s="2">
        <v>4</v>
      </c>
      <c r="E6" s="2"/>
      <c r="F6" s="2"/>
      <c r="G6" s="2"/>
      <c r="H6" s="2"/>
      <c r="I6" s="2">
        <v>21.95</v>
      </c>
      <c r="J6" s="2"/>
      <c r="K6" s="2"/>
      <c r="L6" s="2">
        <v>3.49</v>
      </c>
      <c r="M6" s="2">
        <v>0.88</v>
      </c>
      <c r="N6" s="2"/>
      <c r="O6" s="2"/>
      <c r="P6" s="2"/>
      <c r="Q6" s="2">
        <v>6.34</v>
      </c>
      <c r="R6" s="2"/>
      <c r="S6" s="2">
        <v>12.57</v>
      </c>
      <c r="T6" s="2"/>
      <c r="U6" s="2">
        <v>17.34</v>
      </c>
      <c r="V6" s="2">
        <v>4.92</v>
      </c>
      <c r="W6" s="2">
        <f t="shared" si="0"/>
        <v>67.489999999999995</v>
      </c>
      <c r="X6" s="2"/>
      <c r="Y6" s="2">
        <f>(W6-X7)/X7*100</f>
        <v>12.761478313172489</v>
      </c>
      <c r="Z6" s="2"/>
      <c r="AA6" s="2"/>
      <c r="AB6" s="2">
        <v>10.4</v>
      </c>
      <c r="AC6" s="2">
        <v>2.23</v>
      </c>
      <c r="AD6" s="2"/>
      <c r="AE6" s="2"/>
      <c r="AF6" s="2"/>
      <c r="AG6" s="2">
        <v>10.37</v>
      </c>
      <c r="AH6" s="2"/>
      <c r="AJ6" s="56"/>
    </row>
    <row r="7" spans="1:36">
      <c r="A7" s="2"/>
      <c r="B7" s="2"/>
      <c r="C7" s="2"/>
      <c r="D7" s="2">
        <v>5</v>
      </c>
      <c r="E7" s="2"/>
      <c r="F7" s="2"/>
      <c r="G7" s="2">
        <v>2.0699999999999998</v>
      </c>
      <c r="H7" s="2"/>
      <c r="I7" s="2">
        <v>10.02</v>
      </c>
      <c r="J7" s="2"/>
      <c r="K7" s="2"/>
      <c r="L7" s="2">
        <v>3.23</v>
      </c>
      <c r="M7" s="2"/>
      <c r="N7" s="2"/>
      <c r="O7" s="2"/>
      <c r="P7" s="2">
        <v>2.0099999999999998</v>
      </c>
      <c r="Q7" s="2">
        <v>2.44</v>
      </c>
      <c r="R7" s="2"/>
      <c r="S7" s="2">
        <v>20.079999999999998</v>
      </c>
      <c r="T7" s="2"/>
      <c r="U7" s="2">
        <v>6.52</v>
      </c>
      <c r="V7" s="2">
        <v>4.1100000000000003</v>
      </c>
      <c r="W7" s="2">
        <f t="shared" si="0"/>
        <v>50.47999999999999</v>
      </c>
      <c r="X7" s="2">
        <f>AVERAGE(W3:W7)</f>
        <v>59.851999999999997</v>
      </c>
      <c r="Y7" s="2">
        <f>(W7-X7)/X7*100</f>
        <v>-15.658624607364846</v>
      </c>
      <c r="Z7" s="2">
        <f>STDEV(W3:W7)</f>
        <v>14.641711648574452</v>
      </c>
      <c r="AA7" s="2"/>
      <c r="AB7" s="2">
        <v>5.0999999999999996</v>
      </c>
      <c r="AC7" s="2">
        <v>0.86</v>
      </c>
      <c r="AD7" s="2">
        <f>AVERAGE(AC3:AC7)</f>
        <v>1.262</v>
      </c>
      <c r="AE7" s="2"/>
      <c r="AF7" s="2"/>
      <c r="AG7" s="2">
        <v>8.0299999999999994</v>
      </c>
      <c r="AH7" s="2">
        <f>AVERAGE(AG3:AG7)</f>
        <v>8.9079999999999995</v>
      </c>
      <c r="AJ7" s="56"/>
    </row>
    <row r="8" spans="1:36">
      <c r="A8" s="2"/>
      <c r="B8" s="2"/>
      <c r="C8" s="2">
        <v>2</v>
      </c>
      <c r="D8" s="2">
        <v>1</v>
      </c>
      <c r="E8" s="2">
        <v>0.51</v>
      </c>
      <c r="F8" s="2"/>
      <c r="G8" s="2">
        <v>0.63</v>
      </c>
      <c r="H8" s="2"/>
      <c r="I8" s="2">
        <v>7.53</v>
      </c>
      <c r="J8" s="2"/>
      <c r="K8" s="2"/>
      <c r="L8" s="2">
        <v>8.4600000000000009</v>
      </c>
      <c r="M8" s="2">
        <v>4.5999999999999996</v>
      </c>
      <c r="N8" s="2"/>
      <c r="O8" s="2"/>
      <c r="P8" s="2"/>
      <c r="Q8" s="2"/>
      <c r="R8" s="2"/>
      <c r="S8" s="2">
        <v>4.33</v>
      </c>
      <c r="T8" s="2"/>
      <c r="U8" s="2">
        <v>12.74</v>
      </c>
      <c r="V8" s="2">
        <v>10.43</v>
      </c>
      <c r="W8" s="2">
        <f t="shared" si="0"/>
        <v>49.230000000000004</v>
      </c>
      <c r="X8" s="2"/>
      <c r="Y8" s="2">
        <f>(W8-X12)/X12*100</f>
        <v>0.70058808488877755</v>
      </c>
      <c r="Z8" s="2"/>
      <c r="AA8" s="2"/>
      <c r="AB8" s="2">
        <v>3.9</v>
      </c>
      <c r="AC8" s="2">
        <v>0.48</v>
      </c>
      <c r="AD8" s="2"/>
      <c r="AE8" s="2"/>
      <c r="AF8" s="2"/>
      <c r="AG8" s="2">
        <v>10.48</v>
      </c>
      <c r="AH8" s="2"/>
      <c r="AJ8" s="56"/>
    </row>
    <row r="9" spans="1:36">
      <c r="A9" s="2"/>
      <c r="B9" s="2"/>
      <c r="C9" s="2"/>
      <c r="D9" s="2">
        <v>2</v>
      </c>
      <c r="E9" s="2">
        <v>2.19</v>
      </c>
      <c r="F9" s="2"/>
      <c r="G9" s="2"/>
      <c r="H9" s="2"/>
      <c r="I9" s="2">
        <v>11.55</v>
      </c>
      <c r="J9" s="2"/>
      <c r="K9" s="2">
        <v>0.04</v>
      </c>
      <c r="L9" s="2">
        <v>11.4</v>
      </c>
      <c r="M9" s="2">
        <v>2.2400000000000002</v>
      </c>
      <c r="N9" s="2"/>
      <c r="O9" s="2"/>
      <c r="P9" s="2">
        <v>1.76</v>
      </c>
      <c r="Q9" s="2">
        <v>3.7</v>
      </c>
      <c r="R9" s="2"/>
      <c r="S9" s="2">
        <v>3.42</v>
      </c>
      <c r="T9" s="2"/>
      <c r="U9" s="2">
        <v>8.4499999999999993</v>
      </c>
      <c r="V9" s="2">
        <v>5.33</v>
      </c>
      <c r="W9" s="2">
        <f t="shared" si="0"/>
        <v>50.08</v>
      </c>
      <c r="X9" s="2"/>
      <c r="Y9" s="2">
        <f>(W9-X12)/X12*100</f>
        <v>2.4392738430068941</v>
      </c>
      <c r="Z9" s="2"/>
      <c r="AA9" s="2"/>
      <c r="AB9" s="2">
        <v>6.2</v>
      </c>
      <c r="AC9" s="2">
        <v>0.49</v>
      </c>
      <c r="AD9" s="2"/>
      <c r="AE9" s="2"/>
      <c r="AF9" s="2"/>
      <c r="AG9" s="2">
        <v>10.53</v>
      </c>
      <c r="AH9" s="2"/>
      <c r="AJ9" s="56"/>
    </row>
    <row r="10" spans="1:36">
      <c r="A10" s="2"/>
      <c r="B10" s="2"/>
      <c r="C10" s="2"/>
      <c r="D10" s="2">
        <v>3</v>
      </c>
      <c r="E10" s="2"/>
      <c r="F10" s="2"/>
      <c r="G10" s="2"/>
      <c r="H10" s="2"/>
      <c r="I10" s="2">
        <v>10.33</v>
      </c>
      <c r="J10" s="2"/>
      <c r="K10" s="2"/>
      <c r="L10" s="2">
        <v>6.68</v>
      </c>
      <c r="M10" s="2">
        <v>3.67</v>
      </c>
      <c r="N10" s="2"/>
      <c r="O10" s="2"/>
      <c r="P10" s="2"/>
      <c r="Q10" s="2"/>
      <c r="R10" s="2"/>
      <c r="S10" s="2">
        <v>4.17</v>
      </c>
      <c r="T10" s="2"/>
      <c r="U10" s="2">
        <v>9.9600000000000009</v>
      </c>
      <c r="V10" s="2">
        <v>10.73</v>
      </c>
      <c r="W10" s="2">
        <f t="shared" si="0"/>
        <v>45.540000000000006</v>
      </c>
      <c r="X10" s="2"/>
      <c r="Y10" s="2">
        <f>(W10-X12)/X12*100</f>
        <v>-6.8473536180005041</v>
      </c>
      <c r="Z10" s="2"/>
      <c r="AA10" s="2"/>
      <c r="AB10" s="2">
        <v>6</v>
      </c>
      <c r="AC10" s="2">
        <v>0.66</v>
      </c>
      <c r="AD10" s="2"/>
      <c r="AE10" s="2"/>
      <c r="AF10" s="2"/>
      <c r="AG10" s="2">
        <v>5.99</v>
      </c>
      <c r="AH10" s="2"/>
      <c r="AJ10" s="56"/>
    </row>
    <row r="11" spans="1:36">
      <c r="A11" s="2"/>
      <c r="B11" s="2"/>
      <c r="C11" s="2"/>
      <c r="D11" s="2">
        <v>4</v>
      </c>
      <c r="E11" s="2"/>
      <c r="F11" s="2">
        <v>0.52</v>
      </c>
      <c r="G11" s="2"/>
      <c r="H11" s="2"/>
      <c r="I11" s="2"/>
      <c r="J11" s="2"/>
      <c r="K11" s="2"/>
      <c r="L11" s="2"/>
      <c r="M11" s="2"/>
      <c r="N11" s="2"/>
      <c r="O11" s="2"/>
      <c r="P11" s="2"/>
      <c r="Q11" s="2">
        <v>0.19</v>
      </c>
      <c r="R11" s="2"/>
      <c r="S11" s="2"/>
      <c r="T11" s="2"/>
      <c r="U11" s="2"/>
      <c r="V11" s="2"/>
      <c r="W11" s="57"/>
      <c r="X11" s="2"/>
      <c r="Y11" s="2"/>
      <c r="Z11" s="2"/>
      <c r="AA11" s="2"/>
      <c r="AB11" s="2">
        <v>3.6</v>
      </c>
      <c r="AC11" s="2">
        <v>1.06</v>
      </c>
      <c r="AD11" s="2"/>
      <c r="AE11" s="2"/>
      <c r="AF11" s="2"/>
      <c r="AG11" s="2">
        <v>13.94</v>
      </c>
      <c r="AH11" s="2"/>
      <c r="AJ11" s="56"/>
    </row>
    <row r="12" spans="1:36">
      <c r="A12" s="2"/>
      <c r="B12" s="2"/>
      <c r="C12" s="2"/>
      <c r="D12" s="2">
        <v>5</v>
      </c>
      <c r="E12" s="2"/>
      <c r="F12" s="2"/>
      <c r="G12" s="2"/>
      <c r="H12" s="2"/>
      <c r="I12" s="2">
        <v>10.5</v>
      </c>
      <c r="J12" s="2"/>
      <c r="K12" s="2"/>
      <c r="L12" s="2">
        <v>9.1</v>
      </c>
      <c r="M12" s="2">
        <v>6.1</v>
      </c>
      <c r="N12" s="2"/>
      <c r="O12" s="2"/>
      <c r="P12" s="2">
        <v>0.9</v>
      </c>
      <c r="Q12" s="2">
        <v>4.3</v>
      </c>
      <c r="R12" s="2"/>
      <c r="S12" s="2">
        <v>6.7</v>
      </c>
      <c r="T12" s="2"/>
      <c r="U12" s="2">
        <v>8.4</v>
      </c>
      <c r="V12" s="2">
        <v>4.7</v>
      </c>
      <c r="W12" s="2">
        <f>SUM(E12:V12)</f>
        <v>50.7</v>
      </c>
      <c r="X12" s="2">
        <f>AVERAGE(W8:W12)</f>
        <v>48.887500000000003</v>
      </c>
      <c r="Y12" s="2">
        <f>(W12-X12)/X12*100</f>
        <v>3.7074916901048325</v>
      </c>
      <c r="Z12" s="2">
        <f>STDEV(W8:W12)</f>
        <v>2.3115849540953475</v>
      </c>
      <c r="AA12" s="2"/>
      <c r="AB12" s="2">
        <v>8.1</v>
      </c>
      <c r="AC12" s="2">
        <v>1.32</v>
      </c>
      <c r="AD12" s="2">
        <f>AVERAGE(AC8:AC12)</f>
        <v>0.80199999999999994</v>
      </c>
      <c r="AE12" s="2"/>
      <c r="AF12" s="2"/>
      <c r="AG12" s="2">
        <v>7.81</v>
      </c>
      <c r="AH12" s="2">
        <f>AVERAGE(AG8:AG12)</f>
        <v>9.75</v>
      </c>
      <c r="AJ12" s="56"/>
    </row>
    <row r="13" spans="1:36">
      <c r="A13" s="2"/>
      <c r="B13" s="2"/>
      <c r="C13" s="2">
        <v>3</v>
      </c>
      <c r="D13" s="2">
        <v>1</v>
      </c>
      <c r="E13" s="2"/>
      <c r="F13" s="2"/>
      <c r="G13" s="2"/>
      <c r="H13" s="2"/>
      <c r="I13" s="2"/>
      <c r="J13" s="2"/>
      <c r="K13" s="2"/>
      <c r="L13" s="2"/>
      <c r="M13" s="2"/>
      <c r="N13" s="2"/>
      <c r="O13" s="2"/>
      <c r="P13" s="2"/>
      <c r="Q13" s="2"/>
      <c r="R13" s="2"/>
      <c r="S13" s="2"/>
      <c r="T13" s="2"/>
      <c r="U13" s="2"/>
      <c r="V13" s="2"/>
      <c r="W13" s="57"/>
      <c r="X13" s="2"/>
      <c r="Y13" s="2"/>
      <c r="Z13" s="2"/>
      <c r="AA13" s="2"/>
      <c r="AB13" s="2">
        <v>6.3</v>
      </c>
      <c r="AC13" s="2">
        <v>1.03</v>
      </c>
      <c r="AD13" s="2"/>
      <c r="AE13" s="2"/>
      <c r="AF13" s="2"/>
      <c r="AG13" s="2">
        <v>9.64</v>
      </c>
      <c r="AH13" s="2"/>
      <c r="AJ13" s="56"/>
    </row>
    <row r="14" spans="1:36">
      <c r="A14" s="2"/>
      <c r="B14" s="2"/>
      <c r="C14" s="2"/>
      <c r="D14" s="2">
        <v>2</v>
      </c>
      <c r="E14" s="2">
        <v>0.24</v>
      </c>
      <c r="F14" s="2"/>
      <c r="G14" s="2"/>
      <c r="H14" s="2"/>
      <c r="I14" s="2">
        <v>11.46</v>
      </c>
      <c r="J14" s="2"/>
      <c r="K14" s="2"/>
      <c r="L14" s="2">
        <v>6.02</v>
      </c>
      <c r="M14" s="2"/>
      <c r="N14" s="2"/>
      <c r="O14" s="2"/>
      <c r="P14" s="2">
        <v>2.99</v>
      </c>
      <c r="Q14" s="2">
        <v>0.76</v>
      </c>
      <c r="R14" s="2"/>
      <c r="S14" s="2">
        <v>3.08</v>
      </c>
      <c r="T14" s="2"/>
      <c r="U14" s="2">
        <v>7.8</v>
      </c>
      <c r="V14" s="2">
        <v>16.07</v>
      </c>
      <c r="W14" s="2">
        <f t="shared" ref="W14:W21" si="1">SUM(E14:V14)</f>
        <v>48.42</v>
      </c>
      <c r="X14" s="2"/>
      <c r="Y14" s="2">
        <f>(W14-X17)/X17*100</f>
        <v>-9.4106641721234805</v>
      </c>
      <c r="Z14" s="2"/>
      <c r="AA14" s="2"/>
      <c r="AB14" s="2">
        <v>5.7</v>
      </c>
      <c r="AC14" s="2">
        <v>0.85</v>
      </c>
      <c r="AD14" s="2"/>
      <c r="AE14" s="2"/>
      <c r="AF14" s="2"/>
      <c r="AG14" s="2">
        <v>7.37</v>
      </c>
      <c r="AH14" s="2"/>
      <c r="AJ14" s="56"/>
    </row>
    <row r="15" spans="1:36">
      <c r="A15" s="2"/>
      <c r="B15" s="2"/>
      <c r="C15" s="2"/>
      <c r="D15" s="2">
        <v>3</v>
      </c>
      <c r="E15" s="2"/>
      <c r="F15" s="2"/>
      <c r="G15" s="2"/>
      <c r="H15" s="2"/>
      <c r="I15" s="2">
        <v>29.61</v>
      </c>
      <c r="J15" s="2"/>
      <c r="K15" s="2"/>
      <c r="L15" s="2">
        <v>7.28</v>
      </c>
      <c r="M15" s="2">
        <v>4.8099999999999996</v>
      </c>
      <c r="N15" s="2"/>
      <c r="O15" s="2"/>
      <c r="P15" s="2">
        <v>1.19</v>
      </c>
      <c r="Q15" s="2">
        <v>0.43</v>
      </c>
      <c r="R15" s="2"/>
      <c r="S15" s="2">
        <v>0.69</v>
      </c>
      <c r="T15" s="2"/>
      <c r="U15" s="2">
        <v>24.2</v>
      </c>
      <c r="V15" s="2">
        <v>5.0599999999999996</v>
      </c>
      <c r="W15" s="2">
        <f t="shared" si="1"/>
        <v>73.27</v>
      </c>
      <c r="X15" s="2"/>
      <c r="Y15" s="2">
        <f>(W15-X17)/X17*100</f>
        <v>37.081384471468645</v>
      </c>
      <c r="Z15" s="2"/>
      <c r="AA15" s="2"/>
      <c r="AB15" s="2">
        <v>20.7</v>
      </c>
      <c r="AC15" s="58">
        <v>16.43</v>
      </c>
      <c r="AD15" s="2"/>
      <c r="AE15" s="2" t="s">
        <v>84</v>
      </c>
      <c r="AF15" s="2"/>
      <c r="AG15" s="2">
        <v>5.82</v>
      </c>
      <c r="AH15" s="2"/>
      <c r="AJ15" s="56"/>
    </row>
    <row r="16" spans="1:36">
      <c r="A16" s="2"/>
      <c r="B16" s="21" t="s">
        <v>86</v>
      </c>
      <c r="C16" s="2"/>
      <c r="D16" s="2">
        <v>4</v>
      </c>
      <c r="E16" s="2">
        <v>0.71</v>
      </c>
      <c r="F16" s="2"/>
      <c r="G16" s="2"/>
      <c r="H16" s="2"/>
      <c r="I16" s="2">
        <v>9.0500000000000007</v>
      </c>
      <c r="J16" s="2"/>
      <c r="K16" s="2"/>
      <c r="L16" s="2">
        <v>8.16</v>
      </c>
      <c r="M16" s="2">
        <v>2.92</v>
      </c>
      <c r="N16" s="2"/>
      <c r="O16" s="2"/>
      <c r="P16" s="2"/>
      <c r="Q16" s="2"/>
      <c r="R16" s="2"/>
      <c r="S16" s="2"/>
      <c r="T16" s="2"/>
      <c r="U16" s="2">
        <v>16.36</v>
      </c>
      <c r="V16" s="2">
        <v>4.3</v>
      </c>
      <c r="W16" s="2">
        <f t="shared" si="1"/>
        <v>41.5</v>
      </c>
      <c r="X16" s="2"/>
      <c r="Y16" s="2">
        <f>(W16-X17)/X17*100</f>
        <v>-22.357343311506085</v>
      </c>
      <c r="Z16" s="2"/>
      <c r="AA16" s="2"/>
      <c r="AB16" s="2">
        <v>8.6999999999999993</v>
      </c>
      <c r="AC16" s="2">
        <v>1.34</v>
      </c>
      <c r="AD16" s="2"/>
      <c r="AE16" s="2"/>
      <c r="AF16" s="2"/>
      <c r="AG16" s="2">
        <v>10.65</v>
      </c>
      <c r="AH16" s="2"/>
      <c r="AJ16" s="56"/>
    </row>
    <row r="17" spans="1:41">
      <c r="A17" s="2"/>
      <c r="B17" s="2"/>
      <c r="C17" s="2"/>
      <c r="D17" s="2">
        <v>5</v>
      </c>
      <c r="E17" s="2">
        <v>0.39</v>
      </c>
      <c r="F17" s="2"/>
      <c r="G17" s="2"/>
      <c r="H17" s="2"/>
      <c r="I17" s="2">
        <v>10.39</v>
      </c>
      <c r="J17" s="2"/>
      <c r="K17" s="2"/>
      <c r="L17" s="2">
        <v>7.84</v>
      </c>
      <c r="M17" s="2">
        <v>1.43</v>
      </c>
      <c r="N17" s="2"/>
      <c r="O17" s="2"/>
      <c r="P17" s="2">
        <v>1.35</v>
      </c>
      <c r="Q17" s="2">
        <v>0.86</v>
      </c>
      <c r="R17" s="2"/>
      <c r="S17" s="2">
        <v>0.48</v>
      </c>
      <c r="T17" s="2"/>
      <c r="U17" s="2">
        <v>20.46</v>
      </c>
      <c r="V17" s="2">
        <v>7.41</v>
      </c>
      <c r="W17" s="2">
        <f t="shared" si="1"/>
        <v>50.61</v>
      </c>
      <c r="X17" s="2">
        <f>AVERAGE(W13:W17)</f>
        <v>53.45</v>
      </c>
      <c r="Y17" s="2">
        <f>(W17-X17)/X17*100</f>
        <v>-5.3133769878391082</v>
      </c>
      <c r="Z17" s="2">
        <f>STDEV(W13:W17)</f>
        <v>13.771969116046298</v>
      </c>
      <c r="AA17" s="2"/>
      <c r="AB17" s="2">
        <v>6.1</v>
      </c>
      <c r="AC17" s="2">
        <v>2.97</v>
      </c>
      <c r="AD17" s="2">
        <f>AVERAGE(AC13:AC17)</f>
        <v>4.5239999999999991</v>
      </c>
      <c r="AE17" s="2"/>
      <c r="AF17" s="2"/>
      <c r="AG17" s="2">
        <v>15.1</v>
      </c>
      <c r="AH17" s="2">
        <f>AVERAGE(AG13:AG17)</f>
        <v>9.7160000000000011</v>
      </c>
      <c r="AJ17" s="56"/>
    </row>
    <row r="18" spans="1:41">
      <c r="A18" s="2"/>
      <c r="B18" s="2"/>
      <c r="C18" s="2">
        <v>4</v>
      </c>
      <c r="D18" s="2">
        <v>1</v>
      </c>
      <c r="E18" s="2"/>
      <c r="F18" s="2"/>
      <c r="G18" s="2">
        <v>0.17</v>
      </c>
      <c r="H18" s="2"/>
      <c r="I18" s="2">
        <v>8.52</v>
      </c>
      <c r="J18" s="2"/>
      <c r="K18" s="2"/>
      <c r="L18" s="2">
        <v>9.9600000000000009</v>
      </c>
      <c r="M18" s="2">
        <v>8.18</v>
      </c>
      <c r="N18" s="2"/>
      <c r="O18" s="2"/>
      <c r="P18" s="2"/>
      <c r="Q18" s="2">
        <v>0.37</v>
      </c>
      <c r="R18" s="2"/>
      <c r="S18" s="2">
        <v>2.72</v>
      </c>
      <c r="T18" s="2"/>
      <c r="U18" s="2">
        <v>6.19</v>
      </c>
      <c r="V18" s="2">
        <v>8.64</v>
      </c>
      <c r="W18" s="2">
        <f t="shared" si="1"/>
        <v>44.75</v>
      </c>
      <c r="X18" s="2"/>
      <c r="Y18" s="2">
        <f>(W18-X22)/X22*100</f>
        <v>-6.130368661177827</v>
      </c>
      <c r="Z18" s="2"/>
      <c r="AA18" s="2"/>
      <c r="AB18" s="2">
        <v>3</v>
      </c>
      <c r="AC18" s="2">
        <v>1.3</v>
      </c>
      <c r="AD18" s="2"/>
      <c r="AE18" s="2"/>
      <c r="AF18" s="2"/>
      <c r="AG18" s="2">
        <v>9.61</v>
      </c>
      <c r="AH18" s="2"/>
      <c r="AJ18" s="56"/>
    </row>
    <row r="19" spans="1:41">
      <c r="A19" s="2"/>
      <c r="B19" s="2"/>
      <c r="C19" s="2"/>
      <c r="D19" s="2">
        <v>2</v>
      </c>
      <c r="E19" s="2"/>
      <c r="F19" s="2"/>
      <c r="G19" s="2">
        <v>0.1</v>
      </c>
      <c r="H19" s="2"/>
      <c r="I19" s="2">
        <v>11.7</v>
      </c>
      <c r="J19" s="2"/>
      <c r="K19" s="2"/>
      <c r="L19" s="2">
        <v>8</v>
      </c>
      <c r="M19" s="2">
        <v>4.3</v>
      </c>
      <c r="N19" s="2"/>
      <c r="O19" s="2"/>
      <c r="P19" s="2">
        <v>1.2</v>
      </c>
      <c r="Q19" s="2">
        <v>0.2</v>
      </c>
      <c r="R19" s="2"/>
      <c r="S19" s="2">
        <v>4.9000000000000004</v>
      </c>
      <c r="T19" s="2"/>
      <c r="U19" s="2">
        <v>10.1</v>
      </c>
      <c r="V19" s="2">
        <v>12.8</v>
      </c>
      <c r="W19" s="2">
        <f t="shared" si="1"/>
        <v>53.3</v>
      </c>
      <c r="X19" s="2"/>
      <c r="Y19" s="2">
        <f>(W19-X22)/X22*100</f>
        <v>11.804499449368079</v>
      </c>
      <c r="Z19" s="2"/>
      <c r="AA19" s="2"/>
      <c r="AB19" s="2">
        <v>3</v>
      </c>
      <c r="AC19" s="2">
        <v>1.38</v>
      </c>
      <c r="AD19" s="2"/>
      <c r="AE19" s="2"/>
      <c r="AF19" s="2"/>
      <c r="AG19" s="2">
        <v>8.65</v>
      </c>
      <c r="AH19" s="2"/>
      <c r="AJ19" s="56"/>
    </row>
    <row r="20" spans="1:41">
      <c r="A20" s="2"/>
      <c r="B20" s="2"/>
      <c r="C20" s="2"/>
      <c r="D20" s="2">
        <v>3</v>
      </c>
      <c r="E20" s="2"/>
      <c r="F20" s="2"/>
      <c r="G20" s="2"/>
      <c r="H20" s="2"/>
      <c r="I20" s="2">
        <v>10.02</v>
      </c>
      <c r="J20" s="2"/>
      <c r="K20" s="2"/>
      <c r="L20" s="2">
        <v>2.84</v>
      </c>
      <c r="M20" s="2">
        <v>8.8699999999999992</v>
      </c>
      <c r="N20" s="2"/>
      <c r="O20" s="2"/>
      <c r="P20" s="2"/>
      <c r="Q20" s="2">
        <v>1.1000000000000001</v>
      </c>
      <c r="R20" s="2"/>
      <c r="S20" s="2">
        <v>0.34</v>
      </c>
      <c r="T20" s="2"/>
      <c r="U20" s="2">
        <v>13.46</v>
      </c>
      <c r="V20" s="2">
        <v>5.28</v>
      </c>
      <c r="W20" s="2">
        <f t="shared" si="1"/>
        <v>41.91</v>
      </c>
      <c r="X20" s="2"/>
      <c r="Y20" s="2">
        <f>(W20-X22)/X22*100</f>
        <v>-12.087681577429342</v>
      </c>
      <c r="Z20" s="2"/>
      <c r="AA20" s="2"/>
      <c r="AB20" s="2">
        <v>10</v>
      </c>
      <c r="AC20" s="2">
        <v>1.48</v>
      </c>
      <c r="AD20" s="2"/>
      <c r="AE20" s="2"/>
      <c r="AF20" s="2"/>
      <c r="AG20" s="2">
        <v>9.58</v>
      </c>
      <c r="AH20" s="2"/>
      <c r="AJ20" s="56"/>
    </row>
    <row r="21" spans="1:41">
      <c r="A21" s="2"/>
      <c r="B21" s="2"/>
      <c r="C21" s="2"/>
      <c r="D21" s="2">
        <v>4</v>
      </c>
      <c r="E21" s="2"/>
      <c r="F21" s="2"/>
      <c r="G21" s="2"/>
      <c r="H21" s="2"/>
      <c r="I21" s="2">
        <v>10.6</v>
      </c>
      <c r="J21" s="2"/>
      <c r="K21" s="2"/>
      <c r="L21" s="2">
        <v>4.97</v>
      </c>
      <c r="M21" s="2">
        <v>4.01</v>
      </c>
      <c r="N21" s="2"/>
      <c r="O21" s="2"/>
      <c r="P21" s="2"/>
      <c r="Q21" s="2"/>
      <c r="R21" s="2"/>
      <c r="S21" s="2">
        <v>3.1</v>
      </c>
      <c r="T21" s="2"/>
      <c r="U21" s="2"/>
      <c r="V21" s="2">
        <v>28.05</v>
      </c>
      <c r="W21" s="2">
        <f t="shared" si="1"/>
        <v>50.730000000000004</v>
      </c>
      <c r="X21" s="2"/>
      <c r="Y21" s="2">
        <f>(W21-X22)/X22*100</f>
        <v>6.4135507892390891</v>
      </c>
      <c r="Z21" s="2"/>
      <c r="AA21" s="2"/>
      <c r="AB21" s="2">
        <v>4.7</v>
      </c>
      <c r="AC21" s="2">
        <v>0.8</v>
      </c>
      <c r="AD21" s="2"/>
      <c r="AE21" s="2"/>
      <c r="AF21" s="2"/>
      <c r="AG21" s="2">
        <v>18.21</v>
      </c>
      <c r="AH21" s="2"/>
      <c r="AJ21" s="56"/>
      <c r="AL21" s="3" t="s">
        <v>89</v>
      </c>
    </row>
    <row r="22" spans="1:41">
      <c r="A22" s="2"/>
      <c r="B22" s="2"/>
      <c r="C22" s="2"/>
      <c r="D22" s="2">
        <v>5</v>
      </c>
      <c r="E22" s="2"/>
      <c r="F22" s="2"/>
      <c r="G22" s="2"/>
      <c r="H22" s="2"/>
      <c r="I22" s="2"/>
      <c r="J22" s="2"/>
      <c r="K22" s="2"/>
      <c r="L22" s="2"/>
      <c r="M22" s="2"/>
      <c r="N22" s="2"/>
      <c r="O22" s="2"/>
      <c r="P22" s="2"/>
      <c r="Q22" s="2"/>
      <c r="R22" s="2"/>
      <c r="S22" s="2"/>
      <c r="T22" s="2"/>
      <c r="U22" s="2"/>
      <c r="V22" s="2"/>
      <c r="W22" s="57"/>
      <c r="X22" s="2">
        <f>AVERAGE(W18:W22)</f>
        <v>47.672499999999999</v>
      </c>
      <c r="Y22" s="2"/>
      <c r="Z22" s="2">
        <f>STDEV(W18:W22)</f>
        <v>5.2524430823506636</v>
      </c>
      <c r="AA22" s="2"/>
      <c r="AB22" s="2">
        <v>9</v>
      </c>
      <c r="AC22" s="2">
        <v>1.06</v>
      </c>
      <c r="AD22" s="2">
        <f>AVERAGE(AC18:AC22)</f>
        <v>1.204</v>
      </c>
      <c r="AE22" s="2"/>
      <c r="AF22" s="2"/>
      <c r="AG22" s="2">
        <v>10.4</v>
      </c>
      <c r="AH22" s="2">
        <f>AVERAGE(AG18:AG22)</f>
        <v>11.29</v>
      </c>
      <c r="AJ22" s="56"/>
      <c r="AL22" s="3" t="s">
        <v>90</v>
      </c>
      <c r="AM22" s="3" t="s">
        <v>91</v>
      </c>
      <c r="AN22" s="3" t="s">
        <v>92</v>
      </c>
      <c r="AO22" s="3" t="s">
        <v>93</v>
      </c>
    </row>
    <row r="23" spans="1:41">
      <c r="A23" s="2" t="s">
        <v>78</v>
      </c>
      <c r="B23" s="2" t="s">
        <v>94</v>
      </c>
      <c r="C23" s="2">
        <v>1</v>
      </c>
      <c r="D23" s="2">
        <v>1</v>
      </c>
      <c r="E23" s="2"/>
      <c r="F23" s="2"/>
      <c r="G23" s="2"/>
      <c r="H23" s="2"/>
      <c r="I23" s="2">
        <v>25.66</v>
      </c>
      <c r="J23" s="2"/>
      <c r="K23" s="2"/>
      <c r="L23" s="2">
        <v>2.99</v>
      </c>
      <c r="M23" s="2">
        <v>18.71</v>
      </c>
      <c r="N23" s="2"/>
      <c r="O23" s="2"/>
      <c r="P23" s="2"/>
      <c r="Q23" s="2"/>
      <c r="R23" s="2"/>
      <c r="S23" s="2">
        <v>0.13</v>
      </c>
      <c r="T23" s="2"/>
      <c r="U23" s="2">
        <v>7.91</v>
      </c>
      <c r="V23" s="2">
        <v>2.11</v>
      </c>
      <c r="W23" s="2">
        <f t="shared" ref="W23:W49" si="2">SUM(E23:V23)</f>
        <v>57.510000000000005</v>
      </c>
      <c r="X23" s="2"/>
      <c r="Y23" s="2">
        <f>(W23-X27)/X27*100</f>
        <v>20.819327731092443</v>
      </c>
      <c r="Z23" s="2"/>
      <c r="AA23" s="2"/>
      <c r="AB23" s="2">
        <v>6.6</v>
      </c>
      <c r="AC23" s="2">
        <v>2.12</v>
      </c>
      <c r="AD23" s="2"/>
      <c r="AE23" s="2"/>
      <c r="AF23" s="2"/>
      <c r="AG23" s="2">
        <v>0.52</v>
      </c>
      <c r="AH23" s="2"/>
      <c r="AI23" s="56"/>
      <c r="AJ23" s="56"/>
      <c r="AK23" s="3">
        <v>2010</v>
      </c>
      <c r="AL23" s="3">
        <v>57.510000000000005</v>
      </c>
      <c r="AM23" s="3">
        <v>45.58</v>
      </c>
      <c r="AN23" s="3">
        <v>69.47</v>
      </c>
      <c r="AO23" s="3">
        <v>54.36</v>
      </c>
    </row>
    <row r="24" spans="1:41">
      <c r="A24" s="2"/>
      <c r="B24" s="2"/>
      <c r="C24" s="2"/>
      <c r="D24" s="2">
        <v>2</v>
      </c>
      <c r="E24" s="2"/>
      <c r="F24" s="2"/>
      <c r="G24" s="2"/>
      <c r="H24" s="2"/>
      <c r="I24" s="2">
        <v>29.51</v>
      </c>
      <c r="J24" s="2"/>
      <c r="K24" s="2"/>
      <c r="L24" s="2">
        <v>1.72</v>
      </c>
      <c r="M24" s="2">
        <v>10.65</v>
      </c>
      <c r="N24" s="2"/>
      <c r="O24" s="2"/>
      <c r="P24" s="2"/>
      <c r="Q24" s="2">
        <v>0.24</v>
      </c>
      <c r="R24" s="2"/>
      <c r="S24" s="2">
        <v>0.27</v>
      </c>
      <c r="T24" s="2"/>
      <c r="U24" s="2">
        <v>6.63</v>
      </c>
      <c r="V24" s="2">
        <v>0.53</v>
      </c>
      <c r="W24" s="2">
        <f t="shared" si="2"/>
        <v>49.550000000000011</v>
      </c>
      <c r="X24" s="2"/>
      <c r="Y24" s="2">
        <f>(W24-X27)/X27*100</f>
        <v>4.0966386554622058</v>
      </c>
      <c r="Z24" s="2"/>
      <c r="AA24" s="2"/>
      <c r="AB24" s="2">
        <v>3.5</v>
      </c>
      <c r="AC24" s="2">
        <v>1.97</v>
      </c>
      <c r="AD24" s="2"/>
      <c r="AE24" s="2"/>
      <c r="AF24" s="2"/>
      <c r="AG24" s="2">
        <v>4.63</v>
      </c>
      <c r="AH24" s="2"/>
      <c r="AI24" s="56"/>
      <c r="AJ24" s="56"/>
      <c r="AL24" s="3">
        <v>49.550000000000011</v>
      </c>
      <c r="AM24" s="3">
        <v>58.150000000000006</v>
      </c>
      <c r="AN24" s="3">
        <v>72.61</v>
      </c>
      <c r="AO24" s="3">
        <v>56.43</v>
      </c>
    </row>
    <row r="25" spans="1:41">
      <c r="A25" s="2"/>
      <c r="B25" s="2"/>
      <c r="C25" s="2"/>
      <c r="D25" s="2">
        <v>3</v>
      </c>
      <c r="E25" s="2"/>
      <c r="F25" s="2"/>
      <c r="G25" s="2"/>
      <c r="H25" s="2"/>
      <c r="I25" s="2">
        <v>19.5</v>
      </c>
      <c r="J25" s="2"/>
      <c r="K25" s="2"/>
      <c r="L25" s="2">
        <v>1.86</v>
      </c>
      <c r="M25" s="2">
        <v>15.21</v>
      </c>
      <c r="N25" s="2"/>
      <c r="O25" s="2"/>
      <c r="P25" s="2"/>
      <c r="Q25" s="2">
        <v>1.69</v>
      </c>
      <c r="R25" s="2"/>
      <c r="S25" s="2">
        <v>0.73</v>
      </c>
      <c r="T25" s="2"/>
      <c r="U25" s="2">
        <v>6.44</v>
      </c>
      <c r="V25" s="2"/>
      <c r="W25" s="2">
        <f t="shared" si="2"/>
        <v>45.429999999999993</v>
      </c>
      <c r="X25" s="2"/>
      <c r="Y25" s="2">
        <f>(W25-X27)/X27*100</f>
        <v>-4.5588235294117831</v>
      </c>
      <c r="Z25" s="2"/>
      <c r="AA25" s="2"/>
      <c r="AB25" s="2">
        <v>4.8</v>
      </c>
      <c r="AC25" s="2">
        <v>1.83</v>
      </c>
      <c r="AD25" s="2"/>
      <c r="AE25" s="2"/>
      <c r="AF25" s="2"/>
      <c r="AG25" s="2">
        <v>10.34</v>
      </c>
      <c r="AH25" s="2"/>
      <c r="AI25" s="56"/>
      <c r="AJ25" s="56"/>
      <c r="AL25" s="3">
        <v>45.429999999999993</v>
      </c>
      <c r="AM25" s="3">
        <v>59.129999999999995</v>
      </c>
      <c r="AN25" s="3">
        <v>58.350000000000009</v>
      </c>
      <c r="AO25" s="3">
        <v>47.559999999999988</v>
      </c>
    </row>
    <row r="26" spans="1:41">
      <c r="A26" s="2"/>
      <c r="B26" s="2"/>
      <c r="C26" s="2"/>
      <c r="D26" s="2">
        <v>4</v>
      </c>
      <c r="E26" s="2"/>
      <c r="F26" s="2"/>
      <c r="G26" s="2"/>
      <c r="H26" s="2"/>
      <c r="I26" s="2">
        <v>23.36</v>
      </c>
      <c r="J26" s="2"/>
      <c r="K26" s="2"/>
      <c r="L26" s="2">
        <v>4.01</v>
      </c>
      <c r="M26" s="2">
        <v>10.36</v>
      </c>
      <c r="N26" s="2"/>
      <c r="O26" s="2"/>
      <c r="P26" s="2"/>
      <c r="Q26" s="2"/>
      <c r="R26" s="2"/>
      <c r="S26" s="2">
        <v>0.5</v>
      </c>
      <c r="T26" s="2"/>
      <c r="U26" s="2">
        <v>8.6</v>
      </c>
      <c r="V26" s="2">
        <v>0.71</v>
      </c>
      <c r="W26" s="2">
        <f t="shared" si="2"/>
        <v>47.54</v>
      </c>
      <c r="X26" s="2"/>
      <c r="Y26" s="2">
        <f>(W26-X27)/X27*100</f>
        <v>-0.126050420168072</v>
      </c>
      <c r="Z26" s="2"/>
      <c r="AA26" s="2"/>
      <c r="AB26" s="2">
        <v>2.9</v>
      </c>
      <c r="AC26" s="2">
        <v>0.2</v>
      </c>
      <c r="AD26" s="2"/>
      <c r="AE26" s="2"/>
      <c r="AF26" s="2"/>
      <c r="AG26" s="2">
        <v>6.39</v>
      </c>
      <c r="AH26" s="2"/>
      <c r="AI26" s="56"/>
      <c r="AJ26" s="56"/>
      <c r="AL26" s="3">
        <v>47.54</v>
      </c>
      <c r="AM26" s="3">
        <v>56.480000000000004</v>
      </c>
      <c r="AN26" s="3">
        <v>66.600000000000009</v>
      </c>
      <c r="AO26" s="3">
        <v>56.54</v>
      </c>
    </row>
    <row r="27" spans="1:41">
      <c r="A27" s="2"/>
      <c r="B27" s="2"/>
      <c r="C27" s="2"/>
      <c r="D27" s="2">
        <v>5</v>
      </c>
      <c r="E27" s="2"/>
      <c r="F27" s="2"/>
      <c r="G27" s="2"/>
      <c r="H27" s="2"/>
      <c r="I27" s="2">
        <v>28.27</v>
      </c>
      <c r="J27" s="2"/>
      <c r="K27" s="2"/>
      <c r="L27" s="2">
        <v>2.79</v>
      </c>
      <c r="M27" s="2">
        <v>2.2799999999999998</v>
      </c>
      <c r="N27" s="2"/>
      <c r="O27" s="2"/>
      <c r="P27" s="2"/>
      <c r="Q27" s="2"/>
      <c r="R27" s="2"/>
      <c r="S27" s="2">
        <v>0.33</v>
      </c>
      <c r="T27" s="2"/>
      <c r="U27" s="2">
        <v>4.3</v>
      </c>
      <c r="V27" s="2"/>
      <c r="W27" s="2">
        <f t="shared" si="2"/>
        <v>37.969999999999992</v>
      </c>
      <c r="X27" s="2">
        <f>AVERAGE(W23:W27)</f>
        <v>47.6</v>
      </c>
      <c r="Y27" s="2">
        <f>(W27-X27)/X27*100</f>
        <v>-20.231092436974809</v>
      </c>
      <c r="Z27" s="2">
        <f>STDEV(W23:W27)</f>
        <v>7.0615154180955164</v>
      </c>
      <c r="AA27" s="2"/>
      <c r="AB27" s="2">
        <v>9.1999999999999993</v>
      </c>
      <c r="AC27" s="2">
        <v>1.2</v>
      </c>
      <c r="AD27" s="2">
        <f>AVERAGE(AC23:AC27)</f>
        <v>1.464</v>
      </c>
      <c r="AE27" s="2"/>
      <c r="AF27" s="2"/>
      <c r="AG27" s="2">
        <v>10.42</v>
      </c>
      <c r="AH27" s="2">
        <f>AVERAGE(AG23:AG27)</f>
        <v>6.4599999999999991</v>
      </c>
      <c r="AI27" s="56"/>
      <c r="AJ27" s="56"/>
      <c r="AL27" s="3">
        <v>37.969999999999992</v>
      </c>
      <c r="AM27" s="3">
        <v>46.82</v>
      </c>
      <c r="AN27" s="3">
        <v>44.029999999999994</v>
      </c>
      <c r="AO27" s="3">
        <v>66.219999999999985</v>
      </c>
    </row>
    <row r="28" spans="1:41">
      <c r="A28" s="2"/>
      <c r="B28" s="2"/>
      <c r="C28" s="2">
        <v>2</v>
      </c>
      <c r="D28" s="2">
        <v>1</v>
      </c>
      <c r="E28" s="2"/>
      <c r="F28" s="2"/>
      <c r="G28" s="2"/>
      <c r="H28" s="2"/>
      <c r="I28" s="2">
        <v>26.05</v>
      </c>
      <c r="J28" s="2"/>
      <c r="K28" s="2"/>
      <c r="L28" s="2">
        <v>6.71</v>
      </c>
      <c r="M28" s="2">
        <v>0.76</v>
      </c>
      <c r="N28" s="2"/>
      <c r="O28" s="2"/>
      <c r="P28" s="2"/>
      <c r="Q28" s="2"/>
      <c r="R28" s="2"/>
      <c r="S28" s="2">
        <v>0.17</v>
      </c>
      <c r="T28" s="2"/>
      <c r="U28" s="2">
        <v>11.61</v>
      </c>
      <c r="V28" s="2">
        <v>0.28000000000000003</v>
      </c>
      <c r="W28" s="2">
        <f t="shared" si="2"/>
        <v>45.58</v>
      </c>
      <c r="X28" s="2"/>
      <c r="Y28" s="2">
        <f>(W28-X32)/X32*100</f>
        <v>-14.37481214307185</v>
      </c>
      <c r="Z28" s="2"/>
      <c r="AA28" s="2"/>
      <c r="AB28" s="2">
        <v>23.7</v>
      </c>
      <c r="AC28" s="2">
        <v>1.54</v>
      </c>
      <c r="AD28" s="2"/>
      <c r="AE28" s="2"/>
      <c r="AF28" s="2"/>
      <c r="AG28" s="59">
        <v>10.58</v>
      </c>
      <c r="AH28" s="2"/>
      <c r="AI28" s="56"/>
      <c r="AJ28" s="56"/>
      <c r="AK28" s="3">
        <v>2011</v>
      </c>
      <c r="AL28" s="3">
        <v>42.4</v>
      </c>
      <c r="AM28" s="3">
        <v>50.8</v>
      </c>
      <c r="AN28" s="3">
        <v>68.5</v>
      </c>
      <c r="AO28" s="3">
        <v>57.6</v>
      </c>
    </row>
    <row r="29" spans="1:41">
      <c r="A29" s="2"/>
      <c r="B29" s="2"/>
      <c r="C29" s="2"/>
      <c r="D29" s="2">
        <v>2</v>
      </c>
      <c r="E29" s="2">
        <v>0.2</v>
      </c>
      <c r="F29" s="2"/>
      <c r="G29" s="2"/>
      <c r="H29" s="2"/>
      <c r="I29" s="2">
        <v>17.89</v>
      </c>
      <c r="J29" s="2"/>
      <c r="K29" s="2"/>
      <c r="L29" s="2">
        <v>16.75</v>
      </c>
      <c r="M29" s="2">
        <v>4.8099999999999996</v>
      </c>
      <c r="N29" s="2"/>
      <c r="O29" s="2">
        <v>0.48</v>
      </c>
      <c r="P29" s="2"/>
      <c r="Q29" s="2">
        <v>0.14000000000000001</v>
      </c>
      <c r="R29" s="2"/>
      <c r="S29" s="2">
        <v>0.28000000000000003</v>
      </c>
      <c r="T29" s="2"/>
      <c r="U29" s="2">
        <v>14.49</v>
      </c>
      <c r="V29" s="2">
        <v>3.11</v>
      </c>
      <c r="W29" s="2">
        <f t="shared" si="2"/>
        <v>58.150000000000006</v>
      </c>
      <c r="X29" s="2"/>
      <c r="Y29" s="2">
        <f>(W29-X32)/X32*100</f>
        <v>9.2388037270814518</v>
      </c>
      <c r="Z29" s="2"/>
      <c r="AA29" s="2"/>
      <c r="AB29" s="2">
        <v>7</v>
      </c>
      <c r="AC29" s="2">
        <v>5.48</v>
      </c>
      <c r="AD29" s="2"/>
      <c r="AE29" s="2"/>
      <c r="AF29" s="2"/>
      <c r="AG29" s="21">
        <v>8.82</v>
      </c>
      <c r="AH29" s="2"/>
      <c r="AI29" s="56"/>
      <c r="AJ29" s="56"/>
      <c r="AL29" s="3">
        <v>86.7</v>
      </c>
      <c r="AM29" s="3">
        <v>62.8</v>
      </c>
      <c r="AN29" s="3">
        <v>41.9</v>
      </c>
      <c r="AO29" s="3">
        <v>50.1</v>
      </c>
    </row>
    <row r="30" spans="1:41">
      <c r="A30" s="2"/>
      <c r="B30" s="2"/>
      <c r="C30" s="2"/>
      <c r="D30" s="2">
        <v>3</v>
      </c>
      <c r="E30" s="2"/>
      <c r="F30" s="2"/>
      <c r="G30" s="2"/>
      <c r="H30" s="2"/>
      <c r="I30" s="2">
        <v>9.5</v>
      </c>
      <c r="J30" s="2"/>
      <c r="K30" s="2"/>
      <c r="L30" s="2">
        <v>6.87</v>
      </c>
      <c r="M30" s="2">
        <v>26.45</v>
      </c>
      <c r="N30" s="2"/>
      <c r="O30" s="2"/>
      <c r="P30" s="2"/>
      <c r="Q30" s="2"/>
      <c r="R30" s="2"/>
      <c r="S30" s="2"/>
      <c r="T30" s="2"/>
      <c r="U30" s="2">
        <v>11.98</v>
      </c>
      <c r="V30" s="2">
        <v>4.33</v>
      </c>
      <c r="W30" s="2">
        <f t="shared" si="2"/>
        <v>59.129999999999995</v>
      </c>
      <c r="X30" s="2"/>
      <c r="Y30" s="2">
        <f>(W30-X32)/X32*100</f>
        <v>11.079801623083837</v>
      </c>
      <c r="Z30" s="2"/>
      <c r="AA30" s="2"/>
      <c r="AB30" s="2">
        <v>5.7</v>
      </c>
      <c r="AC30" s="2">
        <v>2.46</v>
      </c>
      <c r="AD30" s="2"/>
      <c r="AE30" s="2"/>
      <c r="AF30" s="2"/>
      <c r="AG30" s="21">
        <v>1.38</v>
      </c>
      <c r="AH30" s="2"/>
      <c r="AI30" s="56"/>
      <c r="AJ30" s="56"/>
      <c r="AL30" s="3">
        <v>53.7</v>
      </c>
      <c r="AM30" s="3">
        <v>74.900000000000006</v>
      </c>
      <c r="AN30" s="3">
        <v>54.5</v>
      </c>
      <c r="AO30" s="3">
        <v>50.8</v>
      </c>
    </row>
    <row r="31" spans="1:41">
      <c r="A31" s="2"/>
      <c r="B31" s="2"/>
      <c r="C31" s="2"/>
      <c r="D31" s="2">
        <v>4</v>
      </c>
      <c r="E31" s="2"/>
      <c r="F31" s="2"/>
      <c r="G31" s="2"/>
      <c r="H31" s="2"/>
      <c r="I31" s="2">
        <v>11.75</v>
      </c>
      <c r="J31" s="2"/>
      <c r="K31" s="2"/>
      <c r="L31" s="2">
        <v>10.37</v>
      </c>
      <c r="M31" s="2">
        <v>9.36</v>
      </c>
      <c r="N31" s="2"/>
      <c r="O31" s="2"/>
      <c r="P31" s="2"/>
      <c r="Q31" s="2">
        <v>1.01</v>
      </c>
      <c r="R31" s="2"/>
      <c r="S31" s="2">
        <v>1.0900000000000001</v>
      </c>
      <c r="T31" s="2"/>
      <c r="U31" s="2">
        <v>19.2</v>
      </c>
      <c r="V31" s="2">
        <v>3.7</v>
      </c>
      <c r="W31" s="2">
        <f t="shared" si="2"/>
        <v>56.480000000000004</v>
      </c>
      <c r="X31" s="2"/>
      <c r="Y31" s="2">
        <f>(W31-X32)/X32*100</f>
        <v>6.1015930267508214</v>
      </c>
      <c r="Z31" s="2"/>
      <c r="AA31" s="2"/>
      <c r="AB31" s="2">
        <v>7.5</v>
      </c>
      <c r="AC31" s="2">
        <v>1.93</v>
      </c>
      <c r="AD31" s="2"/>
      <c r="AE31" s="2"/>
      <c r="AF31" s="2"/>
      <c r="AG31" s="21">
        <v>7.09</v>
      </c>
      <c r="AH31" s="2"/>
      <c r="AI31" s="56"/>
      <c r="AJ31" s="56"/>
      <c r="AL31" s="3">
        <v>86.7</v>
      </c>
      <c r="AM31" s="3">
        <v>24</v>
      </c>
      <c r="AN31" s="3">
        <v>64.599999999999994</v>
      </c>
      <c r="AO31" s="3">
        <v>41.3</v>
      </c>
    </row>
    <row r="32" spans="1:41">
      <c r="A32" s="2"/>
      <c r="B32" s="2"/>
      <c r="C32" s="2"/>
      <c r="D32" s="2">
        <v>5</v>
      </c>
      <c r="E32" s="2"/>
      <c r="F32" s="2"/>
      <c r="G32" s="2"/>
      <c r="H32" s="2"/>
      <c r="I32" s="2">
        <v>8.41</v>
      </c>
      <c r="J32" s="2"/>
      <c r="K32" s="2"/>
      <c r="L32" s="2">
        <v>4.12</v>
      </c>
      <c r="M32" s="2">
        <v>29.89</v>
      </c>
      <c r="N32" s="2"/>
      <c r="O32" s="2">
        <v>0.01</v>
      </c>
      <c r="P32" s="2"/>
      <c r="Q32" s="2"/>
      <c r="R32" s="2"/>
      <c r="S32" s="2">
        <v>1.82</v>
      </c>
      <c r="T32" s="2"/>
      <c r="U32" s="2">
        <v>2.57</v>
      </c>
      <c r="V32" s="2"/>
      <c r="W32" s="2">
        <f t="shared" si="2"/>
        <v>46.82</v>
      </c>
      <c r="X32" s="2">
        <f>AVERAGE(W28:W32)</f>
        <v>53.232000000000006</v>
      </c>
      <c r="Y32" s="2">
        <f>(W32-X32)/X32*100</f>
        <v>-12.045386233844315</v>
      </c>
      <c r="Z32" s="2">
        <f>STDEV(W28:W32)</f>
        <v>6.5036428253709717</v>
      </c>
      <c r="AA32" s="2"/>
      <c r="AB32" s="2">
        <v>2.4</v>
      </c>
      <c r="AC32" s="2">
        <v>1.35</v>
      </c>
      <c r="AD32" s="2">
        <f>AVERAGE(AC28:AC32)</f>
        <v>2.552</v>
      </c>
      <c r="AE32" s="2"/>
      <c r="AF32" s="2"/>
      <c r="AG32" s="21">
        <v>1.1000000000000001</v>
      </c>
      <c r="AH32" s="2">
        <f>AVERAGE(AG28:AG32)</f>
        <v>5.7939999999999996</v>
      </c>
      <c r="AI32" s="56"/>
      <c r="AJ32" s="56"/>
      <c r="AL32" s="3">
        <v>92.8</v>
      </c>
      <c r="AM32" s="3">
        <v>41.5</v>
      </c>
      <c r="AN32" s="3">
        <v>64.3</v>
      </c>
      <c r="AO32" s="3">
        <v>52.4</v>
      </c>
    </row>
    <row r="33" spans="1:41">
      <c r="A33" s="2"/>
      <c r="B33" s="2"/>
      <c r="C33" s="2">
        <v>3</v>
      </c>
      <c r="D33" s="2">
        <v>1</v>
      </c>
      <c r="E33" s="2"/>
      <c r="F33" s="2"/>
      <c r="G33" s="2"/>
      <c r="H33" s="2"/>
      <c r="I33" s="2">
        <v>21.36</v>
      </c>
      <c r="J33" s="2"/>
      <c r="K33" s="2"/>
      <c r="L33" s="2">
        <v>5.51</v>
      </c>
      <c r="M33" s="2">
        <v>9.16</v>
      </c>
      <c r="N33" s="2"/>
      <c r="O33" s="2">
        <v>0.66</v>
      </c>
      <c r="P33" s="2">
        <v>0.08</v>
      </c>
      <c r="Q33" s="2">
        <v>1.84</v>
      </c>
      <c r="R33" s="2"/>
      <c r="S33" s="2">
        <v>5.43</v>
      </c>
      <c r="T33" s="2"/>
      <c r="U33" s="2">
        <v>21.66</v>
      </c>
      <c r="V33" s="2">
        <v>3.77</v>
      </c>
      <c r="W33" s="2">
        <f t="shared" si="2"/>
        <v>69.47</v>
      </c>
      <c r="X33" s="2"/>
      <c r="Y33" s="2">
        <f>(W33-X37)/X37*100</f>
        <v>11.666559506204582</v>
      </c>
      <c r="Z33" s="2"/>
      <c r="AA33" s="2"/>
      <c r="AB33" s="2">
        <v>3</v>
      </c>
      <c r="AC33" s="2">
        <v>6.9</v>
      </c>
      <c r="AD33" s="2"/>
      <c r="AE33" s="2"/>
      <c r="AF33" s="2"/>
      <c r="AG33" s="2">
        <v>14.84</v>
      </c>
      <c r="AH33" s="2"/>
      <c r="AI33" s="56"/>
      <c r="AJ33" s="56"/>
      <c r="AK33" s="3">
        <v>2012</v>
      </c>
      <c r="AL33" s="2">
        <v>75.949999999999989</v>
      </c>
      <c r="AM33" s="2">
        <v>63.9</v>
      </c>
      <c r="AN33" s="2">
        <v>79.13</v>
      </c>
      <c r="AO33" s="2">
        <v>67.47</v>
      </c>
    </row>
    <row r="34" spans="1:41">
      <c r="A34" s="2"/>
      <c r="B34" s="2"/>
      <c r="C34" s="2"/>
      <c r="D34" s="2">
        <v>2</v>
      </c>
      <c r="E34" s="2"/>
      <c r="F34" s="2"/>
      <c r="G34" s="2"/>
      <c r="H34" s="2"/>
      <c r="I34" s="2">
        <v>13.91</v>
      </c>
      <c r="J34" s="2"/>
      <c r="K34" s="2"/>
      <c r="L34" s="2">
        <v>1.68</v>
      </c>
      <c r="M34" s="2">
        <v>46.57</v>
      </c>
      <c r="N34" s="2"/>
      <c r="O34" s="2"/>
      <c r="P34" s="2"/>
      <c r="Q34" s="2">
        <v>1.54</v>
      </c>
      <c r="R34" s="2"/>
      <c r="S34" s="2">
        <v>0.8</v>
      </c>
      <c r="T34" s="2"/>
      <c r="U34" s="2">
        <v>5.46</v>
      </c>
      <c r="V34" s="2">
        <v>2.65</v>
      </c>
      <c r="W34" s="2">
        <f t="shared" si="2"/>
        <v>72.61</v>
      </c>
      <c r="X34" s="2"/>
      <c r="Y34" s="2">
        <f>(W34-X37)/X37*100</f>
        <v>16.713817269980062</v>
      </c>
      <c r="Z34" s="2"/>
      <c r="AA34" s="2"/>
      <c r="AB34" s="2">
        <v>7</v>
      </c>
      <c r="AC34" s="2">
        <v>4.0199999999999996</v>
      </c>
      <c r="AD34" s="2"/>
      <c r="AE34" s="2"/>
      <c r="AF34" s="2"/>
      <c r="AG34" s="2">
        <v>6.58</v>
      </c>
      <c r="AH34" s="2"/>
      <c r="AI34" s="56"/>
      <c r="AJ34" s="56"/>
      <c r="AL34" s="2">
        <v>50.03</v>
      </c>
      <c r="AM34" s="2">
        <v>69.08</v>
      </c>
      <c r="AN34" s="2">
        <v>46.47</v>
      </c>
      <c r="AO34" s="2">
        <v>48.190000000000005</v>
      </c>
    </row>
    <row r="35" spans="1:41">
      <c r="A35" s="2"/>
      <c r="B35" s="2"/>
      <c r="C35" s="2"/>
      <c r="D35" s="2">
        <v>3</v>
      </c>
      <c r="E35" s="2">
        <v>0.14000000000000001</v>
      </c>
      <c r="F35" s="2"/>
      <c r="G35" s="2"/>
      <c r="H35" s="2"/>
      <c r="I35" s="2">
        <v>27.1</v>
      </c>
      <c r="J35" s="2"/>
      <c r="K35" s="2"/>
      <c r="L35" s="2">
        <v>1.63</v>
      </c>
      <c r="M35" s="2">
        <v>6.53</v>
      </c>
      <c r="N35" s="2"/>
      <c r="O35" s="2">
        <v>0.44</v>
      </c>
      <c r="P35" s="2"/>
      <c r="Q35" s="2">
        <v>11.02</v>
      </c>
      <c r="R35" s="2"/>
      <c r="S35" s="2">
        <v>0.95</v>
      </c>
      <c r="T35" s="2"/>
      <c r="U35" s="2">
        <v>4.09</v>
      </c>
      <c r="V35" s="2">
        <v>6.45</v>
      </c>
      <c r="W35" s="2">
        <f t="shared" si="2"/>
        <v>58.350000000000009</v>
      </c>
      <c r="X35" s="2"/>
      <c r="Y35" s="2">
        <f>(W35-X37)/X37*100</f>
        <v>-6.2078055680576005</v>
      </c>
      <c r="Z35" s="2"/>
      <c r="AA35" s="2"/>
      <c r="AB35" s="2">
        <v>4.8</v>
      </c>
      <c r="AC35" s="2">
        <v>3.37</v>
      </c>
      <c r="AD35" s="2"/>
      <c r="AE35" s="2"/>
      <c r="AF35" s="2"/>
      <c r="AG35" s="2">
        <v>6.14</v>
      </c>
      <c r="AH35" s="2"/>
      <c r="AI35" s="56"/>
      <c r="AJ35" s="56"/>
      <c r="AL35" s="2">
        <v>74</v>
      </c>
      <c r="AM35" s="2">
        <v>72.36999999999999</v>
      </c>
      <c r="AN35" s="2">
        <v>57.49</v>
      </c>
      <c r="AO35" s="2">
        <v>65.849999999999994</v>
      </c>
    </row>
    <row r="36" spans="1:41">
      <c r="A36" s="2"/>
      <c r="B36" s="2"/>
      <c r="C36" s="2"/>
      <c r="D36" s="2">
        <v>4</v>
      </c>
      <c r="E36" s="2">
        <v>0.84</v>
      </c>
      <c r="F36" s="2"/>
      <c r="G36" s="2"/>
      <c r="H36" s="2"/>
      <c r="I36" s="2">
        <v>19.93</v>
      </c>
      <c r="J36" s="2"/>
      <c r="K36" s="2"/>
      <c r="L36" s="2">
        <v>5</v>
      </c>
      <c r="M36" s="2">
        <v>13.7</v>
      </c>
      <c r="N36" s="2"/>
      <c r="O36" s="2"/>
      <c r="P36" s="2"/>
      <c r="Q36" s="2">
        <v>2.3199999999999998</v>
      </c>
      <c r="R36" s="2"/>
      <c r="S36" s="2">
        <v>0.99</v>
      </c>
      <c r="T36" s="2"/>
      <c r="U36" s="2">
        <v>20.12</v>
      </c>
      <c r="V36" s="2">
        <v>3.7</v>
      </c>
      <c r="W36" s="2">
        <f t="shared" si="2"/>
        <v>66.600000000000009</v>
      </c>
      <c r="X36" s="2"/>
      <c r="Y36" s="2">
        <f>(W36-X37)/X37*100</f>
        <v>7.0533016138365667</v>
      </c>
      <c r="Z36" s="2"/>
      <c r="AA36" s="2"/>
      <c r="AB36" s="2">
        <v>12.1</v>
      </c>
      <c r="AC36" s="2">
        <v>4.43</v>
      </c>
      <c r="AD36" s="2"/>
      <c r="AE36" s="2"/>
      <c r="AF36" s="2"/>
      <c r="AG36" s="2">
        <v>6.05</v>
      </c>
      <c r="AH36" s="2"/>
      <c r="AI36" s="56"/>
      <c r="AJ36" s="56"/>
      <c r="AL36" s="2">
        <v>50.46</v>
      </c>
      <c r="AM36" s="2">
        <v>66.86999999999999</v>
      </c>
      <c r="AN36" s="2">
        <v>68.569999999999993</v>
      </c>
      <c r="AO36" s="2">
        <v>62.79</v>
      </c>
    </row>
    <row r="37" spans="1:41">
      <c r="A37" s="2"/>
      <c r="B37" s="2"/>
      <c r="C37" s="2"/>
      <c r="D37" s="2">
        <v>5</v>
      </c>
      <c r="E37" s="2">
        <v>0.75</v>
      </c>
      <c r="F37" s="2"/>
      <c r="G37" s="2"/>
      <c r="H37" s="2"/>
      <c r="I37" s="2">
        <v>19.77</v>
      </c>
      <c r="J37" s="2"/>
      <c r="K37" s="2"/>
      <c r="L37" s="2">
        <v>8.17</v>
      </c>
      <c r="M37" s="2">
        <v>7.01</v>
      </c>
      <c r="N37" s="2"/>
      <c r="O37" s="2"/>
      <c r="P37" s="2"/>
      <c r="Q37" s="2">
        <v>1.62</v>
      </c>
      <c r="R37" s="2"/>
      <c r="S37" s="2"/>
      <c r="T37" s="2"/>
      <c r="U37" s="2">
        <v>4.93</v>
      </c>
      <c r="V37" s="2">
        <v>1.78</v>
      </c>
      <c r="W37" s="2">
        <f t="shared" si="2"/>
        <v>44.029999999999994</v>
      </c>
      <c r="X37" s="2">
        <f>AVERAGE(W33:W37)</f>
        <v>62.212000000000003</v>
      </c>
      <c r="Y37" s="2">
        <f>(W37-X37)/X37*100</f>
        <v>-29.225872821963623</v>
      </c>
      <c r="Z37" s="2">
        <f>STDEV(W33:W37)</f>
        <v>11.462456979199535</v>
      </c>
      <c r="AA37" s="2"/>
      <c r="AB37" s="2">
        <v>2.2999999999999998</v>
      </c>
      <c r="AC37" s="2">
        <v>0.73</v>
      </c>
      <c r="AD37" s="2">
        <f>AVERAGE(AC33:AC37)</f>
        <v>3.8899999999999997</v>
      </c>
      <c r="AE37" s="2"/>
      <c r="AF37" s="2"/>
      <c r="AG37" s="2">
        <v>3.92</v>
      </c>
      <c r="AH37" s="2">
        <f>AVERAGE(AG33:AG37)</f>
        <v>7.5060000000000002</v>
      </c>
      <c r="AI37" s="56"/>
      <c r="AJ37" s="56"/>
      <c r="AL37" s="2">
        <v>41.29</v>
      </c>
      <c r="AM37" s="2">
        <v>42.84</v>
      </c>
      <c r="AN37" s="2">
        <v>73.5</v>
      </c>
      <c r="AO37" s="2">
        <v>62.390000000000008</v>
      </c>
    </row>
    <row r="38" spans="1:41">
      <c r="A38" s="2"/>
      <c r="B38" s="2"/>
      <c r="C38" s="2">
        <v>4</v>
      </c>
      <c r="D38" s="2">
        <v>1</v>
      </c>
      <c r="E38" s="2"/>
      <c r="F38" s="2"/>
      <c r="G38" s="2"/>
      <c r="H38" s="2"/>
      <c r="I38" s="2">
        <v>8.9</v>
      </c>
      <c r="J38" s="2"/>
      <c r="K38" s="2"/>
      <c r="L38" s="2">
        <v>3.07</v>
      </c>
      <c r="M38" s="2">
        <v>11.31</v>
      </c>
      <c r="N38" s="2"/>
      <c r="O38" s="2"/>
      <c r="P38" s="2"/>
      <c r="Q38" s="2">
        <v>4.75</v>
      </c>
      <c r="R38" s="2"/>
      <c r="S38" s="2">
        <v>7.38</v>
      </c>
      <c r="T38" s="2"/>
      <c r="U38" s="2">
        <v>18.95</v>
      </c>
      <c r="V38" s="2"/>
      <c r="W38" s="2">
        <f t="shared" si="2"/>
        <v>54.36</v>
      </c>
      <c r="X38" s="2"/>
      <c r="Y38" s="2">
        <f>(W38-X42)/X42*100</f>
        <v>-3.3118707979082833</v>
      </c>
      <c r="Z38" s="2"/>
      <c r="AA38" s="2"/>
      <c r="AB38" s="2">
        <v>6.7</v>
      </c>
      <c r="AC38" s="2">
        <v>2.95</v>
      </c>
      <c r="AD38" s="2"/>
      <c r="AE38" s="2"/>
      <c r="AF38" s="2"/>
      <c r="AG38" s="2">
        <v>7.34</v>
      </c>
      <c r="AH38" s="2"/>
      <c r="AI38" s="56"/>
      <c r="AJ38" s="56"/>
      <c r="AK38" s="3">
        <v>2013</v>
      </c>
      <c r="AL38" s="2">
        <v>51.8</v>
      </c>
      <c r="AM38" s="2">
        <v>78.799999999999983</v>
      </c>
      <c r="AN38" s="2">
        <v>94.8</v>
      </c>
      <c r="AO38" s="2">
        <v>67.900000000000006</v>
      </c>
    </row>
    <row r="39" spans="1:41">
      <c r="A39" s="2"/>
      <c r="B39" s="2"/>
      <c r="C39" s="2"/>
      <c r="D39" s="2">
        <v>2</v>
      </c>
      <c r="E39" s="2"/>
      <c r="F39" s="2"/>
      <c r="G39" s="2"/>
      <c r="H39" s="2"/>
      <c r="I39" s="2">
        <v>27.82</v>
      </c>
      <c r="J39" s="2"/>
      <c r="K39" s="2"/>
      <c r="L39" s="2">
        <v>5.65</v>
      </c>
      <c r="M39" s="2">
        <v>9.93</v>
      </c>
      <c r="N39" s="2"/>
      <c r="O39" s="2"/>
      <c r="P39" s="2"/>
      <c r="Q39" s="2">
        <v>0.15</v>
      </c>
      <c r="R39" s="2"/>
      <c r="S39" s="2"/>
      <c r="T39" s="2"/>
      <c r="U39" s="2">
        <v>12.88</v>
      </c>
      <c r="V39" s="2"/>
      <c r="W39" s="2">
        <f t="shared" si="2"/>
        <v>56.43</v>
      </c>
      <c r="X39" s="2"/>
      <c r="Y39" s="2">
        <f>(W39-X42)/X42*100</f>
        <v>0.36996193660845494</v>
      </c>
      <c r="Z39" s="2"/>
      <c r="AA39" s="2"/>
      <c r="AB39" s="2">
        <v>12.8</v>
      </c>
      <c r="AC39" s="2">
        <v>2.79</v>
      </c>
      <c r="AD39" s="2"/>
      <c r="AE39" s="2"/>
      <c r="AF39" s="2"/>
      <c r="AG39" s="2">
        <v>6.44</v>
      </c>
      <c r="AH39" s="2"/>
      <c r="AI39" s="56"/>
      <c r="AJ39" s="56"/>
      <c r="AL39" s="2">
        <v>58.199999999999996</v>
      </c>
      <c r="AM39" s="2">
        <v>63.2</v>
      </c>
      <c r="AN39" s="2">
        <v>59.2</v>
      </c>
      <c r="AO39" s="2">
        <v>47.3</v>
      </c>
    </row>
    <row r="40" spans="1:41">
      <c r="A40" s="2"/>
      <c r="B40" s="2"/>
      <c r="C40" s="2"/>
      <c r="D40" s="2">
        <v>3</v>
      </c>
      <c r="E40" s="2"/>
      <c r="F40" s="2"/>
      <c r="G40" s="2"/>
      <c r="H40" s="2"/>
      <c r="I40" s="2">
        <v>23.83</v>
      </c>
      <c r="J40" s="2"/>
      <c r="K40" s="2"/>
      <c r="L40" s="2">
        <v>1.07</v>
      </c>
      <c r="M40" s="2">
        <v>12.2</v>
      </c>
      <c r="N40" s="2"/>
      <c r="O40" s="2">
        <v>0.43</v>
      </c>
      <c r="P40" s="2"/>
      <c r="Q40" s="2">
        <v>3.83</v>
      </c>
      <c r="R40" s="2"/>
      <c r="S40" s="2">
        <v>0.37</v>
      </c>
      <c r="T40" s="2"/>
      <c r="U40" s="2">
        <v>5.83</v>
      </c>
      <c r="V40" s="2"/>
      <c r="W40" s="2">
        <f t="shared" si="2"/>
        <v>47.559999999999988</v>
      </c>
      <c r="X40" s="2"/>
      <c r="Y40" s="2">
        <f>(W40-X42)/X42*100</f>
        <v>-15.406780263953626</v>
      </c>
      <c r="Z40" s="2"/>
      <c r="AA40" s="2"/>
      <c r="AB40" s="2">
        <v>10.199999999999999</v>
      </c>
      <c r="AC40" s="2">
        <v>2.72</v>
      </c>
      <c r="AD40" s="2"/>
      <c r="AE40" s="2"/>
      <c r="AF40" s="2"/>
      <c r="AG40" s="2">
        <v>4.76</v>
      </c>
      <c r="AH40" s="2"/>
      <c r="AI40" s="56"/>
      <c r="AJ40" s="56"/>
      <c r="AL40" s="2">
        <v>64.900000000000006</v>
      </c>
      <c r="AM40" s="2">
        <v>71</v>
      </c>
      <c r="AN40" s="2">
        <v>151.39999999999998</v>
      </c>
      <c r="AO40" s="2">
        <v>74.899999999999991</v>
      </c>
    </row>
    <row r="41" spans="1:41">
      <c r="A41" s="2"/>
      <c r="B41" s="2"/>
      <c r="C41" s="2"/>
      <c r="D41" s="2">
        <v>4</v>
      </c>
      <c r="E41" s="2"/>
      <c r="F41" s="2"/>
      <c r="G41" s="2"/>
      <c r="H41" s="2"/>
      <c r="I41" s="2">
        <v>22.8</v>
      </c>
      <c r="J41" s="2"/>
      <c r="K41" s="2"/>
      <c r="L41" s="2">
        <v>4.5599999999999996</v>
      </c>
      <c r="M41" s="2">
        <v>2.5499999999999998</v>
      </c>
      <c r="N41" s="2">
        <v>0.4</v>
      </c>
      <c r="O41" s="2">
        <v>0.04</v>
      </c>
      <c r="P41" s="2"/>
      <c r="Q41" s="2">
        <v>13.51</v>
      </c>
      <c r="R41" s="2"/>
      <c r="S41" s="2">
        <v>0.45</v>
      </c>
      <c r="T41" s="2"/>
      <c r="U41" s="2">
        <v>11.9</v>
      </c>
      <c r="V41" s="2">
        <v>0.33</v>
      </c>
      <c r="W41" s="2">
        <f t="shared" si="2"/>
        <v>56.54</v>
      </c>
      <c r="X41" s="2"/>
      <c r="Y41" s="2">
        <f>(W41-X42)/X42*100</f>
        <v>0.56561488385330472</v>
      </c>
      <c r="Z41" s="2"/>
      <c r="AA41" s="2"/>
      <c r="AB41" s="2">
        <v>5</v>
      </c>
      <c r="AC41" s="2">
        <v>2.85</v>
      </c>
      <c r="AD41" s="2"/>
      <c r="AE41" s="2"/>
      <c r="AF41" s="2"/>
      <c r="AG41" s="4">
        <f>AVERAGE(AG38:AG40,AG42)</f>
        <v>5.8324999999999996</v>
      </c>
      <c r="AH41" s="2"/>
      <c r="AI41" s="56"/>
      <c r="AJ41" s="56"/>
      <c r="AL41" s="2">
        <v>56.400000000000006</v>
      </c>
      <c r="AM41" s="2">
        <v>97.9</v>
      </c>
      <c r="AN41" s="2">
        <v>83.7</v>
      </c>
      <c r="AO41" s="2">
        <v>66.099999999999994</v>
      </c>
    </row>
    <row r="42" spans="1:41">
      <c r="A42" s="2"/>
      <c r="B42" s="2"/>
      <c r="C42" s="2"/>
      <c r="D42" s="2">
        <v>5</v>
      </c>
      <c r="E42" s="2">
        <v>0.32</v>
      </c>
      <c r="F42" s="2"/>
      <c r="G42" s="2"/>
      <c r="H42" s="2"/>
      <c r="I42" s="2">
        <v>31.74</v>
      </c>
      <c r="J42" s="2"/>
      <c r="K42" s="2"/>
      <c r="L42" s="2">
        <v>1.58</v>
      </c>
      <c r="M42" s="2">
        <v>1.17</v>
      </c>
      <c r="N42" s="2"/>
      <c r="O42" s="2">
        <v>0.16</v>
      </c>
      <c r="P42" s="2">
        <v>3.72</v>
      </c>
      <c r="Q42" s="2"/>
      <c r="R42" s="2"/>
      <c r="S42" s="2">
        <v>0.37</v>
      </c>
      <c r="T42" s="2"/>
      <c r="U42" s="2">
        <v>25.72</v>
      </c>
      <c r="V42" s="2">
        <v>1.44</v>
      </c>
      <c r="W42" s="2">
        <f t="shared" si="2"/>
        <v>66.219999999999985</v>
      </c>
      <c r="X42" s="2">
        <f>AVERAGE(W38:W42)</f>
        <v>56.221999999999994</v>
      </c>
      <c r="Y42" s="2">
        <f>(W42-X42)/X42*100</f>
        <v>17.783074241400147</v>
      </c>
      <c r="Z42" s="2">
        <f>STDEV(W38:W42)</f>
        <v>6.6820969762493263</v>
      </c>
      <c r="AA42" s="2"/>
      <c r="AB42" s="2">
        <v>7.2</v>
      </c>
      <c r="AC42" s="2">
        <v>1.68</v>
      </c>
      <c r="AD42" s="2">
        <f>AVERAGE(AC38:AC42)</f>
        <v>2.5979999999999999</v>
      </c>
      <c r="AE42" s="2"/>
      <c r="AF42" s="2"/>
      <c r="AG42" s="2">
        <v>4.79</v>
      </c>
      <c r="AH42" s="2">
        <f>AVERAGE(AG38:AG42)</f>
        <v>5.8324999999999996</v>
      </c>
      <c r="AI42" s="56"/>
      <c r="AJ42" s="56"/>
      <c r="AL42" s="2">
        <v>48.800000000000004</v>
      </c>
      <c r="AM42" s="2">
        <v>60.4</v>
      </c>
      <c r="AN42" s="2">
        <v>76.600000000000009</v>
      </c>
      <c r="AO42" s="2">
        <v>64.5</v>
      </c>
    </row>
    <row r="43" spans="1:41">
      <c r="A43" s="2" t="s">
        <v>78</v>
      </c>
      <c r="B43" s="2" t="s">
        <v>95</v>
      </c>
      <c r="C43" s="2">
        <v>1</v>
      </c>
      <c r="D43" s="2">
        <v>1</v>
      </c>
      <c r="E43" s="2"/>
      <c r="F43" s="2">
        <v>42.21</v>
      </c>
      <c r="G43" s="2"/>
      <c r="H43" s="2"/>
      <c r="I43" s="2">
        <v>13.34</v>
      </c>
      <c r="J43" s="2"/>
      <c r="K43" s="2"/>
      <c r="L43" s="2">
        <v>0.19</v>
      </c>
      <c r="M43" s="2">
        <v>8.41</v>
      </c>
      <c r="N43" s="2"/>
      <c r="O43" s="2"/>
      <c r="P43" s="2">
        <v>4.1399999999999997</v>
      </c>
      <c r="Q43" s="2">
        <v>1.73</v>
      </c>
      <c r="R43" s="2"/>
      <c r="S43" s="2">
        <v>0.63</v>
      </c>
      <c r="T43" s="2"/>
      <c r="U43" s="2">
        <v>0.66</v>
      </c>
      <c r="V43" s="2">
        <v>1.82</v>
      </c>
      <c r="W43" s="2">
        <f t="shared" si="2"/>
        <v>73.129999999999981</v>
      </c>
      <c r="X43" s="2"/>
      <c r="Y43" s="2">
        <f>(W43-X47)/X47*100</f>
        <v>12.441957009748124</v>
      </c>
      <c r="Z43" s="2"/>
      <c r="AA43" s="2"/>
      <c r="AB43" s="2">
        <v>10</v>
      </c>
      <c r="AC43" s="2">
        <v>0.4</v>
      </c>
      <c r="AD43" s="2"/>
      <c r="AE43" s="2"/>
      <c r="AF43" s="2"/>
      <c r="AG43" s="2">
        <v>2.99</v>
      </c>
      <c r="AH43" s="2"/>
      <c r="AI43" s="56"/>
      <c r="AJ43" s="56"/>
    </row>
    <row r="44" spans="1:41">
      <c r="A44" s="2"/>
      <c r="B44" s="2"/>
      <c r="C44" s="2"/>
      <c r="D44" s="2">
        <v>2</v>
      </c>
      <c r="E44" s="2">
        <v>0.11</v>
      </c>
      <c r="F44" s="2"/>
      <c r="G44" s="2">
        <v>14.4</v>
      </c>
      <c r="H44" s="2"/>
      <c r="I44" s="2"/>
      <c r="J44" s="2"/>
      <c r="K44" s="2"/>
      <c r="L44" s="2"/>
      <c r="M44" s="2">
        <v>13.62</v>
      </c>
      <c r="N44" s="2"/>
      <c r="O44" s="2"/>
      <c r="P44" s="2"/>
      <c r="Q44" s="2"/>
      <c r="R44" s="2"/>
      <c r="S44" s="2">
        <v>0.62</v>
      </c>
      <c r="T44" s="2"/>
      <c r="U44" s="2">
        <v>16.71</v>
      </c>
      <c r="V44" s="2">
        <v>0.17</v>
      </c>
      <c r="W44" s="2">
        <f t="shared" si="2"/>
        <v>45.63</v>
      </c>
      <c r="X44" s="2"/>
      <c r="Y44" s="2">
        <f>(W44-X47)/X47*100</f>
        <v>-29.841016021402865</v>
      </c>
      <c r="Z44" s="2"/>
      <c r="AA44" s="2"/>
      <c r="AB44" s="2">
        <v>9.6999999999999993</v>
      </c>
      <c r="AC44" s="2">
        <v>2.66</v>
      </c>
      <c r="AD44" s="2"/>
      <c r="AE44" s="2"/>
      <c r="AF44" s="2"/>
      <c r="AG44" s="2">
        <v>3.95</v>
      </c>
      <c r="AH44" s="2"/>
      <c r="AI44" s="56"/>
      <c r="AJ44" s="56"/>
    </row>
    <row r="45" spans="1:41">
      <c r="A45" s="2"/>
      <c r="B45" s="2"/>
      <c r="C45" s="2"/>
      <c r="D45" s="2">
        <v>3</v>
      </c>
      <c r="E45" s="2">
        <v>0.06</v>
      </c>
      <c r="F45" s="2"/>
      <c r="G45" s="2">
        <v>23.85</v>
      </c>
      <c r="H45" s="2"/>
      <c r="I45" s="2">
        <v>17.32</v>
      </c>
      <c r="J45" s="2"/>
      <c r="K45" s="2"/>
      <c r="L45" s="2">
        <v>4.82</v>
      </c>
      <c r="M45" s="2">
        <v>7.95</v>
      </c>
      <c r="N45" s="2"/>
      <c r="O45" s="2"/>
      <c r="P45" s="2"/>
      <c r="Q45" s="2"/>
      <c r="R45" s="2"/>
      <c r="S45" s="2">
        <v>0.26</v>
      </c>
      <c r="T45" s="2"/>
      <c r="U45" s="2">
        <v>15.11</v>
      </c>
      <c r="V45" s="2">
        <v>3.61</v>
      </c>
      <c r="W45" s="2">
        <f t="shared" si="2"/>
        <v>72.98</v>
      </c>
      <c r="X45" s="2"/>
      <c r="Y45" s="2">
        <f>(W45-X47)/X47*100</f>
        <v>12.211322611396426</v>
      </c>
      <c r="Z45" s="2"/>
      <c r="AA45" s="2"/>
      <c r="AB45" s="2">
        <v>6.1</v>
      </c>
      <c r="AC45" s="2">
        <v>1.48</v>
      </c>
      <c r="AD45" s="2"/>
      <c r="AE45" s="2"/>
      <c r="AF45" s="2"/>
      <c r="AG45" s="2">
        <v>2.2599999999999998</v>
      </c>
      <c r="AH45" s="2"/>
      <c r="AI45" s="56"/>
      <c r="AJ45" s="56"/>
    </row>
    <row r="46" spans="1:41">
      <c r="A46" s="2"/>
      <c r="B46" s="2"/>
      <c r="C46" s="2"/>
      <c r="D46" s="2">
        <v>4</v>
      </c>
      <c r="E46" s="2"/>
      <c r="F46" s="2">
        <v>17.84</v>
      </c>
      <c r="G46" s="2"/>
      <c r="H46" s="2"/>
      <c r="I46" s="2">
        <v>15.08</v>
      </c>
      <c r="J46" s="2"/>
      <c r="K46" s="2"/>
      <c r="L46" s="2">
        <v>0.8</v>
      </c>
      <c r="M46" s="2">
        <v>23.31</v>
      </c>
      <c r="N46" s="2"/>
      <c r="O46" s="2"/>
      <c r="P46" s="2"/>
      <c r="Q46" s="2">
        <v>0.2</v>
      </c>
      <c r="R46" s="2"/>
      <c r="S46" s="2">
        <v>0.43</v>
      </c>
      <c r="T46" s="2"/>
      <c r="U46" s="2"/>
      <c r="V46" s="2">
        <v>19.54</v>
      </c>
      <c r="W46" s="2">
        <f t="shared" si="2"/>
        <v>77.2</v>
      </c>
      <c r="X46" s="2"/>
      <c r="Y46" s="2">
        <f>(W46-X47)/X47*100</f>
        <v>18.699837018358508</v>
      </c>
      <c r="Z46" s="2"/>
      <c r="AA46" s="2"/>
      <c r="AB46" s="2">
        <v>4.0999999999999996</v>
      </c>
      <c r="AC46" s="2">
        <v>1.27</v>
      </c>
      <c r="AD46" s="2"/>
      <c r="AE46" s="2"/>
      <c r="AF46" s="2"/>
      <c r="AG46" s="2">
        <v>3.27</v>
      </c>
      <c r="AH46" s="2"/>
      <c r="AI46" s="56"/>
      <c r="AJ46" s="56"/>
    </row>
    <row r="47" spans="1:41">
      <c r="A47" s="2"/>
      <c r="B47" s="2"/>
      <c r="C47" s="2"/>
      <c r="D47" s="2">
        <v>5</v>
      </c>
      <c r="E47" s="2"/>
      <c r="F47" s="2"/>
      <c r="G47" s="2">
        <v>3.49</v>
      </c>
      <c r="H47" s="2"/>
      <c r="I47" s="2">
        <v>14.59</v>
      </c>
      <c r="J47" s="2"/>
      <c r="K47" s="2"/>
      <c r="L47" s="2">
        <v>1.52</v>
      </c>
      <c r="M47" s="2">
        <v>3.54</v>
      </c>
      <c r="N47" s="2"/>
      <c r="O47" s="2"/>
      <c r="P47" s="2"/>
      <c r="Q47" s="2"/>
      <c r="R47" s="2"/>
      <c r="S47" s="2">
        <v>0.21</v>
      </c>
      <c r="T47" s="2"/>
      <c r="U47" s="2">
        <v>32.9</v>
      </c>
      <c r="V47" s="2"/>
      <c r="W47" s="2">
        <f t="shared" si="2"/>
        <v>56.25</v>
      </c>
      <c r="X47" s="2">
        <f>AVERAGE(W43:W47)</f>
        <v>65.037999999999997</v>
      </c>
      <c r="Y47" s="2">
        <f>(W47-X47)/X47*100</f>
        <v>-13.512100618100185</v>
      </c>
      <c r="Z47" s="2">
        <f>STDEV(W43:W47)</f>
        <v>13.512674420705896</v>
      </c>
      <c r="AA47" s="2"/>
      <c r="AB47" s="2">
        <v>11.3</v>
      </c>
      <c r="AC47" s="2">
        <v>1.9</v>
      </c>
      <c r="AD47" s="2">
        <f>AVERAGE(AC43:AC47)</f>
        <v>1.5420000000000003</v>
      </c>
      <c r="AE47" s="2"/>
      <c r="AF47" s="2"/>
      <c r="AG47" s="2">
        <v>3.92</v>
      </c>
      <c r="AH47" s="2">
        <f>AVERAGE(AG43:AG47)</f>
        <v>3.278</v>
      </c>
      <c r="AI47" s="56"/>
      <c r="AJ47" s="56"/>
    </row>
    <row r="48" spans="1:41">
      <c r="A48" s="2"/>
      <c r="B48" s="2"/>
      <c r="C48" s="2">
        <v>2</v>
      </c>
      <c r="D48" s="2">
        <v>1</v>
      </c>
      <c r="E48" s="2"/>
      <c r="F48" s="2"/>
      <c r="G48" s="2">
        <v>32.729999999999997</v>
      </c>
      <c r="H48" s="2"/>
      <c r="I48" s="2"/>
      <c r="J48" s="2"/>
      <c r="K48" s="2"/>
      <c r="L48" s="2"/>
      <c r="M48" s="2"/>
      <c r="N48" s="2"/>
      <c r="O48" s="2"/>
      <c r="P48" s="2"/>
      <c r="Q48" s="2"/>
      <c r="R48" s="2"/>
      <c r="S48" s="2">
        <v>0.67</v>
      </c>
      <c r="T48" s="2"/>
      <c r="U48" s="2"/>
      <c r="V48" s="2">
        <v>9.23</v>
      </c>
      <c r="W48" s="2">
        <f t="shared" si="2"/>
        <v>42.629999999999995</v>
      </c>
      <c r="X48" s="2"/>
      <c r="Y48" s="2">
        <f>(W48-X52)/X52*100</f>
        <v>-0.68724519510775006</v>
      </c>
      <c r="Z48" s="2"/>
      <c r="AA48" s="2"/>
      <c r="AB48" s="2">
        <v>4.7</v>
      </c>
      <c r="AC48" s="2">
        <v>0.9</v>
      </c>
      <c r="AD48" s="2"/>
      <c r="AE48" s="2"/>
      <c r="AF48" s="2"/>
      <c r="AG48" s="2">
        <v>1.9</v>
      </c>
      <c r="AH48" s="2"/>
      <c r="AJ48" s="56"/>
    </row>
    <row r="49" spans="1:36">
      <c r="A49" s="2"/>
      <c r="B49" s="2"/>
      <c r="C49" s="2"/>
      <c r="D49" s="2">
        <v>2</v>
      </c>
      <c r="E49" s="2"/>
      <c r="F49" s="2"/>
      <c r="G49" s="2">
        <v>38.07</v>
      </c>
      <c r="H49" s="2"/>
      <c r="I49" s="2">
        <v>9.75</v>
      </c>
      <c r="J49" s="2"/>
      <c r="K49" s="2"/>
      <c r="L49" s="2"/>
      <c r="M49" s="2">
        <v>6.03</v>
      </c>
      <c r="N49" s="2">
        <v>0.09</v>
      </c>
      <c r="O49" s="2"/>
      <c r="P49" s="2"/>
      <c r="Q49" s="2">
        <v>0.19</v>
      </c>
      <c r="R49" s="2"/>
      <c r="S49" s="2">
        <v>0.03</v>
      </c>
      <c r="T49" s="2"/>
      <c r="U49" s="2">
        <v>0.48</v>
      </c>
      <c r="V49" s="2"/>
      <c r="W49" s="2">
        <f t="shared" si="2"/>
        <v>54.64</v>
      </c>
      <c r="X49" s="2"/>
      <c r="Y49" s="2">
        <f>(W49-X52)/X52*100</f>
        <v>27.291788002329653</v>
      </c>
      <c r="Z49" s="2"/>
      <c r="AA49" s="2"/>
      <c r="AB49" s="2">
        <v>4.8</v>
      </c>
      <c r="AC49" s="2">
        <v>1.19</v>
      </c>
      <c r="AD49" s="2"/>
      <c r="AE49" s="2"/>
      <c r="AF49" s="2"/>
      <c r="AG49" s="2">
        <v>1.89</v>
      </c>
      <c r="AH49" s="2"/>
      <c r="AJ49" s="56"/>
    </row>
    <row r="50" spans="1:36">
      <c r="A50" s="2"/>
      <c r="B50" s="2"/>
      <c r="C50" s="2"/>
      <c r="D50" s="2">
        <v>3</v>
      </c>
      <c r="E50" s="2"/>
      <c r="F50" s="2"/>
      <c r="G50" s="2"/>
      <c r="H50" s="2"/>
      <c r="I50" s="2"/>
      <c r="J50" s="2"/>
      <c r="K50" s="2"/>
      <c r="L50" s="2"/>
      <c r="M50" s="2"/>
      <c r="N50" s="2"/>
      <c r="O50" s="2"/>
      <c r="P50" s="2"/>
      <c r="Q50" s="2"/>
      <c r="R50" s="2"/>
      <c r="S50" s="2"/>
      <c r="T50" s="2"/>
      <c r="U50" s="2"/>
      <c r="V50" s="2"/>
      <c r="W50" s="4"/>
      <c r="X50" s="2"/>
      <c r="Y50" s="2"/>
      <c r="Z50" s="2"/>
      <c r="AA50" s="2"/>
      <c r="AB50" s="2">
        <v>5.5</v>
      </c>
      <c r="AC50" s="2">
        <v>2.25</v>
      </c>
      <c r="AD50" s="2"/>
      <c r="AE50" s="2"/>
      <c r="AF50" s="2"/>
      <c r="AG50" s="2">
        <v>2.16</v>
      </c>
      <c r="AH50" s="2"/>
      <c r="AJ50" s="56"/>
    </row>
    <row r="51" spans="1:36">
      <c r="A51" s="2"/>
      <c r="B51" s="2"/>
      <c r="C51" s="2"/>
      <c r="D51" s="2">
        <v>4</v>
      </c>
      <c r="E51" s="2">
        <v>0.2</v>
      </c>
      <c r="F51" s="2"/>
      <c r="G51" s="2">
        <v>15.37</v>
      </c>
      <c r="H51" s="2"/>
      <c r="I51" s="2">
        <v>11.18</v>
      </c>
      <c r="J51" s="2"/>
      <c r="K51" s="2"/>
      <c r="L51" s="2">
        <v>0.49</v>
      </c>
      <c r="M51" s="2">
        <v>1.76</v>
      </c>
      <c r="N51" s="2"/>
      <c r="O51" s="2"/>
      <c r="P51" s="2"/>
      <c r="Q51" s="2"/>
      <c r="R51" s="2"/>
      <c r="S51" s="2">
        <v>0.18</v>
      </c>
      <c r="T51" s="2"/>
      <c r="U51" s="2">
        <v>15.68</v>
      </c>
      <c r="V51" s="2">
        <v>8.5399999999999991</v>
      </c>
      <c r="W51" s="2">
        <f t="shared" ref="W51:W63" si="3">SUM(E51:V51)</f>
        <v>53.4</v>
      </c>
      <c r="X51" s="2"/>
      <c r="Y51" s="2">
        <f>(W51-X52)/X52*100</f>
        <v>24.403028538147936</v>
      </c>
      <c r="Z51" s="2"/>
      <c r="AA51" s="2"/>
      <c r="AB51" s="2">
        <v>4</v>
      </c>
      <c r="AC51" s="2">
        <v>2.5</v>
      </c>
      <c r="AD51" s="2"/>
      <c r="AE51" s="2"/>
      <c r="AF51" s="2"/>
      <c r="AG51" s="2">
        <v>2.54</v>
      </c>
      <c r="AH51" s="2"/>
      <c r="AJ51" s="56"/>
    </row>
    <row r="52" spans="1:36">
      <c r="A52" s="2"/>
      <c r="B52" s="2"/>
      <c r="C52" s="2"/>
      <c r="D52" s="2">
        <v>5</v>
      </c>
      <c r="E52" s="2"/>
      <c r="F52" s="2"/>
      <c r="G52" s="2"/>
      <c r="H52" s="2"/>
      <c r="I52" s="2">
        <v>11.84</v>
      </c>
      <c r="J52" s="2"/>
      <c r="K52" s="2"/>
      <c r="L52" s="2">
        <v>7.0000000000000007E-2</v>
      </c>
      <c r="M52" s="2">
        <v>5</v>
      </c>
      <c r="N52" s="2"/>
      <c r="O52" s="2"/>
      <c r="P52" s="2"/>
      <c r="Q52" s="2">
        <v>0.55000000000000004</v>
      </c>
      <c r="R52" s="2"/>
      <c r="S52" s="2">
        <v>0.28000000000000003</v>
      </c>
      <c r="T52" s="2"/>
      <c r="U52" s="2">
        <v>3.13</v>
      </c>
      <c r="V52" s="2">
        <v>0.16</v>
      </c>
      <c r="W52" s="2">
        <f t="shared" si="3"/>
        <v>21.03</v>
      </c>
      <c r="X52" s="2">
        <f>AVERAGE(W48:W52)</f>
        <v>42.924999999999997</v>
      </c>
      <c r="Y52" s="2">
        <f>(W52-X52)/X52*100</f>
        <v>-51.007571345369826</v>
      </c>
      <c r="Z52" s="2">
        <f>STDEV(W48:W52)</f>
        <v>15.561114998611126</v>
      </c>
      <c r="AA52" s="2"/>
      <c r="AB52" s="2">
        <v>8.1999999999999993</v>
      </c>
      <c r="AC52" s="2">
        <v>1.19</v>
      </c>
      <c r="AD52" s="2">
        <f>AVERAGE(AC48:AC52)</f>
        <v>1.6059999999999999</v>
      </c>
      <c r="AE52" s="2"/>
      <c r="AF52" s="2"/>
      <c r="AG52" s="2">
        <v>3</v>
      </c>
      <c r="AH52" s="2">
        <f>AVERAGE(AG48:AG52)</f>
        <v>2.298</v>
      </c>
      <c r="AJ52" s="56"/>
    </row>
    <row r="53" spans="1:36">
      <c r="A53" s="2"/>
      <c r="B53" s="2"/>
      <c r="C53" s="2">
        <v>3</v>
      </c>
      <c r="D53" s="2">
        <v>1</v>
      </c>
      <c r="E53" s="2">
        <v>1.31</v>
      </c>
      <c r="F53" s="2"/>
      <c r="G53" s="2">
        <v>0.16</v>
      </c>
      <c r="H53" s="2"/>
      <c r="I53" s="2">
        <v>12.92</v>
      </c>
      <c r="J53" s="2"/>
      <c r="K53" s="2"/>
      <c r="L53" s="2">
        <v>1.1200000000000001</v>
      </c>
      <c r="M53" s="2">
        <v>8.3800000000000008</v>
      </c>
      <c r="N53" s="2">
        <v>3.54</v>
      </c>
      <c r="O53" s="2"/>
      <c r="P53" s="2"/>
      <c r="Q53" s="2">
        <v>0.95</v>
      </c>
      <c r="R53" s="2"/>
      <c r="S53" s="2">
        <v>0.61</v>
      </c>
      <c r="T53" s="2"/>
      <c r="U53" s="2">
        <v>33.44</v>
      </c>
      <c r="V53" s="2">
        <v>12.78</v>
      </c>
      <c r="W53" s="2">
        <f t="shared" si="3"/>
        <v>75.209999999999994</v>
      </c>
      <c r="X53" s="2"/>
      <c r="Y53" s="2">
        <f>(W53-X57)/X57*100</f>
        <v>12.789058516541182</v>
      </c>
      <c r="Z53" s="2"/>
      <c r="AA53" s="2"/>
      <c r="AB53" s="2">
        <v>6</v>
      </c>
      <c r="AC53" s="2">
        <v>2.21</v>
      </c>
      <c r="AD53" s="2"/>
      <c r="AE53" s="2"/>
      <c r="AF53" s="2"/>
      <c r="AG53" s="2">
        <v>3.61</v>
      </c>
      <c r="AH53" s="2"/>
      <c r="AJ53" s="56"/>
    </row>
    <row r="54" spans="1:36">
      <c r="A54" s="2"/>
      <c r="B54" s="2"/>
      <c r="C54" s="2"/>
      <c r="D54" s="2">
        <v>2</v>
      </c>
      <c r="E54" s="2">
        <v>4.53</v>
      </c>
      <c r="F54" s="2"/>
      <c r="G54" s="2">
        <v>1.22</v>
      </c>
      <c r="H54" s="2"/>
      <c r="I54" s="2">
        <v>9.77</v>
      </c>
      <c r="J54" s="2"/>
      <c r="K54" s="2"/>
      <c r="L54" s="2">
        <v>2.4900000000000002</v>
      </c>
      <c r="M54" s="2">
        <v>6.5</v>
      </c>
      <c r="N54" s="2">
        <v>1.21</v>
      </c>
      <c r="O54" s="2"/>
      <c r="P54" s="2"/>
      <c r="Q54" s="2"/>
      <c r="R54" s="2"/>
      <c r="S54" s="2">
        <v>0.7</v>
      </c>
      <c r="T54" s="2"/>
      <c r="U54" s="2">
        <v>23.14</v>
      </c>
      <c r="V54" s="2">
        <v>13.39</v>
      </c>
      <c r="W54" s="2">
        <f t="shared" si="3"/>
        <v>62.95</v>
      </c>
      <c r="X54" s="2"/>
      <c r="Y54" s="2">
        <f>(W54-X57)/X57*100</f>
        <v>-5.5967127560661041</v>
      </c>
      <c r="Z54" s="2"/>
      <c r="AA54" s="2"/>
      <c r="AB54" s="2">
        <v>5.2</v>
      </c>
      <c r="AC54" s="2">
        <v>1.45</v>
      </c>
      <c r="AD54" s="2"/>
      <c r="AE54" s="2"/>
      <c r="AF54" s="2"/>
      <c r="AG54" s="2">
        <v>5.35</v>
      </c>
      <c r="AH54" s="2"/>
      <c r="AJ54" s="56"/>
    </row>
    <row r="55" spans="1:36">
      <c r="A55" s="2"/>
      <c r="B55" s="2"/>
      <c r="C55" s="2"/>
      <c r="D55" s="2">
        <v>3</v>
      </c>
      <c r="E55" s="2">
        <v>2.2400000000000002</v>
      </c>
      <c r="F55" s="2">
        <v>18.170000000000002</v>
      </c>
      <c r="G55" s="2">
        <v>1.2</v>
      </c>
      <c r="H55" s="2"/>
      <c r="I55" s="2">
        <v>15.56</v>
      </c>
      <c r="J55" s="2"/>
      <c r="K55" s="2"/>
      <c r="L55" s="2">
        <v>0.37</v>
      </c>
      <c r="M55" s="2">
        <v>12.61</v>
      </c>
      <c r="N55" s="2">
        <v>0.49</v>
      </c>
      <c r="O55" s="2"/>
      <c r="P55" s="2">
        <v>1.24</v>
      </c>
      <c r="Q55" s="2">
        <v>0.35</v>
      </c>
      <c r="R55" s="2"/>
      <c r="S55" s="2">
        <v>0.59</v>
      </c>
      <c r="T55" s="2"/>
      <c r="U55" s="2">
        <v>32.28</v>
      </c>
      <c r="V55" s="2">
        <v>15.67</v>
      </c>
      <c r="W55" s="2">
        <f t="shared" si="3"/>
        <v>100.77000000000001</v>
      </c>
      <c r="X55" s="2"/>
      <c r="Y55" s="2">
        <f>(W55-X57)/X57*100</f>
        <v>51.120242344260838</v>
      </c>
      <c r="Z55" s="2"/>
      <c r="AA55" s="2"/>
      <c r="AB55" s="2">
        <v>6.4</v>
      </c>
      <c r="AC55" s="2">
        <v>1.62</v>
      </c>
      <c r="AD55" s="2"/>
      <c r="AE55" s="2"/>
      <c r="AF55" s="2"/>
      <c r="AG55" s="2">
        <v>4.1500000000000004</v>
      </c>
      <c r="AH55" s="2"/>
      <c r="AJ55" s="56"/>
    </row>
    <row r="56" spans="1:36">
      <c r="A56" s="2"/>
      <c r="B56" s="2"/>
      <c r="C56" s="2"/>
      <c r="D56" s="2">
        <v>4</v>
      </c>
      <c r="E56" s="2">
        <v>7.31</v>
      </c>
      <c r="F56" s="2"/>
      <c r="G56" s="2">
        <v>0.45</v>
      </c>
      <c r="H56" s="2"/>
      <c r="I56" s="2">
        <v>4.21</v>
      </c>
      <c r="J56" s="2"/>
      <c r="K56" s="2"/>
      <c r="L56" s="2">
        <v>2.68</v>
      </c>
      <c r="M56" s="2">
        <v>6.08</v>
      </c>
      <c r="N56" s="2"/>
      <c r="O56" s="2"/>
      <c r="P56" s="2">
        <v>1.78</v>
      </c>
      <c r="Q56" s="2"/>
      <c r="R56" s="2"/>
      <c r="S56" s="2">
        <v>0.62</v>
      </c>
      <c r="T56" s="2"/>
      <c r="U56" s="2">
        <v>18.71</v>
      </c>
      <c r="V56" s="2">
        <v>17.940000000000001</v>
      </c>
      <c r="W56" s="2">
        <f t="shared" si="3"/>
        <v>59.78</v>
      </c>
      <c r="X56" s="2"/>
      <c r="Y56" s="2">
        <f>(W56-X57)/X57*100</f>
        <v>-10.350619357547766</v>
      </c>
      <c r="Z56" s="2"/>
      <c r="AA56" s="2"/>
      <c r="AB56" s="2">
        <v>6.5</v>
      </c>
      <c r="AC56" s="2">
        <v>0.68</v>
      </c>
      <c r="AD56" s="2"/>
      <c r="AE56" s="2"/>
      <c r="AF56" s="2"/>
      <c r="AG56" s="2">
        <v>3.06</v>
      </c>
      <c r="AH56" s="2"/>
      <c r="AJ56" s="56"/>
    </row>
    <row r="57" spans="1:36">
      <c r="A57" s="2"/>
      <c r="B57" s="2"/>
      <c r="C57" s="2"/>
      <c r="D57" s="2">
        <v>5</v>
      </c>
      <c r="E57" s="2"/>
      <c r="F57" s="2"/>
      <c r="G57" s="2">
        <v>34.700000000000003</v>
      </c>
      <c r="H57" s="2"/>
      <c r="I57" s="2"/>
      <c r="J57" s="2"/>
      <c r="K57" s="2"/>
      <c r="L57" s="2"/>
      <c r="M57" s="2"/>
      <c r="N57" s="2"/>
      <c r="O57" s="2"/>
      <c r="P57" s="2"/>
      <c r="Q57" s="2"/>
      <c r="R57" s="2"/>
      <c r="S57" s="2"/>
      <c r="T57" s="2"/>
      <c r="U57" s="2"/>
      <c r="V57" s="2"/>
      <c r="W57" s="2">
        <f t="shared" si="3"/>
        <v>34.700000000000003</v>
      </c>
      <c r="X57" s="2">
        <f>AVERAGE(W53:W57)</f>
        <v>66.682000000000002</v>
      </c>
      <c r="Y57" s="2">
        <f>(W57-X57)/X57*100</f>
        <v>-47.961968747188145</v>
      </c>
      <c r="Z57" s="2">
        <f>STDEV(W53:W57)</f>
        <v>24.078684972398275</v>
      </c>
      <c r="AA57" s="2"/>
      <c r="AB57" s="4">
        <f>AVERAGE(AB53:AB56)</f>
        <v>6.0250000000000004</v>
      </c>
      <c r="AC57" s="4">
        <f>AVERAGEA(AC53:AC56)</f>
        <v>1.49</v>
      </c>
      <c r="AD57" s="2">
        <f>AVERAGE(AC53:AC57)</f>
        <v>1.49</v>
      </c>
      <c r="AE57" s="2"/>
      <c r="AF57" s="2"/>
      <c r="AG57" s="2">
        <v>3.12</v>
      </c>
      <c r="AH57" s="2">
        <f>AVERAGE(AG53:AG57)</f>
        <v>3.8579999999999997</v>
      </c>
      <c r="AJ57" s="56"/>
    </row>
    <row r="58" spans="1:36">
      <c r="A58" s="2"/>
      <c r="B58" s="2"/>
      <c r="C58" s="2">
        <v>4</v>
      </c>
      <c r="D58" s="2">
        <v>1</v>
      </c>
      <c r="E58" s="2"/>
      <c r="F58" s="2">
        <v>0.88</v>
      </c>
      <c r="G58" s="2"/>
      <c r="H58" s="2"/>
      <c r="I58" s="2">
        <v>13.34</v>
      </c>
      <c r="J58" s="2"/>
      <c r="K58" s="2"/>
      <c r="L58" s="2">
        <v>0.55000000000000004</v>
      </c>
      <c r="M58" s="2">
        <v>5.31</v>
      </c>
      <c r="N58" s="2"/>
      <c r="O58" s="2"/>
      <c r="P58" s="2"/>
      <c r="Q58" s="2"/>
      <c r="R58" s="2"/>
      <c r="S58" s="2">
        <v>2.02</v>
      </c>
      <c r="T58" s="2"/>
      <c r="U58" s="2">
        <v>37.67</v>
      </c>
      <c r="V58" s="2">
        <v>7.19</v>
      </c>
      <c r="W58" s="2">
        <f t="shared" si="3"/>
        <v>66.960000000000008</v>
      </c>
      <c r="X58" s="2"/>
      <c r="Y58" s="2">
        <f>(W58-X62)/X62*100</f>
        <v>23.569794050343258</v>
      </c>
      <c r="Z58" s="2"/>
      <c r="AA58" s="2"/>
      <c r="AB58" s="2">
        <v>5.8</v>
      </c>
      <c r="AC58" s="2">
        <v>3.75</v>
      </c>
      <c r="AD58" s="2"/>
      <c r="AE58" s="2"/>
      <c r="AF58" s="2"/>
      <c r="AG58" s="2">
        <v>6.64</v>
      </c>
      <c r="AH58" s="2"/>
      <c r="AJ58" s="56"/>
    </row>
    <row r="59" spans="1:36">
      <c r="A59" s="2"/>
      <c r="B59" s="2"/>
      <c r="C59" s="2"/>
      <c r="D59" s="2">
        <v>2</v>
      </c>
      <c r="E59" s="2"/>
      <c r="F59" s="2"/>
      <c r="G59" s="2"/>
      <c r="H59" s="2"/>
      <c r="I59" s="2">
        <v>11.78</v>
      </c>
      <c r="J59" s="2"/>
      <c r="K59" s="2"/>
      <c r="L59" s="2">
        <v>0.57999999999999996</v>
      </c>
      <c r="M59" s="2">
        <v>1.08</v>
      </c>
      <c r="N59" s="2">
        <v>5.17</v>
      </c>
      <c r="O59" s="2"/>
      <c r="P59" s="2">
        <v>0.63</v>
      </c>
      <c r="Q59" s="2"/>
      <c r="R59" s="2"/>
      <c r="S59" s="2">
        <v>0.21</v>
      </c>
      <c r="T59" s="2"/>
      <c r="U59" s="2">
        <v>17.760000000000002</v>
      </c>
      <c r="V59" s="2">
        <v>11.6</v>
      </c>
      <c r="W59" s="2">
        <f t="shared" si="3"/>
        <v>48.81</v>
      </c>
      <c r="X59" s="2"/>
      <c r="Y59" s="2">
        <f>(W59-X62)/X62*100</f>
        <v>-9.9247065771019418</v>
      </c>
      <c r="Z59" s="2"/>
      <c r="AA59" s="2"/>
      <c r="AB59" s="2">
        <v>8.9</v>
      </c>
      <c r="AC59" s="2">
        <v>3.52</v>
      </c>
      <c r="AD59" s="2"/>
      <c r="AE59" s="2"/>
      <c r="AF59" s="2"/>
      <c r="AG59" s="2">
        <v>3.94</v>
      </c>
      <c r="AH59" s="2"/>
      <c r="AJ59" s="56"/>
    </row>
    <row r="60" spans="1:36">
      <c r="A60" s="2"/>
      <c r="B60" s="2"/>
      <c r="C60" s="2"/>
      <c r="D60" s="2">
        <v>3</v>
      </c>
      <c r="E60" s="2"/>
      <c r="F60" s="2"/>
      <c r="G60" s="2"/>
      <c r="H60" s="2"/>
      <c r="I60" s="2">
        <v>11.69</v>
      </c>
      <c r="J60" s="2"/>
      <c r="K60" s="2"/>
      <c r="L60" s="2">
        <v>0.48</v>
      </c>
      <c r="M60" s="2"/>
      <c r="N60" s="2"/>
      <c r="O60" s="2"/>
      <c r="P60" s="2"/>
      <c r="Q60" s="2"/>
      <c r="R60" s="2"/>
      <c r="S60" s="2">
        <v>0.25</v>
      </c>
      <c r="T60" s="2"/>
      <c r="U60" s="2">
        <v>23.95</v>
      </c>
      <c r="V60" s="2">
        <v>6.55</v>
      </c>
      <c r="W60" s="2">
        <f t="shared" si="3"/>
        <v>42.919999999999995</v>
      </c>
      <c r="X60" s="2"/>
      <c r="Y60" s="2">
        <f>(W60-X62)/X62*100</f>
        <v>-20.794271794493259</v>
      </c>
      <c r="Z60" s="2"/>
      <c r="AA60" s="2"/>
      <c r="AB60" s="2">
        <v>13.8</v>
      </c>
      <c r="AC60" s="2">
        <v>2.93</v>
      </c>
      <c r="AD60" s="2"/>
      <c r="AE60" s="2"/>
      <c r="AF60" s="2"/>
      <c r="AG60" s="2">
        <v>5.1100000000000003</v>
      </c>
      <c r="AH60" s="2"/>
      <c r="AJ60" s="56"/>
    </row>
    <row r="61" spans="1:36">
      <c r="A61" s="2"/>
      <c r="B61" s="2"/>
      <c r="C61" s="2"/>
      <c r="D61" s="2">
        <v>4</v>
      </c>
      <c r="E61" s="2"/>
      <c r="F61" s="2"/>
      <c r="G61" s="2">
        <v>0.19</v>
      </c>
      <c r="H61" s="2"/>
      <c r="I61" s="2">
        <v>15.55</v>
      </c>
      <c r="J61" s="2"/>
      <c r="K61" s="2"/>
      <c r="L61" s="2">
        <v>0.35</v>
      </c>
      <c r="M61" s="2">
        <v>7.0000000000000007E-2</v>
      </c>
      <c r="N61" s="2"/>
      <c r="O61" s="2"/>
      <c r="P61" s="2"/>
      <c r="Q61" s="2"/>
      <c r="R61" s="2"/>
      <c r="S61" s="2">
        <v>0.28999999999999998</v>
      </c>
      <c r="T61" s="2"/>
      <c r="U61" s="2">
        <v>29.21</v>
      </c>
      <c r="V61" s="2">
        <v>12.52</v>
      </c>
      <c r="W61" s="2">
        <f t="shared" si="3"/>
        <v>58.179999999999993</v>
      </c>
      <c r="X61" s="2"/>
      <c r="Y61" s="2">
        <f>(W61-X62)/X62*100</f>
        <v>7.3669447110061084</v>
      </c>
      <c r="Z61" s="2"/>
      <c r="AA61" s="2"/>
      <c r="AB61" s="2">
        <v>7.7</v>
      </c>
      <c r="AC61" s="2">
        <v>2.89</v>
      </c>
      <c r="AD61" s="2"/>
      <c r="AE61" s="2"/>
      <c r="AF61" s="2"/>
      <c r="AG61" s="2">
        <v>6.63</v>
      </c>
      <c r="AH61" s="2"/>
      <c r="AJ61" s="56"/>
    </row>
    <row r="62" spans="1:36">
      <c r="A62" s="2"/>
      <c r="B62" s="2"/>
      <c r="C62" s="2"/>
      <c r="D62" s="2">
        <v>5</v>
      </c>
      <c r="E62" s="2"/>
      <c r="F62" s="2">
        <v>0.1</v>
      </c>
      <c r="G62" s="2"/>
      <c r="H62" s="2"/>
      <c r="I62" s="2">
        <v>14.67</v>
      </c>
      <c r="J62" s="2"/>
      <c r="K62" s="2"/>
      <c r="L62" s="2">
        <v>3.64</v>
      </c>
      <c r="M62" s="2"/>
      <c r="N62" s="2"/>
      <c r="O62" s="2"/>
      <c r="P62" s="2"/>
      <c r="Q62" s="2"/>
      <c r="R62" s="2"/>
      <c r="S62" s="2">
        <v>1.28</v>
      </c>
      <c r="T62" s="2"/>
      <c r="U62" s="2">
        <v>22.23</v>
      </c>
      <c r="V62" s="2">
        <v>12.15</v>
      </c>
      <c r="W62" s="2">
        <f t="shared" si="3"/>
        <v>54.07</v>
      </c>
      <c r="X62" s="2">
        <f>AVERAGE(W58:W62)</f>
        <v>54.188000000000002</v>
      </c>
      <c r="Y62" s="2">
        <f>(W62-X62)/X62*100</f>
        <v>-0.21776038975419298</v>
      </c>
      <c r="Z62" s="2">
        <f>STDEV(W58:W62)</f>
        <v>9.151020161708761</v>
      </c>
      <c r="AA62" s="2"/>
      <c r="AB62" s="2">
        <v>9.1</v>
      </c>
      <c r="AC62" s="2">
        <v>2.44</v>
      </c>
      <c r="AD62" s="2">
        <f>AVERAGE(AC58:AC62)</f>
        <v>3.1059999999999999</v>
      </c>
      <c r="AE62" s="2"/>
      <c r="AF62" s="2"/>
      <c r="AG62" s="2">
        <v>5.31</v>
      </c>
      <c r="AH62" s="2">
        <f>AVERAGE(AG58:AG62)</f>
        <v>5.5259999999999998</v>
      </c>
      <c r="AJ62" s="56"/>
    </row>
    <row r="63" spans="1:36">
      <c r="A63" s="2" t="s">
        <v>78</v>
      </c>
      <c r="B63" s="2" t="s">
        <v>101</v>
      </c>
      <c r="C63" s="2">
        <v>1</v>
      </c>
      <c r="D63" s="2">
        <v>1</v>
      </c>
      <c r="E63" s="2"/>
      <c r="F63" s="2"/>
      <c r="G63" s="2">
        <v>0.06</v>
      </c>
      <c r="H63" s="2"/>
      <c r="I63" s="2">
        <v>14.87</v>
      </c>
      <c r="J63" s="2"/>
      <c r="K63" s="2"/>
      <c r="L63" s="2">
        <v>0.38</v>
      </c>
      <c r="M63" s="2">
        <v>18.71</v>
      </c>
      <c r="N63" s="2"/>
      <c r="O63" s="2"/>
      <c r="P63" s="2">
        <v>1.42</v>
      </c>
      <c r="Q63" s="2"/>
      <c r="R63" s="2"/>
      <c r="S63" s="2">
        <v>1.06</v>
      </c>
      <c r="T63" s="2"/>
      <c r="U63" s="2">
        <v>25.52</v>
      </c>
      <c r="V63" s="2">
        <v>13.88</v>
      </c>
      <c r="W63" s="2">
        <f t="shared" si="3"/>
        <v>75.900000000000006</v>
      </c>
      <c r="X63" s="2"/>
      <c r="Y63" s="2">
        <f>(W63-X67)/X67*100</f>
        <v>-14.565511031067068</v>
      </c>
      <c r="Z63" s="2"/>
      <c r="AA63" s="2"/>
      <c r="AB63" s="64" t="s">
        <v>103</v>
      </c>
      <c r="AC63" s="2">
        <v>3.69</v>
      </c>
      <c r="AD63" s="2"/>
      <c r="AE63" s="2"/>
      <c r="AF63" s="2"/>
      <c r="AG63" s="2">
        <v>4.47</v>
      </c>
      <c r="AH63" s="2"/>
      <c r="AJ63" s="56"/>
    </row>
    <row r="64" spans="1:36">
      <c r="A64" s="2"/>
      <c r="B64" s="2"/>
      <c r="C64" s="2"/>
      <c r="D64" s="2">
        <v>2</v>
      </c>
      <c r="E64" s="5"/>
      <c r="F64" s="5"/>
      <c r="G64" s="5"/>
      <c r="H64" s="5"/>
      <c r="I64" s="5"/>
      <c r="J64" s="5"/>
      <c r="K64" s="5"/>
      <c r="L64" s="5"/>
      <c r="M64" s="5"/>
      <c r="N64" s="5"/>
      <c r="O64" s="5"/>
      <c r="P64" s="5"/>
      <c r="Q64" s="5"/>
      <c r="R64" s="5"/>
      <c r="S64" s="5"/>
      <c r="T64" s="5"/>
      <c r="U64" s="5"/>
      <c r="V64" s="5"/>
      <c r="W64" s="4"/>
      <c r="X64" s="2"/>
      <c r="Y64" s="2"/>
      <c r="Z64" s="2"/>
      <c r="AA64" s="2"/>
      <c r="AB64" s="64" t="s">
        <v>103</v>
      </c>
      <c r="AC64" s="2">
        <v>2.78</v>
      </c>
      <c r="AD64" s="2"/>
      <c r="AE64" s="2"/>
      <c r="AF64" s="2"/>
      <c r="AG64" s="2">
        <v>2.12</v>
      </c>
      <c r="AH64" s="2"/>
      <c r="AJ64" s="56"/>
    </row>
    <row r="65" spans="1:36">
      <c r="A65" s="2"/>
      <c r="B65" s="2"/>
      <c r="C65" s="2"/>
      <c r="D65" s="2">
        <v>3</v>
      </c>
      <c r="E65" s="2">
        <v>1.1000000000000001</v>
      </c>
      <c r="F65" s="2"/>
      <c r="G65" s="2"/>
      <c r="H65" s="2"/>
      <c r="I65" s="2">
        <v>14</v>
      </c>
      <c r="J65" s="2"/>
      <c r="K65" s="2"/>
      <c r="L65" s="2">
        <v>0.31</v>
      </c>
      <c r="M65" s="2">
        <v>47.26</v>
      </c>
      <c r="N65" s="2"/>
      <c r="O65" s="2"/>
      <c r="P65" s="2">
        <v>15.67</v>
      </c>
      <c r="Q65" s="2">
        <v>0.2</v>
      </c>
      <c r="R65" s="2"/>
      <c r="S65" s="2">
        <v>1.52</v>
      </c>
      <c r="T65" s="2"/>
      <c r="U65" s="2">
        <v>9</v>
      </c>
      <c r="V65" s="2">
        <v>15.94</v>
      </c>
      <c r="W65" s="2">
        <f>SUM(E65:V65)</f>
        <v>105</v>
      </c>
      <c r="X65" s="2"/>
      <c r="Y65" s="2">
        <f>(W65-X67)/X67*100</f>
        <v>18.190004502476377</v>
      </c>
      <c r="Z65" s="2"/>
      <c r="AA65" s="2"/>
      <c r="AB65" s="64" t="s">
        <v>103</v>
      </c>
      <c r="AC65" s="2">
        <v>1.8</v>
      </c>
      <c r="AD65" s="2"/>
      <c r="AE65" s="2"/>
      <c r="AF65" s="2"/>
      <c r="AG65" s="2">
        <v>1.33</v>
      </c>
      <c r="AH65" s="2"/>
      <c r="AJ65" s="56"/>
    </row>
    <row r="66" spans="1:36">
      <c r="A66" s="2"/>
      <c r="B66" s="2"/>
      <c r="C66" s="2"/>
      <c r="D66" s="2">
        <v>4</v>
      </c>
      <c r="E66" s="5"/>
      <c r="F66" s="5"/>
      <c r="G66" s="5"/>
      <c r="H66" s="5"/>
      <c r="I66" s="5"/>
      <c r="J66" s="5"/>
      <c r="K66" s="5"/>
      <c r="L66" s="5"/>
      <c r="M66" s="5"/>
      <c r="N66" s="5"/>
      <c r="O66" s="5"/>
      <c r="P66" s="5"/>
      <c r="Q66" s="5"/>
      <c r="R66" s="5"/>
      <c r="S66" s="5"/>
      <c r="T66" s="5"/>
      <c r="U66" s="5"/>
      <c r="V66" s="5"/>
      <c r="W66" s="4"/>
      <c r="X66" s="2"/>
      <c r="Y66" s="2"/>
      <c r="Z66" s="2"/>
      <c r="AA66" s="2"/>
      <c r="AB66" s="64" t="s">
        <v>103</v>
      </c>
      <c r="AC66" s="2">
        <v>2.3199999999999998</v>
      </c>
      <c r="AD66" s="2"/>
      <c r="AE66" s="2"/>
      <c r="AF66" s="2"/>
      <c r="AG66" s="2">
        <v>3.33</v>
      </c>
      <c r="AH66" s="2"/>
      <c r="AJ66" s="56"/>
    </row>
    <row r="67" spans="1:36">
      <c r="A67" s="2"/>
      <c r="B67" s="2"/>
      <c r="C67" s="2"/>
      <c r="D67" s="2">
        <v>5</v>
      </c>
      <c r="E67" s="2">
        <v>0.05</v>
      </c>
      <c r="F67" s="2"/>
      <c r="G67" s="2"/>
      <c r="H67" s="2"/>
      <c r="I67" s="2">
        <v>14.54</v>
      </c>
      <c r="J67" s="2"/>
      <c r="K67" s="2"/>
      <c r="L67" s="2">
        <v>0.46</v>
      </c>
      <c r="M67" s="2">
        <v>11.37</v>
      </c>
      <c r="N67" s="2"/>
      <c r="O67" s="2"/>
      <c r="P67" s="2">
        <v>23.5</v>
      </c>
      <c r="Q67" s="2"/>
      <c r="R67" s="2"/>
      <c r="S67" s="2"/>
      <c r="T67" s="2"/>
      <c r="U67" s="2">
        <v>26.27</v>
      </c>
      <c r="V67" s="2">
        <v>9.43</v>
      </c>
      <c r="W67" s="2">
        <f t="shared" ref="W67:W76" si="4">SUM(E67:V67)</f>
        <v>85.62</v>
      </c>
      <c r="X67" s="2">
        <f>AVERAGE(W63:W67)</f>
        <v>88.839999999999989</v>
      </c>
      <c r="Y67" s="2">
        <f>(W67-X67)/X67*100</f>
        <v>-3.6244934714092585</v>
      </c>
      <c r="Z67" s="2">
        <f>STDEV(W63:W67)</f>
        <v>14.814816907407348</v>
      </c>
      <c r="AA67" s="2"/>
      <c r="AB67" s="64" t="s">
        <v>103</v>
      </c>
      <c r="AC67" s="2">
        <v>3.06</v>
      </c>
      <c r="AD67" s="2">
        <f>AVERAGE(AC63:AC67)</f>
        <v>2.73</v>
      </c>
      <c r="AE67" s="2"/>
      <c r="AF67" s="2"/>
      <c r="AG67" s="2">
        <v>2.57</v>
      </c>
      <c r="AH67" s="2">
        <f>AVERAGE(AG63:AG67)</f>
        <v>2.7640000000000002</v>
      </c>
      <c r="AJ67" s="56"/>
    </row>
    <row r="68" spans="1:36">
      <c r="A68" s="2"/>
      <c r="B68" s="2"/>
      <c r="C68" s="2">
        <v>2</v>
      </c>
      <c r="D68" s="2">
        <v>1</v>
      </c>
      <c r="E68" s="2">
        <v>1.81</v>
      </c>
      <c r="F68" s="2">
        <v>0.01</v>
      </c>
      <c r="G68" s="2"/>
      <c r="H68" s="2"/>
      <c r="I68" s="2">
        <v>12.2</v>
      </c>
      <c r="J68" s="2"/>
      <c r="K68" s="2"/>
      <c r="L68" s="2">
        <v>0.12</v>
      </c>
      <c r="M68" s="2">
        <v>11.53</v>
      </c>
      <c r="N68" s="2"/>
      <c r="O68" s="2"/>
      <c r="P68" s="2">
        <v>1.69</v>
      </c>
      <c r="Q68" s="2"/>
      <c r="R68" s="2"/>
      <c r="S68" s="2">
        <v>0.48</v>
      </c>
      <c r="T68" s="2"/>
      <c r="U68" s="2">
        <v>19.86</v>
      </c>
      <c r="V68" s="2">
        <v>8.44</v>
      </c>
      <c r="W68" s="2">
        <f t="shared" si="4"/>
        <v>56.14</v>
      </c>
      <c r="X68" s="2"/>
      <c r="Y68" s="2">
        <f>(W68-X72)/X72*100</f>
        <v>-8.3518349222933157</v>
      </c>
      <c r="Z68" s="2"/>
      <c r="AA68" s="2"/>
      <c r="AB68" s="64" t="s">
        <v>103</v>
      </c>
      <c r="AC68" s="2">
        <v>2.58</v>
      </c>
      <c r="AD68" s="2"/>
      <c r="AE68" s="2"/>
      <c r="AF68" s="2"/>
      <c r="AG68" s="2">
        <v>1.97</v>
      </c>
      <c r="AH68" s="2"/>
      <c r="AJ68" s="56"/>
    </row>
    <row r="69" spans="1:36">
      <c r="A69" s="2"/>
      <c r="B69" s="2"/>
      <c r="C69" s="2"/>
      <c r="D69" s="2">
        <v>2</v>
      </c>
      <c r="E69" s="2"/>
      <c r="F69" s="2"/>
      <c r="G69" s="2">
        <v>0.08</v>
      </c>
      <c r="H69" s="2"/>
      <c r="I69" s="2">
        <v>8.52</v>
      </c>
      <c r="J69" s="2"/>
      <c r="K69" s="2"/>
      <c r="L69" s="2">
        <v>1.34</v>
      </c>
      <c r="M69" s="2">
        <v>15.96</v>
      </c>
      <c r="N69" s="2"/>
      <c r="O69" s="2"/>
      <c r="P69" s="2">
        <v>4.3600000000000003</v>
      </c>
      <c r="Q69" s="2">
        <v>0.05</v>
      </c>
      <c r="R69" s="2"/>
      <c r="S69" s="2">
        <v>0.56999999999999995</v>
      </c>
      <c r="T69" s="2"/>
      <c r="U69" s="2"/>
      <c r="V69" s="2">
        <v>9</v>
      </c>
      <c r="W69" s="2">
        <f t="shared" si="4"/>
        <v>39.879999999999995</v>
      </c>
      <c r="X69" s="2"/>
      <c r="Y69" s="2">
        <f>(W69-X72)/X72*100</f>
        <v>-34.896173436071571</v>
      </c>
      <c r="Z69" s="2"/>
      <c r="AA69" s="2"/>
      <c r="AB69" s="64" t="s">
        <v>103</v>
      </c>
      <c r="AC69" s="2">
        <v>1.24</v>
      </c>
      <c r="AD69" s="2"/>
      <c r="AE69" s="2"/>
      <c r="AF69" s="2"/>
      <c r="AG69" s="2">
        <v>1.96</v>
      </c>
      <c r="AH69" s="2"/>
      <c r="AJ69" s="56"/>
    </row>
    <row r="70" spans="1:36">
      <c r="A70" s="2"/>
      <c r="B70" s="2"/>
      <c r="C70" s="2"/>
      <c r="D70" s="2">
        <v>3</v>
      </c>
      <c r="E70" s="2"/>
      <c r="F70" s="2"/>
      <c r="G70" s="2"/>
      <c r="H70" s="2"/>
      <c r="I70" s="2">
        <v>8.42</v>
      </c>
      <c r="J70" s="2"/>
      <c r="K70" s="2"/>
      <c r="L70" s="2"/>
      <c r="M70" s="2">
        <v>18.47</v>
      </c>
      <c r="N70" s="2"/>
      <c r="O70" s="2"/>
      <c r="P70" s="2">
        <v>2.3199999999999998</v>
      </c>
      <c r="Q70" s="2">
        <v>0.86</v>
      </c>
      <c r="R70" s="2"/>
      <c r="S70" s="2"/>
      <c r="T70" s="2"/>
      <c r="U70" s="2">
        <v>13.45</v>
      </c>
      <c r="V70" s="2">
        <v>17.809999999999999</v>
      </c>
      <c r="W70" s="2">
        <f t="shared" si="4"/>
        <v>61.33</v>
      </c>
      <c r="X70" s="2"/>
      <c r="Y70" s="2">
        <f>(W70-X72)/X72*100</f>
        <v>0.12080449262113944</v>
      </c>
      <c r="Z70" s="2"/>
      <c r="AA70" s="2"/>
      <c r="AB70" s="64" t="s">
        <v>103</v>
      </c>
      <c r="AC70" s="2">
        <v>1.73</v>
      </c>
      <c r="AD70" s="2"/>
      <c r="AE70" s="2"/>
      <c r="AF70" s="2"/>
      <c r="AG70" s="2">
        <v>1.9</v>
      </c>
      <c r="AH70" s="2"/>
      <c r="AJ70" s="56"/>
    </row>
    <row r="71" spans="1:36">
      <c r="A71" s="2"/>
      <c r="B71" s="2"/>
      <c r="C71" s="2"/>
      <c r="D71" s="2">
        <v>4</v>
      </c>
      <c r="E71" s="2"/>
      <c r="F71" s="2"/>
      <c r="G71" s="2"/>
      <c r="H71" s="2"/>
      <c r="I71" s="2">
        <v>12.1</v>
      </c>
      <c r="J71" s="2"/>
      <c r="K71" s="2"/>
      <c r="L71" s="2">
        <v>1.8</v>
      </c>
      <c r="M71" s="2">
        <v>8.3000000000000007</v>
      </c>
      <c r="N71" s="2"/>
      <c r="O71" s="2"/>
      <c r="P71" s="2">
        <v>3.7</v>
      </c>
      <c r="Q71" s="2"/>
      <c r="R71" s="2"/>
      <c r="S71" s="2">
        <v>4.0999999999999996</v>
      </c>
      <c r="T71" s="2"/>
      <c r="U71" s="2">
        <v>12.1</v>
      </c>
      <c r="V71" s="2">
        <v>17.899999999999999</v>
      </c>
      <c r="W71" s="2">
        <f t="shared" si="4"/>
        <v>60</v>
      </c>
      <c r="X71" s="2"/>
      <c r="Y71" s="2">
        <f>(W71-X72)/X72*100</f>
        <v>-2.0504113882721584</v>
      </c>
      <c r="Z71" s="2"/>
      <c r="AA71" s="2"/>
      <c r="AB71" s="64" t="s">
        <v>103</v>
      </c>
      <c r="AC71" s="2">
        <v>2.92</v>
      </c>
      <c r="AD71" s="2"/>
      <c r="AE71" s="2"/>
      <c r="AF71" s="2"/>
      <c r="AG71" s="2">
        <v>1.35</v>
      </c>
      <c r="AH71" s="2"/>
      <c r="AJ71" s="56"/>
    </row>
    <row r="72" spans="1:36">
      <c r="A72" s="2"/>
      <c r="B72" s="2"/>
      <c r="C72" s="2"/>
      <c r="D72" s="2">
        <v>5</v>
      </c>
      <c r="E72" s="2"/>
      <c r="F72" s="2">
        <v>0.33</v>
      </c>
      <c r="G72" s="2"/>
      <c r="H72" s="2"/>
      <c r="I72" s="2">
        <v>11.57</v>
      </c>
      <c r="J72" s="2"/>
      <c r="K72" s="2"/>
      <c r="L72" s="2">
        <v>1.73</v>
      </c>
      <c r="M72" s="2">
        <v>10.89</v>
      </c>
      <c r="N72" s="2"/>
      <c r="O72" s="2"/>
      <c r="P72" s="2">
        <v>24.56</v>
      </c>
      <c r="Q72" s="2"/>
      <c r="R72" s="2"/>
      <c r="S72" s="2"/>
      <c r="T72" s="2"/>
      <c r="U72" s="2">
        <v>22.58</v>
      </c>
      <c r="V72" s="2">
        <v>17.27</v>
      </c>
      <c r="W72" s="2">
        <f t="shared" si="4"/>
        <v>88.929999999999993</v>
      </c>
      <c r="X72" s="2">
        <f>AVERAGE(W68:W72)</f>
        <v>61.255999999999993</v>
      </c>
      <c r="Y72" s="2">
        <f>(W72-X72)/X72*100</f>
        <v>45.177615254015933</v>
      </c>
      <c r="Z72" s="2">
        <f>STDEV(W68:W72)</f>
        <v>17.681488342331352</v>
      </c>
      <c r="AA72" s="2"/>
      <c r="AB72" s="64" t="s">
        <v>103</v>
      </c>
      <c r="AC72" s="2">
        <v>3.37</v>
      </c>
      <c r="AD72" s="2">
        <f>AVERAGE(AC68:AC72)</f>
        <v>2.3679999999999999</v>
      </c>
      <c r="AE72" s="2"/>
      <c r="AF72" s="2"/>
      <c r="AG72" s="2">
        <v>2.57</v>
      </c>
      <c r="AH72" s="2">
        <f>AVERAGE(AG68:AG72)</f>
        <v>1.95</v>
      </c>
      <c r="AJ72" s="56"/>
    </row>
    <row r="73" spans="1:36">
      <c r="A73" s="2"/>
      <c r="B73" s="2"/>
      <c r="C73" s="2">
        <v>3</v>
      </c>
      <c r="D73" s="2">
        <v>1</v>
      </c>
      <c r="E73" s="2"/>
      <c r="F73" s="2"/>
      <c r="G73" s="2"/>
      <c r="H73" s="2"/>
      <c r="I73" s="2">
        <v>11.4</v>
      </c>
      <c r="J73" s="2"/>
      <c r="K73" s="2"/>
      <c r="L73" s="2">
        <v>0.43</v>
      </c>
      <c r="M73" s="2">
        <v>13.16</v>
      </c>
      <c r="N73" s="2"/>
      <c r="O73" s="2"/>
      <c r="P73" s="2">
        <v>2.1800000000000002</v>
      </c>
      <c r="Q73" s="2">
        <v>1.1200000000000001</v>
      </c>
      <c r="R73" s="2"/>
      <c r="S73" s="2">
        <v>3.66</v>
      </c>
      <c r="T73" s="2"/>
      <c r="U73" s="2">
        <v>13.78</v>
      </c>
      <c r="V73" s="2">
        <v>9.8800000000000008</v>
      </c>
      <c r="W73" s="2">
        <f t="shared" si="4"/>
        <v>55.610000000000007</v>
      </c>
      <c r="X73" s="2"/>
      <c r="Y73" s="2">
        <f>(W73-X77)/X77*100</f>
        <v>-16.812517763915686</v>
      </c>
      <c r="Z73" s="2"/>
      <c r="AA73" s="2"/>
      <c r="AB73" s="64" t="s">
        <v>103</v>
      </c>
      <c r="AC73" s="2">
        <v>2.67</v>
      </c>
      <c r="AD73" s="2"/>
      <c r="AE73" s="2"/>
      <c r="AF73" s="2"/>
      <c r="AG73" s="2">
        <v>1.1100000000000001</v>
      </c>
      <c r="AH73" s="2"/>
      <c r="AJ73" s="56"/>
    </row>
    <row r="74" spans="1:36">
      <c r="A74" s="2"/>
      <c r="B74" s="2"/>
      <c r="C74" s="2"/>
      <c r="D74" s="2">
        <v>2</v>
      </c>
      <c r="E74" s="2"/>
      <c r="F74" s="2"/>
      <c r="G74" s="2"/>
      <c r="H74" s="2"/>
      <c r="I74" s="2">
        <v>21.54</v>
      </c>
      <c r="J74" s="2"/>
      <c r="K74" s="2"/>
      <c r="L74" s="2">
        <v>0.62</v>
      </c>
      <c r="M74" s="2">
        <v>11.61</v>
      </c>
      <c r="N74" s="2"/>
      <c r="O74" s="2"/>
      <c r="P74" s="2">
        <v>0.6</v>
      </c>
      <c r="Q74" s="2">
        <v>0.67</v>
      </c>
      <c r="R74" s="2"/>
      <c r="S74" s="2">
        <v>0.25</v>
      </c>
      <c r="T74" s="2"/>
      <c r="U74" s="2">
        <v>9.15</v>
      </c>
      <c r="V74" s="2">
        <v>6.77</v>
      </c>
      <c r="W74" s="2">
        <f t="shared" si="4"/>
        <v>51.209999999999994</v>
      </c>
      <c r="X74" s="2"/>
      <c r="Y74" s="2">
        <f>(W74-X77)/X77*100</f>
        <v>-23.394515998743451</v>
      </c>
      <c r="Z74" s="2"/>
      <c r="AA74" s="2"/>
      <c r="AB74" s="64" t="s">
        <v>103</v>
      </c>
      <c r="AC74" s="2">
        <v>3.11</v>
      </c>
      <c r="AD74" s="2"/>
      <c r="AE74" s="2"/>
      <c r="AF74" s="2"/>
      <c r="AG74" s="2">
        <v>2.23</v>
      </c>
      <c r="AH74" s="2"/>
      <c r="AJ74" s="56"/>
    </row>
    <row r="75" spans="1:36">
      <c r="A75" s="2"/>
      <c r="B75" s="2"/>
      <c r="C75" s="2"/>
      <c r="D75" s="2">
        <v>3</v>
      </c>
      <c r="E75" s="2">
        <v>0.19</v>
      </c>
      <c r="F75" s="2"/>
      <c r="G75" s="2"/>
      <c r="H75" s="2"/>
      <c r="I75" s="2">
        <v>23.22</v>
      </c>
      <c r="J75" s="2"/>
      <c r="K75" s="2"/>
      <c r="L75" s="2">
        <v>2.81</v>
      </c>
      <c r="M75" s="59">
        <v>11.36</v>
      </c>
      <c r="N75" s="2"/>
      <c r="O75" s="2"/>
      <c r="P75" s="2">
        <v>0.74</v>
      </c>
      <c r="Q75" s="2"/>
      <c r="R75" s="2"/>
      <c r="S75" s="2">
        <v>1.3</v>
      </c>
      <c r="T75" s="2"/>
      <c r="U75" s="2">
        <v>28.97</v>
      </c>
      <c r="V75" s="2">
        <v>24.69</v>
      </c>
      <c r="W75" s="57">
        <f t="shared" si="4"/>
        <v>93.28</v>
      </c>
      <c r="X75" s="2"/>
      <c r="Y75" s="2">
        <f>(W75-X77)/X77*100</f>
        <v>39.538362578348213</v>
      </c>
      <c r="Z75" s="2"/>
      <c r="AA75" s="2"/>
      <c r="AB75" s="64" t="s">
        <v>103</v>
      </c>
      <c r="AC75" s="2">
        <v>2.48</v>
      </c>
      <c r="AD75" s="2"/>
      <c r="AE75" s="2"/>
      <c r="AF75" s="2"/>
      <c r="AG75" s="2">
        <v>2.2400000000000002</v>
      </c>
      <c r="AH75" s="2"/>
      <c r="AJ75" s="56"/>
    </row>
    <row r="76" spans="1:36">
      <c r="A76" s="2"/>
      <c r="B76" s="2"/>
      <c r="C76" s="2"/>
      <c r="D76" s="2">
        <v>4</v>
      </c>
      <c r="E76" s="2"/>
      <c r="F76" s="2"/>
      <c r="G76" s="2">
        <v>0.44</v>
      </c>
      <c r="H76" s="2"/>
      <c r="I76" s="2">
        <v>11.31</v>
      </c>
      <c r="J76" s="2"/>
      <c r="K76" s="2"/>
      <c r="L76" s="2">
        <v>1.73</v>
      </c>
      <c r="M76" s="2">
        <v>21.53</v>
      </c>
      <c r="N76" s="2"/>
      <c r="O76" s="2"/>
      <c r="P76" s="2">
        <v>0.67</v>
      </c>
      <c r="Q76" s="2">
        <v>0.8</v>
      </c>
      <c r="R76" s="2"/>
      <c r="S76" s="2">
        <v>0.32</v>
      </c>
      <c r="T76" s="2"/>
      <c r="U76" s="2">
        <v>17.16</v>
      </c>
      <c r="V76" s="2">
        <v>7</v>
      </c>
      <c r="W76" s="2">
        <f t="shared" si="4"/>
        <v>60.960000000000008</v>
      </c>
      <c r="X76" s="2"/>
      <c r="Y76" s="2">
        <f>(W76-X77)/X77*100</f>
        <v>-8.8094062738410379</v>
      </c>
      <c r="Z76" s="2"/>
      <c r="AA76" s="2"/>
      <c r="AB76" s="64" t="s">
        <v>103</v>
      </c>
      <c r="AC76" s="2">
        <v>3.8</v>
      </c>
      <c r="AD76" s="2"/>
      <c r="AE76" s="2"/>
      <c r="AF76" s="2"/>
      <c r="AG76" s="2">
        <v>2.02</v>
      </c>
      <c r="AH76" s="2"/>
      <c r="AJ76" s="56"/>
    </row>
    <row r="77" spans="1:36">
      <c r="A77" s="2"/>
      <c r="B77" s="2"/>
      <c r="C77" s="2"/>
      <c r="D77" s="2">
        <v>5</v>
      </c>
      <c r="E77" s="5"/>
      <c r="F77" s="5"/>
      <c r="G77" s="5"/>
      <c r="H77" s="57"/>
      <c r="I77" s="57"/>
      <c r="J77" s="57"/>
      <c r="K77" s="57"/>
      <c r="L77" s="57"/>
      <c r="M77" s="57"/>
      <c r="N77" s="57"/>
      <c r="O77" s="57"/>
      <c r="P77" s="57"/>
      <c r="Q77" s="57"/>
      <c r="R77" s="57"/>
      <c r="S77" s="57"/>
      <c r="T77" s="57"/>
      <c r="U77" s="57"/>
      <c r="V77" s="57"/>
      <c r="W77" s="4">
        <v>73.185000000000002</v>
      </c>
      <c r="X77" s="2">
        <f>AVERAGE(W73:W77)</f>
        <v>66.849000000000004</v>
      </c>
      <c r="Y77" s="2">
        <f>(W77-X77)/X77*100</f>
        <v>9.4780774581519509</v>
      </c>
      <c r="Z77" s="2">
        <f>STDEV(W73:W77)</f>
        <v>16.913873151942482</v>
      </c>
      <c r="AA77" s="2"/>
      <c r="AB77" s="64" t="s">
        <v>103</v>
      </c>
      <c r="AC77" s="2">
        <v>3.89</v>
      </c>
      <c r="AD77" s="2">
        <f>AVERAGE(AC73:AC77)</f>
        <v>3.19</v>
      </c>
      <c r="AE77" s="2"/>
      <c r="AF77" s="2"/>
      <c r="AG77" s="2">
        <v>2.35</v>
      </c>
      <c r="AH77" s="2">
        <f>AVERAGE(AG73:AG77)</f>
        <v>1.9899999999999998</v>
      </c>
      <c r="AJ77" s="56"/>
    </row>
    <row r="78" spans="1:36">
      <c r="A78" s="2"/>
      <c r="B78" s="2"/>
      <c r="C78" s="2">
        <v>4</v>
      </c>
      <c r="D78" s="2">
        <v>1</v>
      </c>
      <c r="E78" s="2"/>
      <c r="F78" s="2"/>
      <c r="G78" s="2">
        <v>0.08</v>
      </c>
      <c r="H78" s="2"/>
      <c r="I78" s="2">
        <v>21.09</v>
      </c>
      <c r="J78" s="2"/>
      <c r="K78" s="2"/>
      <c r="L78" s="2">
        <v>1.42</v>
      </c>
      <c r="M78" s="2"/>
      <c r="N78" s="2"/>
      <c r="O78" s="2"/>
      <c r="P78" s="2">
        <v>1.93</v>
      </c>
      <c r="Q78" s="2">
        <v>1.74</v>
      </c>
      <c r="R78" s="2"/>
      <c r="S78" s="2">
        <v>1.08</v>
      </c>
      <c r="T78" s="2"/>
      <c r="U78" s="2">
        <v>21.68</v>
      </c>
      <c r="V78" s="2">
        <v>17.52</v>
      </c>
      <c r="W78" s="2">
        <f t="shared" ref="W78:W82" si="5">SUM(E78:V78)</f>
        <v>66.539999999999992</v>
      </c>
      <c r="X78" s="2"/>
      <c r="Y78" s="2">
        <f>(W78-X82)/X82*100</f>
        <v>10.627119771230944</v>
      </c>
      <c r="Z78" s="2"/>
      <c r="AA78" s="2"/>
      <c r="AB78" s="64" t="s">
        <v>103</v>
      </c>
      <c r="AC78" s="2">
        <v>2.17</v>
      </c>
      <c r="AD78" s="2"/>
      <c r="AE78" s="2"/>
      <c r="AF78" s="2"/>
      <c r="AG78" s="2">
        <v>3.61</v>
      </c>
      <c r="AH78" s="2"/>
      <c r="AJ78" s="56"/>
    </row>
    <row r="79" spans="1:36">
      <c r="A79" s="2"/>
      <c r="B79" s="2"/>
      <c r="C79" s="2"/>
      <c r="D79" s="2">
        <v>2</v>
      </c>
      <c r="E79" s="2"/>
      <c r="F79" s="2"/>
      <c r="G79" s="2"/>
      <c r="H79" s="2"/>
      <c r="I79" s="2">
        <v>6.88</v>
      </c>
      <c r="J79" s="2"/>
      <c r="K79" s="2"/>
      <c r="L79" s="2">
        <v>3.16</v>
      </c>
      <c r="M79" s="2">
        <v>10.39</v>
      </c>
      <c r="N79" s="2"/>
      <c r="O79" s="2"/>
      <c r="P79" s="2">
        <v>1.6</v>
      </c>
      <c r="Q79" s="2">
        <v>1.8</v>
      </c>
      <c r="R79" s="2"/>
      <c r="S79" s="2">
        <v>0.22</v>
      </c>
      <c r="T79" s="2"/>
      <c r="U79" s="2">
        <v>24.64</v>
      </c>
      <c r="V79" s="2">
        <v>6.02</v>
      </c>
      <c r="W79" s="2">
        <f t="shared" si="5"/>
        <v>54.709999999999994</v>
      </c>
      <c r="X79" s="2"/>
      <c r="Y79" s="2">
        <f>(W79-X82)/X82*100</f>
        <v>-9.0410321207687847</v>
      </c>
      <c r="Z79" s="2"/>
      <c r="AA79" s="2"/>
      <c r="AB79" s="64" t="s">
        <v>103</v>
      </c>
      <c r="AC79" s="2">
        <v>1.45</v>
      </c>
      <c r="AD79" s="2"/>
      <c r="AE79" s="2"/>
      <c r="AF79" s="2"/>
      <c r="AG79" s="2">
        <v>1.83</v>
      </c>
      <c r="AH79" s="2"/>
      <c r="AJ79" s="56"/>
    </row>
    <row r="80" spans="1:36">
      <c r="A80" s="2"/>
      <c r="B80" s="2"/>
      <c r="C80" s="2"/>
      <c r="D80" s="2">
        <v>3</v>
      </c>
      <c r="E80" s="2"/>
      <c r="F80" s="2">
        <v>7.0000000000000007E-2</v>
      </c>
      <c r="G80" s="2"/>
      <c r="H80" s="2"/>
      <c r="I80" s="59">
        <v>19.899999999999999</v>
      </c>
      <c r="J80" s="2"/>
      <c r="K80" s="2"/>
      <c r="L80" s="2">
        <v>0.85</v>
      </c>
      <c r="M80" s="59">
        <v>15.56</v>
      </c>
      <c r="N80" s="2"/>
      <c r="O80" s="2"/>
      <c r="P80" s="2">
        <v>9.85</v>
      </c>
      <c r="Q80" s="2">
        <v>1.32</v>
      </c>
      <c r="R80" s="2"/>
      <c r="S80" s="2">
        <v>0.32</v>
      </c>
      <c r="T80" s="2"/>
      <c r="U80" s="59">
        <v>17.47</v>
      </c>
      <c r="V80" s="2">
        <v>15.44</v>
      </c>
      <c r="W80" s="57">
        <f t="shared" si="5"/>
        <v>80.78</v>
      </c>
      <c r="X80" s="2"/>
      <c r="Y80" s="2">
        <f>(W80-X82)/X82*100</f>
        <v>34.302054931169771</v>
      </c>
      <c r="Z80" s="2"/>
      <c r="AA80" s="2"/>
      <c r="AB80" s="64" t="s">
        <v>103</v>
      </c>
      <c r="AC80" s="2">
        <v>3.29</v>
      </c>
      <c r="AD80" s="2"/>
      <c r="AE80" s="2"/>
      <c r="AF80" s="2"/>
      <c r="AG80" s="2">
        <v>2.41</v>
      </c>
      <c r="AH80" s="2"/>
      <c r="AJ80" s="56"/>
    </row>
    <row r="81" spans="1:36">
      <c r="A81" s="2"/>
      <c r="B81" s="2"/>
      <c r="C81" s="2"/>
      <c r="D81" s="2">
        <v>4</v>
      </c>
      <c r="E81" s="2">
        <v>0.17</v>
      </c>
      <c r="F81" s="2"/>
      <c r="G81" s="2"/>
      <c r="H81" s="2"/>
      <c r="I81" s="2">
        <v>14.53</v>
      </c>
      <c r="J81" s="2"/>
      <c r="K81" s="2"/>
      <c r="L81" s="2">
        <v>0.56999999999999995</v>
      </c>
      <c r="M81" s="2">
        <v>5.82</v>
      </c>
      <c r="N81" s="2"/>
      <c r="O81" s="2"/>
      <c r="P81" s="2">
        <v>1.42</v>
      </c>
      <c r="Q81" s="2">
        <v>0.26</v>
      </c>
      <c r="R81" s="2"/>
      <c r="S81" s="2">
        <v>0.28999999999999998</v>
      </c>
      <c r="T81" s="2"/>
      <c r="U81" s="2">
        <v>21.68</v>
      </c>
      <c r="V81" s="2"/>
      <c r="W81" s="2">
        <f t="shared" si="5"/>
        <v>44.739999999999995</v>
      </c>
      <c r="X81" s="2"/>
      <c r="Y81" s="2">
        <f>(W81-X82)/X82*100</f>
        <v>-25.616811864068644</v>
      </c>
      <c r="Z81" s="2"/>
      <c r="AA81" s="2"/>
      <c r="AB81" s="64" t="s">
        <v>103</v>
      </c>
      <c r="AC81" s="2">
        <v>1.86</v>
      </c>
      <c r="AD81" s="2"/>
      <c r="AE81" s="2"/>
      <c r="AF81" s="2"/>
      <c r="AG81" s="2">
        <v>1.17</v>
      </c>
      <c r="AH81" s="2"/>
      <c r="AJ81" s="56"/>
    </row>
    <row r="82" spans="1:36">
      <c r="A82" s="2"/>
      <c r="B82" s="2"/>
      <c r="C82" s="2"/>
      <c r="D82" s="2">
        <v>5</v>
      </c>
      <c r="E82" s="2"/>
      <c r="F82" s="2"/>
      <c r="G82" s="2">
        <v>0.01</v>
      </c>
      <c r="H82" s="2"/>
      <c r="I82" s="2">
        <v>10.5</v>
      </c>
      <c r="J82" s="2"/>
      <c r="K82" s="2"/>
      <c r="L82" s="2">
        <v>0.05</v>
      </c>
      <c r="M82" s="2">
        <v>23.38</v>
      </c>
      <c r="N82" s="2"/>
      <c r="O82" s="2"/>
      <c r="P82" s="2">
        <v>1.23</v>
      </c>
      <c r="Q82" s="2">
        <v>0.12</v>
      </c>
      <c r="R82" s="2"/>
      <c r="S82" s="2">
        <v>0.17</v>
      </c>
      <c r="T82" s="2"/>
      <c r="U82" s="2">
        <v>11.49</v>
      </c>
      <c r="V82" s="2">
        <v>7.02</v>
      </c>
      <c r="W82" s="2">
        <f t="shared" si="5"/>
        <v>53.97</v>
      </c>
      <c r="X82" s="2">
        <f>AVERAGE(W78:W82)</f>
        <v>60.148000000000003</v>
      </c>
      <c r="Y82" s="2">
        <f>(W82-X82)/X82*100</f>
        <v>-10.271330717563352</v>
      </c>
      <c r="Z82" s="2">
        <f>STDEV(W78:W82)</f>
        <v>13.88959214663983</v>
      </c>
      <c r="AA82" s="2"/>
      <c r="AB82" s="64" t="s">
        <v>103</v>
      </c>
      <c r="AC82" s="2">
        <v>1.21</v>
      </c>
      <c r="AD82" s="2">
        <f>AVERAGE(AC78:AC82)</f>
        <v>1.996</v>
      </c>
      <c r="AE82" s="2"/>
      <c r="AF82" s="2"/>
      <c r="AG82" s="2">
        <v>3.1</v>
      </c>
      <c r="AH82" s="2">
        <f>AVERAGE(AG78:AG82)</f>
        <v>2.4239999999999999</v>
      </c>
      <c r="AJ82" s="56"/>
    </row>
    <row r="83" spans="1:36">
      <c r="A83" s="2" t="s">
        <v>78</v>
      </c>
      <c r="B83" s="2" t="s">
        <v>102</v>
      </c>
      <c r="C83" s="2">
        <v>1</v>
      </c>
      <c r="D83" s="2">
        <v>1</v>
      </c>
      <c r="E83" s="5" t="s">
        <v>103</v>
      </c>
      <c r="F83" s="5" t="s">
        <v>103</v>
      </c>
      <c r="G83" s="5" t="s">
        <v>103</v>
      </c>
      <c r="H83" s="5" t="s">
        <v>103</v>
      </c>
      <c r="I83" s="5" t="s">
        <v>103</v>
      </c>
      <c r="J83" s="5" t="s">
        <v>103</v>
      </c>
      <c r="K83" s="5" t="s">
        <v>103</v>
      </c>
      <c r="L83" s="5" t="s">
        <v>103</v>
      </c>
      <c r="M83" s="5" t="s">
        <v>103</v>
      </c>
      <c r="N83" s="5" t="s">
        <v>103</v>
      </c>
      <c r="O83" s="5" t="s">
        <v>103</v>
      </c>
      <c r="P83" s="5" t="s">
        <v>103</v>
      </c>
      <c r="Q83" s="5" t="s">
        <v>103</v>
      </c>
      <c r="R83" s="5" t="s">
        <v>103</v>
      </c>
      <c r="S83" s="5" t="s">
        <v>103</v>
      </c>
      <c r="T83" s="5" t="s">
        <v>103</v>
      </c>
      <c r="U83" s="5" t="s">
        <v>103</v>
      </c>
      <c r="V83" s="5" t="s">
        <v>103</v>
      </c>
      <c r="W83" s="2"/>
      <c r="X83" s="2"/>
      <c r="Y83" s="2"/>
      <c r="Z83" s="2"/>
      <c r="AA83" s="2"/>
      <c r="AB83" s="2">
        <v>8.1</v>
      </c>
      <c r="AC83" s="2">
        <f>AVERAGEA(AC84:AC87)</f>
        <v>0.98</v>
      </c>
      <c r="AD83" s="2"/>
      <c r="AE83" s="2"/>
      <c r="AF83" s="2"/>
      <c r="AG83" s="2">
        <v>5.45</v>
      </c>
      <c r="AH83" s="2"/>
      <c r="AJ83" s="56"/>
    </row>
    <row r="84" spans="1:36">
      <c r="A84" s="2"/>
      <c r="B84" s="2"/>
      <c r="C84" s="2"/>
      <c r="D84" s="2">
        <v>2</v>
      </c>
      <c r="E84" s="5" t="s">
        <v>103</v>
      </c>
      <c r="F84" s="5" t="s">
        <v>103</v>
      </c>
      <c r="G84" s="5" t="s">
        <v>103</v>
      </c>
      <c r="H84" s="5" t="s">
        <v>103</v>
      </c>
      <c r="I84" s="5" t="s">
        <v>103</v>
      </c>
      <c r="J84" s="5" t="s">
        <v>103</v>
      </c>
      <c r="K84" s="5" t="s">
        <v>103</v>
      </c>
      <c r="L84" s="5" t="s">
        <v>103</v>
      </c>
      <c r="M84" s="5" t="s">
        <v>103</v>
      </c>
      <c r="N84" s="5" t="s">
        <v>103</v>
      </c>
      <c r="O84" s="5" t="s">
        <v>103</v>
      </c>
      <c r="P84" s="5" t="s">
        <v>103</v>
      </c>
      <c r="Q84" s="5" t="s">
        <v>103</v>
      </c>
      <c r="R84" s="5" t="s">
        <v>103</v>
      </c>
      <c r="S84" s="5" t="s">
        <v>103</v>
      </c>
      <c r="T84" s="5" t="s">
        <v>103</v>
      </c>
      <c r="U84" s="5" t="s">
        <v>103</v>
      </c>
      <c r="V84" s="5" t="s">
        <v>103</v>
      </c>
      <c r="W84" s="2"/>
      <c r="X84" s="2"/>
      <c r="Y84" s="2"/>
      <c r="Z84" s="2"/>
      <c r="AA84" s="2"/>
      <c r="AB84" s="2">
        <v>5.3</v>
      </c>
      <c r="AC84" s="2">
        <v>1.1399999999999999</v>
      </c>
      <c r="AD84" s="2"/>
      <c r="AE84" s="2"/>
      <c r="AF84" s="2"/>
      <c r="AG84" s="2">
        <v>4.3</v>
      </c>
      <c r="AH84" s="2"/>
      <c r="AJ84" s="56"/>
    </row>
    <row r="85" spans="1:36">
      <c r="A85" s="2"/>
      <c r="B85" s="2"/>
      <c r="C85" s="2"/>
      <c r="D85" s="2">
        <v>3</v>
      </c>
      <c r="E85" s="5" t="s">
        <v>103</v>
      </c>
      <c r="F85" s="5" t="s">
        <v>103</v>
      </c>
      <c r="G85" s="5" t="s">
        <v>103</v>
      </c>
      <c r="H85" s="5" t="s">
        <v>103</v>
      </c>
      <c r="I85" s="5" t="s">
        <v>103</v>
      </c>
      <c r="J85" s="5" t="s">
        <v>103</v>
      </c>
      <c r="K85" s="5" t="s">
        <v>103</v>
      </c>
      <c r="L85" s="5" t="s">
        <v>103</v>
      </c>
      <c r="M85" s="5" t="s">
        <v>103</v>
      </c>
      <c r="N85" s="5" t="s">
        <v>103</v>
      </c>
      <c r="O85" s="5" t="s">
        <v>103</v>
      </c>
      <c r="P85" s="5" t="s">
        <v>103</v>
      </c>
      <c r="Q85" s="5" t="s">
        <v>103</v>
      </c>
      <c r="R85" s="5" t="s">
        <v>103</v>
      </c>
      <c r="S85" s="5" t="s">
        <v>103</v>
      </c>
      <c r="T85" s="5" t="s">
        <v>103</v>
      </c>
      <c r="U85" s="5" t="s">
        <v>103</v>
      </c>
      <c r="V85" s="5" t="s">
        <v>103</v>
      </c>
      <c r="W85" s="2"/>
      <c r="X85" s="2"/>
      <c r="Y85" s="2"/>
      <c r="Z85" s="2"/>
      <c r="AA85" s="2"/>
      <c r="AB85" s="2">
        <v>9.8000000000000007</v>
      </c>
      <c r="AC85" s="2">
        <v>1.02</v>
      </c>
      <c r="AD85" s="2"/>
      <c r="AE85" s="2"/>
      <c r="AF85" s="2"/>
      <c r="AG85" s="2">
        <v>3.55</v>
      </c>
      <c r="AH85" s="2"/>
      <c r="AJ85" s="56"/>
    </row>
    <row r="86" spans="1:36">
      <c r="A86" s="2"/>
      <c r="B86" s="2"/>
      <c r="C86" s="2"/>
      <c r="D86" s="2">
        <v>4</v>
      </c>
      <c r="E86" s="5" t="s">
        <v>103</v>
      </c>
      <c r="F86" s="5" t="s">
        <v>103</v>
      </c>
      <c r="G86" s="5" t="s">
        <v>103</v>
      </c>
      <c r="H86" s="5" t="s">
        <v>103</v>
      </c>
      <c r="I86" s="5" t="s">
        <v>103</v>
      </c>
      <c r="J86" s="5" t="s">
        <v>103</v>
      </c>
      <c r="K86" s="5" t="s">
        <v>103</v>
      </c>
      <c r="L86" s="5" t="s">
        <v>103</v>
      </c>
      <c r="M86" s="5" t="s">
        <v>103</v>
      </c>
      <c r="N86" s="5" t="s">
        <v>103</v>
      </c>
      <c r="O86" s="5" t="s">
        <v>103</v>
      </c>
      <c r="P86" s="5" t="s">
        <v>103</v>
      </c>
      <c r="Q86" s="5" t="s">
        <v>103</v>
      </c>
      <c r="R86" s="5" t="s">
        <v>103</v>
      </c>
      <c r="S86" s="5" t="s">
        <v>103</v>
      </c>
      <c r="T86" s="5" t="s">
        <v>103</v>
      </c>
      <c r="U86" s="5" t="s">
        <v>103</v>
      </c>
      <c r="V86" s="5" t="s">
        <v>103</v>
      </c>
      <c r="W86" s="2"/>
      <c r="X86" s="2"/>
      <c r="Y86" s="2"/>
      <c r="Z86" s="2"/>
      <c r="AA86" s="2"/>
      <c r="AB86" s="2">
        <v>7.4</v>
      </c>
      <c r="AC86" s="2">
        <v>1.25</v>
      </c>
      <c r="AD86" s="2"/>
      <c r="AE86" s="2"/>
      <c r="AF86" s="2"/>
      <c r="AG86" s="2">
        <v>3.74</v>
      </c>
      <c r="AH86" s="2"/>
      <c r="AJ86" s="56"/>
    </row>
    <row r="87" spans="1:36">
      <c r="A87" s="2"/>
      <c r="B87" s="2"/>
      <c r="C87" s="2"/>
      <c r="D87" s="2">
        <v>5</v>
      </c>
      <c r="E87" s="5" t="s">
        <v>103</v>
      </c>
      <c r="F87" s="5" t="s">
        <v>103</v>
      </c>
      <c r="G87" s="5" t="s">
        <v>103</v>
      </c>
      <c r="H87" s="5" t="s">
        <v>103</v>
      </c>
      <c r="I87" s="5" t="s">
        <v>103</v>
      </c>
      <c r="J87" s="5" t="s">
        <v>103</v>
      </c>
      <c r="K87" s="5" t="s">
        <v>103</v>
      </c>
      <c r="L87" s="5" t="s">
        <v>103</v>
      </c>
      <c r="M87" s="5" t="s">
        <v>103</v>
      </c>
      <c r="N87" s="5" t="s">
        <v>103</v>
      </c>
      <c r="O87" s="5" t="s">
        <v>103</v>
      </c>
      <c r="P87" s="5" t="s">
        <v>103</v>
      </c>
      <c r="Q87" s="5" t="s">
        <v>103</v>
      </c>
      <c r="R87" s="5" t="s">
        <v>103</v>
      </c>
      <c r="S87" s="5" t="s">
        <v>103</v>
      </c>
      <c r="T87" s="5" t="s">
        <v>103</v>
      </c>
      <c r="U87" s="5" t="s">
        <v>103</v>
      </c>
      <c r="V87" s="5" t="s">
        <v>103</v>
      </c>
      <c r="W87" s="2"/>
      <c r="X87" s="2"/>
      <c r="Y87" s="2"/>
      <c r="Z87" s="2"/>
      <c r="AA87" s="2"/>
      <c r="AB87" s="2">
        <v>5.2</v>
      </c>
      <c r="AC87" s="2">
        <v>0.51</v>
      </c>
      <c r="AD87" s="2">
        <f>AVERAGEA(AC83:AC87)</f>
        <v>0.98000000000000009</v>
      </c>
      <c r="AE87" s="2"/>
      <c r="AF87" s="2"/>
      <c r="AG87" s="2">
        <v>7.2</v>
      </c>
      <c r="AH87" s="2">
        <f>AVERAGEA(AG83:AG87)</f>
        <v>4.8479999999999999</v>
      </c>
      <c r="AJ87" s="56"/>
    </row>
    <row r="88" spans="1:36">
      <c r="A88" s="2"/>
      <c r="B88" s="2"/>
      <c r="C88" s="2">
        <v>2</v>
      </c>
      <c r="D88" s="2">
        <v>1</v>
      </c>
      <c r="E88" s="5" t="s">
        <v>103</v>
      </c>
      <c r="F88" s="5" t="s">
        <v>103</v>
      </c>
      <c r="G88" s="5" t="s">
        <v>103</v>
      </c>
      <c r="H88" s="5" t="s">
        <v>103</v>
      </c>
      <c r="I88" s="5" t="s">
        <v>103</v>
      </c>
      <c r="J88" s="5" t="s">
        <v>103</v>
      </c>
      <c r="K88" s="5" t="s">
        <v>103</v>
      </c>
      <c r="L88" s="5" t="s">
        <v>103</v>
      </c>
      <c r="M88" s="5" t="s">
        <v>103</v>
      </c>
      <c r="N88" s="5" t="s">
        <v>103</v>
      </c>
      <c r="O88" s="5" t="s">
        <v>103</v>
      </c>
      <c r="P88" s="5" t="s">
        <v>103</v>
      </c>
      <c r="Q88" s="5" t="s">
        <v>103</v>
      </c>
      <c r="R88" s="5" t="s">
        <v>103</v>
      </c>
      <c r="S88" s="5" t="s">
        <v>103</v>
      </c>
      <c r="T88" s="5" t="s">
        <v>103</v>
      </c>
      <c r="U88" s="5" t="s">
        <v>103</v>
      </c>
      <c r="V88" s="5" t="s">
        <v>103</v>
      </c>
      <c r="W88" s="2"/>
      <c r="X88" s="2"/>
      <c r="Y88" s="2"/>
      <c r="Z88" s="2"/>
      <c r="AA88" s="2"/>
      <c r="AB88" s="2">
        <v>8</v>
      </c>
      <c r="AC88" s="2">
        <v>0.86</v>
      </c>
      <c r="AD88" s="2"/>
      <c r="AE88" s="2"/>
      <c r="AF88" s="2"/>
      <c r="AG88" s="2">
        <v>4.6399999999999997</v>
      </c>
      <c r="AH88" s="2"/>
      <c r="AJ88" s="56"/>
    </row>
    <row r="89" spans="1:36">
      <c r="A89" s="2"/>
      <c r="B89" s="2"/>
      <c r="C89" s="2"/>
      <c r="D89" s="2">
        <v>2</v>
      </c>
      <c r="E89" s="5" t="s">
        <v>103</v>
      </c>
      <c r="F89" s="5" t="s">
        <v>103</v>
      </c>
      <c r="G89" s="5" t="s">
        <v>103</v>
      </c>
      <c r="H89" s="5" t="s">
        <v>103</v>
      </c>
      <c r="I89" s="5" t="s">
        <v>103</v>
      </c>
      <c r="J89" s="5" t="s">
        <v>103</v>
      </c>
      <c r="K89" s="5" t="s">
        <v>103</v>
      </c>
      <c r="L89" s="5" t="s">
        <v>103</v>
      </c>
      <c r="M89" s="5" t="s">
        <v>103</v>
      </c>
      <c r="N89" s="5" t="s">
        <v>103</v>
      </c>
      <c r="O89" s="5" t="s">
        <v>103</v>
      </c>
      <c r="P89" s="5" t="s">
        <v>103</v>
      </c>
      <c r="Q89" s="5" t="s">
        <v>103</v>
      </c>
      <c r="R89" s="5" t="s">
        <v>103</v>
      </c>
      <c r="S89" s="5" t="s">
        <v>103</v>
      </c>
      <c r="T89" s="5" t="s">
        <v>103</v>
      </c>
      <c r="U89" s="5" t="s">
        <v>103</v>
      </c>
      <c r="V89" s="5" t="s">
        <v>103</v>
      </c>
      <c r="W89" s="2"/>
      <c r="X89" s="2"/>
      <c r="Y89" s="2"/>
      <c r="Z89" s="2"/>
      <c r="AA89" s="2"/>
      <c r="AB89" s="2">
        <v>6.2</v>
      </c>
      <c r="AC89" s="2">
        <v>0.25</v>
      </c>
      <c r="AD89" s="2"/>
      <c r="AE89" s="2"/>
      <c r="AF89" s="2"/>
      <c r="AG89" s="2">
        <v>4.67</v>
      </c>
      <c r="AH89" s="2"/>
      <c r="AJ89" s="56"/>
    </row>
    <row r="90" spans="1:36">
      <c r="A90" s="2"/>
      <c r="B90" s="2"/>
      <c r="C90" s="2"/>
      <c r="D90" s="2">
        <v>3</v>
      </c>
      <c r="E90" s="5" t="s">
        <v>103</v>
      </c>
      <c r="F90" s="5" t="s">
        <v>103</v>
      </c>
      <c r="G90" s="5" t="s">
        <v>103</v>
      </c>
      <c r="H90" s="5" t="s">
        <v>103</v>
      </c>
      <c r="I90" s="5" t="s">
        <v>103</v>
      </c>
      <c r="J90" s="5" t="s">
        <v>103</v>
      </c>
      <c r="K90" s="5" t="s">
        <v>103</v>
      </c>
      <c r="L90" s="5" t="s">
        <v>103</v>
      </c>
      <c r="M90" s="5" t="s">
        <v>103</v>
      </c>
      <c r="N90" s="5" t="s">
        <v>103</v>
      </c>
      <c r="O90" s="5" t="s">
        <v>103</v>
      </c>
      <c r="P90" s="5" t="s">
        <v>103</v>
      </c>
      <c r="Q90" s="5" t="s">
        <v>103</v>
      </c>
      <c r="R90" s="5" t="s">
        <v>103</v>
      </c>
      <c r="S90" s="5" t="s">
        <v>103</v>
      </c>
      <c r="T90" s="5" t="s">
        <v>103</v>
      </c>
      <c r="U90" s="5" t="s">
        <v>103</v>
      </c>
      <c r="V90" s="5" t="s">
        <v>103</v>
      </c>
      <c r="W90" s="2"/>
      <c r="X90" s="2"/>
      <c r="Y90" s="2"/>
      <c r="Z90" s="2"/>
      <c r="AA90" s="2"/>
      <c r="AB90" s="2">
        <v>7.3</v>
      </c>
      <c r="AC90" s="2">
        <v>0.99</v>
      </c>
      <c r="AD90" s="2"/>
      <c r="AE90" s="2"/>
      <c r="AF90" s="2"/>
      <c r="AG90" s="2">
        <v>7.36</v>
      </c>
      <c r="AH90" s="2"/>
      <c r="AJ90" s="56"/>
    </row>
    <row r="91" spans="1:36">
      <c r="A91" s="2"/>
      <c r="B91" s="2"/>
      <c r="C91" s="2"/>
      <c r="D91" s="2">
        <v>4</v>
      </c>
      <c r="E91" s="5" t="s">
        <v>103</v>
      </c>
      <c r="F91" s="5" t="s">
        <v>103</v>
      </c>
      <c r="G91" s="5" t="s">
        <v>103</v>
      </c>
      <c r="H91" s="5" t="s">
        <v>103</v>
      </c>
      <c r="I91" s="5" t="s">
        <v>103</v>
      </c>
      <c r="J91" s="5" t="s">
        <v>103</v>
      </c>
      <c r="K91" s="5" t="s">
        <v>103</v>
      </c>
      <c r="L91" s="5" t="s">
        <v>103</v>
      </c>
      <c r="M91" s="5" t="s">
        <v>103</v>
      </c>
      <c r="N91" s="5" t="s">
        <v>103</v>
      </c>
      <c r="O91" s="5" t="s">
        <v>103</v>
      </c>
      <c r="P91" s="5" t="s">
        <v>103</v>
      </c>
      <c r="Q91" s="5" t="s">
        <v>103</v>
      </c>
      <c r="R91" s="5" t="s">
        <v>103</v>
      </c>
      <c r="S91" s="5" t="s">
        <v>103</v>
      </c>
      <c r="T91" s="5" t="s">
        <v>103</v>
      </c>
      <c r="U91" s="5" t="s">
        <v>103</v>
      </c>
      <c r="V91" s="5" t="s">
        <v>103</v>
      </c>
      <c r="W91" s="2"/>
      <c r="X91" s="2"/>
      <c r="Y91" s="2"/>
      <c r="Z91" s="2"/>
      <c r="AA91" s="2"/>
      <c r="AB91" s="2">
        <v>9.4</v>
      </c>
      <c r="AC91" s="2">
        <v>1.19</v>
      </c>
      <c r="AD91" s="2"/>
      <c r="AE91" s="2"/>
      <c r="AF91" s="2"/>
      <c r="AG91" s="2">
        <v>9.3000000000000007</v>
      </c>
      <c r="AH91" s="2"/>
      <c r="AJ91" s="56"/>
    </row>
    <row r="92" spans="1:36">
      <c r="A92" s="2"/>
      <c r="B92" s="2"/>
      <c r="C92" s="2"/>
      <c r="D92" s="2">
        <v>5</v>
      </c>
      <c r="E92" s="5" t="s">
        <v>103</v>
      </c>
      <c r="F92" s="5" t="s">
        <v>103</v>
      </c>
      <c r="G92" s="5" t="s">
        <v>103</v>
      </c>
      <c r="H92" s="5" t="s">
        <v>103</v>
      </c>
      <c r="I92" s="5" t="s">
        <v>103</v>
      </c>
      <c r="J92" s="5" t="s">
        <v>103</v>
      </c>
      <c r="K92" s="5" t="s">
        <v>103</v>
      </c>
      <c r="L92" s="5" t="s">
        <v>103</v>
      </c>
      <c r="M92" s="5" t="s">
        <v>103</v>
      </c>
      <c r="N92" s="5" t="s">
        <v>103</v>
      </c>
      <c r="O92" s="5" t="s">
        <v>103</v>
      </c>
      <c r="P92" s="5" t="s">
        <v>103</v>
      </c>
      <c r="Q92" s="5" t="s">
        <v>103</v>
      </c>
      <c r="R92" s="5" t="s">
        <v>103</v>
      </c>
      <c r="S92" s="5" t="s">
        <v>103</v>
      </c>
      <c r="T92" s="5" t="s">
        <v>103</v>
      </c>
      <c r="U92" s="5" t="s">
        <v>103</v>
      </c>
      <c r="V92" s="5" t="s">
        <v>103</v>
      </c>
      <c r="W92" s="2"/>
      <c r="X92" s="2"/>
      <c r="Y92" s="2"/>
      <c r="Z92" s="2"/>
      <c r="AA92" s="2"/>
      <c r="AB92" s="2">
        <v>5</v>
      </c>
      <c r="AC92" s="2">
        <v>0.28000000000000003</v>
      </c>
      <c r="AD92" s="2">
        <f>AVERAGEA(AC88:AC92)</f>
        <v>0.71399999999999986</v>
      </c>
      <c r="AE92" s="2"/>
      <c r="AF92" s="2"/>
      <c r="AG92" s="59">
        <v>7.23</v>
      </c>
      <c r="AH92" s="2">
        <f>AVERAGEA(AG88:AG92)</f>
        <v>6.6400000000000006</v>
      </c>
      <c r="AJ92" s="56"/>
    </row>
    <row r="93" spans="1:36">
      <c r="A93" s="2"/>
      <c r="B93" s="2"/>
      <c r="C93" s="2">
        <v>3</v>
      </c>
      <c r="D93" s="2">
        <v>1</v>
      </c>
      <c r="E93" s="5" t="s">
        <v>103</v>
      </c>
      <c r="F93" s="5" t="s">
        <v>103</v>
      </c>
      <c r="G93" s="5" t="s">
        <v>103</v>
      </c>
      <c r="H93" s="5" t="s">
        <v>103</v>
      </c>
      <c r="I93" s="5" t="s">
        <v>103</v>
      </c>
      <c r="J93" s="5" t="s">
        <v>103</v>
      </c>
      <c r="K93" s="5" t="s">
        <v>103</v>
      </c>
      <c r="L93" s="5" t="s">
        <v>103</v>
      </c>
      <c r="M93" s="5" t="s">
        <v>103</v>
      </c>
      <c r="N93" s="5" t="s">
        <v>103</v>
      </c>
      <c r="O93" s="5" t="s">
        <v>103</v>
      </c>
      <c r="P93" s="5" t="s">
        <v>103</v>
      </c>
      <c r="Q93" s="5" t="s">
        <v>103</v>
      </c>
      <c r="R93" s="5" t="s">
        <v>103</v>
      </c>
      <c r="S93" s="5" t="s">
        <v>103</v>
      </c>
      <c r="T93" s="5" t="s">
        <v>103</v>
      </c>
      <c r="U93" s="5" t="s">
        <v>103</v>
      </c>
      <c r="V93" s="5" t="s">
        <v>103</v>
      </c>
      <c r="W93" s="2"/>
      <c r="X93" s="2"/>
      <c r="Y93" s="2"/>
      <c r="Z93" s="2"/>
      <c r="AA93" s="2"/>
      <c r="AB93" s="2">
        <v>5.2</v>
      </c>
      <c r="AC93" s="2">
        <v>2.21</v>
      </c>
      <c r="AD93" s="2"/>
      <c r="AE93" s="2"/>
      <c r="AF93" s="2"/>
      <c r="AG93" s="4">
        <f>AVERAGE(AG94,AG96:AG97)</f>
        <v>7.7333333333333316</v>
      </c>
      <c r="AH93" s="2"/>
      <c r="AJ93" s="56"/>
    </row>
    <row r="94" spans="1:36">
      <c r="A94" s="2"/>
      <c r="B94" s="2"/>
      <c r="C94" s="2"/>
      <c r="D94" s="2">
        <v>2</v>
      </c>
      <c r="E94" s="5" t="s">
        <v>103</v>
      </c>
      <c r="F94" s="5" t="s">
        <v>103</v>
      </c>
      <c r="G94" s="5" t="s">
        <v>103</v>
      </c>
      <c r="H94" s="5" t="s">
        <v>103</v>
      </c>
      <c r="I94" s="5" t="s">
        <v>103</v>
      </c>
      <c r="J94" s="5" t="s">
        <v>103</v>
      </c>
      <c r="K94" s="5" t="s">
        <v>103</v>
      </c>
      <c r="L94" s="5" t="s">
        <v>103</v>
      </c>
      <c r="M94" s="5" t="s">
        <v>103</v>
      </c>
      <c r="N94" s="5" t="s">
        <v>103</v>
      </c>
      <c r="O94" s="5" t="s">
        <v>103</v>
      </c>
      <c r="P94" s="5" t="s">
        <v>103</v>
      </c>
      <c r="Q94" s="5" t="s">
        <v>103</v>
      </c>
      <c r="R94" s="5" t="s">
        <v>103</v>
      </c>
      <c r="S94" s="5" t="s">
        <v>103</v>
      </c>
      <c r="T94" s="5" t="s">
        <v>103</v>
      </c>
      <c r="U94" s="5" t="s">
        <v>103</v>
      </c>
      <c r="V94" s="5" t="s">
        <v>103</v>
      </c>
      <c r="W94" s="2"/>
      <c r="X94" s="2"/>
      <c r="Y94" s="2"/>
      <c r="Z94" s="2"/>
      <c r="AA94" s="2"/>
      <c r="AB94" s="2">
        <v>6.9</v>
      </c>
      <c r="AC94" s="2">
        <v>1.97</v>
      </c>
      <c r="AD94" s="2"/>
      <c r="AE94" s="2"/>
      <c r="AF94" s="2"/>
      <c r="AG94" s="2">
        <v>9.81</v>
      </c>
      <c r="AH94" s="2"/>
      <c r="AJ94" s="56"/>
    </row>
    <row r="95" spans="1:36">
      <c r="A95" s="2"/>
      <c r="B95" s="2"/>
      <c r="C95" s="2"/>
      <c r="D95" s="2">
        <v>3</v>
      </c>
      <c r="E95" s="5" t="s">
        <v>103</v>
      </c>
      <c r="F95" s="5" t="s">
        <v>103</v>
      </c>
      <c r="G95" s="5" t="s">
        <v>103</v>
      </c>
      <c r="H95" s="5" t="s">
        <v>103</v>
      </c>
      <c r="I95" s="5" t="s">
        <v>103</v>
      </c>
      <c r="J95" s="5" t="s">
        <v>103</v>
      </c>
      <c r="K95" s="5" t="s">
        <v>103</v>
      </c>
      <c r="L95" s="5" t="s">
        <v>103</v>
      </c>
      <c r="M95" s="5" t="s">
        <v>103</v>
      </c>
      <c r="N95" s="5" t="s">
        <v>103</v>
      </c>
      <c r="O95" s="5" t="s">
        <v>103</v>
      </c>
      <c r="P95" s="5" t="s">
        <v>103</v>
      </c>
      <c r="Q95" s="5" t="s">
        <v>103</v>
      </c>
      <c r="R95" s="5" t="s">
        <v>103</v>
      </c>
      <c r="S95" s="5" t="s">
        <v>103</v>
      </c>
      <c r="T95" s="5" t="s">
        <v>103</v>
      </c>
      <c r="U95" s="5" t="s">
        <v>103</v>
      </c>
      <c r="V95" s="5" t="s">
        <v>103</v>
      </c>
      <c r="W95" s="2"/>
      <c r="X95" s="2"/>
      <c r="Y95" s="2"/>
      <c r="Z95" s="2"/>
      <c r="AA95" s="2"/>
      <c r="AB95" s="2">
        <v>5.7</v>
      </c>
      <c r="AC95" s="2">
        <v>0.9</v>
      </c>
      <c r="AD95" s="2"/>
      <c r="AE95" s="2"/>
      <c r="AF95" s="2"/>
      <c r="AG95" s="4">
        <f>AVERAGE(AG94,AG96:AG97)</f>
        <v>7.7333333333333316</v>
      </c>
      <c r="AH95" s="2"/>
      <c r="AJ95" s="56"/>
    </row>
    <row r="96" spans="1:36">
      <c r="A96" s="2"/>
      <c r="B96" s="2"/>
      <c r="C96" s="2"/>
      <c r="D96" s="2">
        <v>4</v>
      </c>
      <c r="E96" s="5" t="s">
        <v>103</v>
      </c>
      <c r="F96" s="5" t="s">
        <v>103</v>
      </c>
      <c r="G96" s="5" t="s">
        <v>103</v>
      </c>
      <c r="H96" s="5" t="s">
        <v>103</v>
      </c>
      <c r="I96" s="5" t="s">
        <v>103</v>
      </c>
      <c r="J96" s="5" t="s">
        <v>103</v>
      </c>
      <c r="K96" s="5" t="s">
        <v>103</v>
      </c>
      <c r="L96" s="5" t="s">
        <v>103</v>
      </c>
      <c r="M96" s="5" t="s">
        <v>103</v>
      </c>
      <c r="N96" s="5" t="s">
        <v>103</v>
      </c>
      <c r="O96" s="5" t="s">
        <v>103</v>
      </c>
      <c r="P96" s="5" t="s">
        <v>103</v>
      </c>
      <c r="Q96" s="5" t="s">
        <v>103</v>
      </c>
      <c r="R96" s="5" t="s">
        <v>103</v>
      </c>
      <c r="S96" s="5" t="s">
        <v>103</v>
      </c>
      <c r="T96" s="5" t="s">
        <v>103</v>
      </c>
      <c r="U96" s="5" t="s">
        <v>103</v>
      </c>
      <c r="V96" s="5" t="s">
        <v>103</v>
      </c>
      <c r="W96" s="2"/>
      <c r="X96" s="2"/>
      <c r="Y96" s="2"/>
      <c r="Z96" s="2"/>
      <c r="AA96" s="2"/>
      <c r="AB96" s="2">
        <v>4.9000000000000004</v>
      </c>
      <c r="AC96" s="2">
        <v>2.19</v>
      </c>
      <c r="AD96" s="2"/>
      <c r="AE96" s="2"/>
      <c r="AF96" s="2"/>
      <c r="AG96" s="2">
        <v>8.879999999999999</v>
      </c>
      <c r="AH96" s="2"/>
      <c r="AJ96" s="56"/>
    </row>
    <row r="97" spans="1:36">
      <c r="A97" s="2"/>
      <c r="B97" s="2"/>
      <c r="C97" s="2"/>
      <c r="D97" s="2">
        <v>5</v>
      </c>
      <c r="E97" s="5" t="s">
        <v>103</v>
      </c>
      <c r="F97" s="5" t="s">
        <v>103</v>
      </c>
      <c r="G97" s="5" t="s">
        <v>103</v>
      </c>
      <c r="H97" s="5" t="s">
        <v>103</v>
      </c>
      <c r="I97" s="5" t="s">
        <v>103</v>
      </c>
      <c r="J97" s="5" t="s">
        <v>103</v>
      </c>
      <c r="K97" s="5" t="s">
        <v>103</v>
      </c>
      <c r="L97" s="5" t="s">
        <v>103</v>
      </c>
      <c r="M97" s="5" t="s">
        <v>103</v>
      </c>
      <c r="N97" s="5" t="s">
        <v>103</v>
      </c>
      <c r="O97" s="5" t="s">
        <v>103</v>
      </c>
      <c r="P97" s="5" t="s">
        <v>103</v>
      </c>
      <c r="Q97" s="5" t="s">
        <v>103</v>
      </c>
      <c r="R97" s="5" t="s">
        <v>103</v>
      </c>
      <c r="S97" s="5" t="s">
        <v>103</v>
      </c>
      <c r="T97" s="5" t="s">
        <v>103</v>
      </c>
      <c r="U97" s="5" t="s">
        <v>103</v>
      </c>
      <c r="V97" s="5" t="s">
        <v>103</v>
      </c>
      <c r="W97" s="2"/>
      <c r="X97" s="2"/>
      <c r="Y97" s="2"/>
      <c r="Z97" s="2"/>
      <c r="AA97" s="2"/>
      <c r="AB97" s="2">
        <v>7.5</v>
      </c>
      <c r="AC97" s="2">
        <v>1.29</v>
      </c>
      <c r="AD97" s="2">
        <f>AVERAGEA(AC93:AC97)</f>
        <v>1.7119999999999997</v>
      </c>
      <c r="AE97" s="2"/>
      <c r="AF97" s="2"/>
      <c r="AG97" s="2">
        <v>4.51</v>
      </c>
      <c r="AH97" s="2">
        <f>AVERAGEA(AG93:AG97)</f>
        <v>7.7333333333333325</v>
      </c>
      <c r="AJ97" s="56"/>
    </row>
    <row r="98" spans="1:36">
      <c r="A98" s="2"/>
      <c r="B98" s="2"/>
      <c r="C98" s="2">
        <v>4</v>
      </c>
      <c r="D98" s="2">
        <v>1</v>
      </c>
      <c r="E98" s="5" t="s">
        <v>103</v>
      </c>
      <c r="F98" s="5" t="s">
        <v>103</v>
      </c>
      <c r="G98" s="5" t="s">
        <v>103</v>
      </c>
      <c r="H98" s="5" t="s">
        <v>103</v>
      </c>
      <c r="I98" s="5" t="s">
        <v>103</v>
      </c>
      <c r="J98" s="5" t="s">
        <v>103</v>
      </c>
      <c r="K98" s="5" t="s">
        <v>103</v>
      </c>
      <c r="L98" s="5" t="s">
        <v>103</v>
      </c>
      <c r="M98" s="5" t="s">
        <v>103</v>
      </c>
      <c r="N98" s="5" t="s">
        <v>103</v>
      </c>
      <c r="O98" s="5" t="s">
        <v>103</v>
      </c>
      <c r="P98" s="5" t="s">
        <v>103</v>
      </c>
      <c r="Q98" s="5" t="s">
        <v>103</v>
      </c>
      <c r="R98" s="5" t="s">
        <v>103</v>
      </c>
      <c r="S98" s="5" t="s">
        <v>103</v>
      </c>
      <c r="T98" s="5" t="s">
        <v>103</v>
      </c>
      <c r="U98" s="5" t="s">
        <v>103</v>
      </c>
      <c r="V98" s="5" t="s">
        <v>103</v>
      </c>
      <c r="W98" s="2"/>
      <c r="X98" s="2"/>
      <c r="Y98" s="2"/>
      <c r="Z98" s="2"/>
      <c r="AA98" s="2"/>
      <c r="AB98" s="2">
        <v>9.8000000000000007</v>
      </c>
      <c r="AC98" s="2">
        <v>3.16</v>
      </c>
      <c r="AD98" s="2"/>
      <c r="AE98" s="2"/>
      <c r="AF98" s="2"/>
      <c r="AG98" s="2">
        <v>6.83</v>
      </c>
      <c r="AH98" s="2"/>
      <c r="AJ98" s="56"/>
    </row>
    <row r="99" spans="1:36">
      <c r="A99" s="2"/>
      <c r="B99" s="2"/>
      <c r="C99" s="2"/>
      <c r="D99" s="2">
        <v>2</v>
      </c>
      <c r="E99" s="5" t="s">
        <v>103</v>
      </c>
      <c r="F99" s="5" t="s">
        <v>103</v>
      </c>
      <c r="G99" s="5" t="s">
        <v>103</v>
      </c>
      <c r="H99" s="5" t="s">
        <v>103</v>
      </c>
      <c r="I99" s="5" t="s">
        <v>103</v>
      </c>
      <c r="J99" s="5" t="s">
        <v>103</v>
      </c>
      <c r="K99" s="5" t="s">
        <v>103</v>
      </c>
      <c r="L99" s="5" t="s">
        <v>103</v>
      </c>
      <c r="M99" s="5" t="s">
        <v>103</v>
      </c>
      <c r="N99" s="5" t="s">
        <v>103</v>
      </c>
      <c r="O99" s="5" t="s">
        <v>103</v>
      </c>
      <c r="P99" s="5" t="s">
        <v>103</v>
      </c>
      <c r="Q99" s="5" t="s">
        <v>103</v>
      </c>
      <c r="R99" s="5" t="s">
        <v>103</v>
      </c>
      <c r="S99" s="5" t="s">
        <v>103</v>
      </c>
      <c r="T99" s="5" t="s">
        <v>103</v>
      </c>
      <c r="U99" s="5" t="s">
        <v>103</v>
      </c>
      <c r="V99" s="5" t="s">
        <v>103</v>
      </c>
      <c r="W99" s="2"/>
      <c r="X99" s="2"/>
      <c r="Y99" s="2"/>
      <c r="Z99" s="2"/>
      <c r="AA99" s="2"/>
      <c r="AB99" s="2">
        <v>6.6</v>
      </c>
      <c r="AC99" s="2">
        <v>1.95</v>
      </c>
      <c r="AD99" s="2"/>
      <c r="AE99" s="2"/>
      <c r="AF99" s="2"/>
      <c r="AG99" s="2">
        <v>5.64</v>
      </c>
      <c r="AH99" s="2"/>
      <c r="AJ99" s="56"/>
    </row>
    <row r="100" spans="1:36">
      <c r="A100" s="2"/>
      <c r="B100" s="2"/>
      <c r="C100" s="2"/>
      <c r="D100" s="2">
        <v>3</v>
      </c>
      <c r="E100" s="5" t="s">
        <v>103</v>
      </c>
      <c r="F100" s="5" t="s">
        <v>103</v>
      </c>
      <c r="G100" s="5" t="s">
        <v>103</v>
      </c>
      <c r="H100" s="5" t="s">
        <v>103</v>
      </c>
      <c r="I100" s="5" t="s">
        <v>103</v>
      </c>
      <c r="J100" s="5" t="s">
        <v>103</v>
      </c>
      <c r="K100" s="5" t="s">
        <v>103</v>
      </c>
      <c r="L100" s="5" t="s">
        <v>103</v>
      </c>
      <c r="M100" s="5" t="s">
        <v>103</v>
      </c>
      <c r="N100" s="5" t="s">
        <v>103</v>
      </c>
      <c r="O100" s="5" t="s">
        <v>103</v>
      </c>
      <c r="P100" s="5" t="s">
        <v>103</v>
      </c>
      <c r="Q100" s="5" t="s">
        <v>103</v>
      </c>
      <c r="R100" s="5" t="s">
        <v>103</v>
      </c>
      <c r="S100" s="5" t="s">
        <v>103</v>
      </c>
      <c r="T100" s="5" t="s">
        <v>103</v>
      </c>
      <c r="U100" s="5" t="s">
        <v>103</v>
      </c>
      <c r="V100" s="5" t="s">
        <v>103</v>
      </c>
      <c r="W100" s="2"/>
      <c r="X100" s="2"/>
      <c r="Y100" s="2"/>
      <c r="Z100" s="2"/>
      <c r="AA100" s="2"/>
      <c r="AB100" s="2">
        <v>4.9000000000000004</v>
      </c>
      <c r="AC100" s="2">
        <v>1</v>
      </c>
      <c r="AD100" s="2"/>
      <c r="AE100" s="2"/>
      <c r="AF100" s="2"/>
      <c r="AG100" s="2">
        <v>3.24</v>
      </c>
      <c r="AH100" s="2"/>
      <c r="AJ100" s="56"/>
    </row>
    <row r="101" spans="1:36">
      <c r="A101" s="2"/>
      <c r="B101" s="2"/>
      <c r="C101" s="2"/>
      <c r="D101" s="2">
        <v>4</v>
      </c>
      <c r="E101" s="5" t="s">
        <v>103</v>
      </c>
      <c r="F101" s="5" t="s">
        <v>103</v>
      </c>
      <c r="G101" s="5" t="s">
        <v>103</v>
      </c>
      <c r="H101" s="5" t="s">
        <v>103</v>
      </c>
      <c r="I101" s="5" t="s">
        <v>103</v>
      </c>
      <c r="J101" s="5" t="s">
        <v>103</v>
      </c>
      <c r="K101" s="5" t="s">
        <v>103</v>
      </c>
      <c r="L101" s="5" t="s">
        <v>103</v>
      </c>
      <c r="M101" s="5" t="s">
        <v>103</v>
      </c>
      <c r="N101" s="5" t="s">
        <v>103</v>
      </c>
      <c r="O101" s="5" t="s">
        <v>103</v>
      </c>
      <c r="P101" s="5" t="s">
        <v>103</v>
      </c>
      <c r="Q101" s="5" t="s">
        <v>103</v>
      </c>
      <c r="R101" s="5" t="s">
        <v>103</v>
      </c>
      <c r="S101" s="5" t="s">
        <v>103</v>
      </c>
      <c r="T101" s="5" t="s">
        <v>103</v>
      </c>
      <c r="U101" s="5" t="s">
        <v>103</v>
      </c>
      <c r="V101" s="5" t="s">
        <v>103</v>
      </c>
      <c r="W101" s="2"/>
      <c r="X101" s="2"/>
      <c r="Y101" s="2"/>
      <c r="Z101" s="2"/>
      <c r="AA101" s="2"/>
      <c r="AB101" s="2">
        <v>4.9000000000000004</v>
      </c>
      <c r="AC101" s="2">
        <v>0.91</v>
      </c>
      <c r="AD101" s="2"/>
      <c r="AE101" s="2"/>
      <c r="AF101" s="2"/>
      <c r="AG101" s="2">
        <v>3.13</v>
      </c>
      <c r="AH101" s="2"/>
      <c r="AJ101" s="56"/>
    </row>
    <row r="102" spans="1:36">
      <c r="A102" s="2"/>
      <c r="B102" s="2"/>
      <c r="C102" s="2"/>
      <c r="D102" s="2">
        <v>5</v>
      </c>
      <c r="E102" s="5" t="s">
        <v>103</v>
      </c>
      <c r="F102" s="5" t="s">
        <v>103</v>
      </c>
      <c r="G102" s="5" t="s">
        <v>103</v>
      </c>
      <c r="H102" s="5" t="s">
        <v>103</v>
      </c>
      <c r="I102" s="5" t="s">
        <v>103</v>
      </c>
      <c r="J102" s="5" t="s">
        <v>103</v>
      </c>
      <c r="K102" s="5" t="s">
        <v>103</v>
      </c>
      <c r="L102" s="5" t="s">
        <v>103</v>
      </c>
      <c r="M102" s="5" t="s">
        <v>103</v>
      </c>
      <c r="N102" s="5" t="s">
        <v>103</v>
      </c>
      <c r="O102" s="5" t="s">
        <v>103</v>
      </c>
      <c r="P102" s="5" t="s">
        <v>103</v>
      </c>
      <c r="Q102" s="5" t="s">
        <v>103</v>
      </c>
      <c r="R102" s="5" t="s">
        <v>103</v>
      </c>
      <c r="S102" s="5" t="s">
        <v>103</v>
      </c>
      <c r="T102" s="5" t="s">
        <v>103</v>
      </c>
      <c r="U102" s="5" t="s">
        <v>103</v>
      </c>
      <c r="V102" s="5" t="s">
        <v>103</v>
      </c>
      <c r="W102" s="2"/>
      <c r="X102" s="2"/>
      <c r="Y102" s="2"/>
      <c r="Z102" s="2"/>
      <c r="AA102" s="2"/>
      <c r="AB102" s="2">
        <v>3.9</v>
      </c>
      <c r="AC102" s="2">
        <v>0.55000000000000004</v>
      </c>
      <c r="AD102" s="2">
        <f>AVERAGEA(AC98:AC102)</f>
        <v>1.514</v>
      </c>
      <c r="AE102" s="2"/>
      <c r="AF102" s="2"/>
      <c r="AG102" s="2">
        <v>3.42</v>
      </c>
      <c r="AH102" s="2">
        <f>AVERAGEA(AG98:AG102)</f>
        <v>4.452</v>
      </c>
      <c r="AJ102" s="56"/>
    </row>
    <row r="103" spans="1:36">
      <c r="A103" s="2" t="s">
        <v>78</v>
      </c>
      <c r="B103" s="2" t="s">
        <v>104</v>
      </c>
      <c r="C103" s="2">
        <v>1</v>
      </c>
      <c r="D103" s="2">
        <v>1</v>
      </c>
      <c r="E103" s="2">
        <v>4.5999999999999996</v>
      </c>
      <c r="F103" s="2"/>
      <c r="G103" s="2"/>
      <c r="H103" s="2"/>
      <c r="I103" s="2">
        <v>22.7</v>
      </c>
      <c r="J103" s="2"/>
      <c r="K103" s="2"/>
      <c r="L103" s="2"/>
      <c r="M103" s="2">
        <v>0.33</v>
      </c>
      <c r="N103" s="2"/>
      <c r="O103" s="2"/>
      <c r="P103" s="2">
        <v>44.67</v>
      </c>
      <c r="Q103" s="2"/>
      <c r="R103" s="2"/>
      <c r="S103" s="2">
        <v>0.13</v>
      </c>
      <c r="T103" s="2"/>
      <c r="U103" s="2"/>
      <c r="V103" s="2">
        <v>0.84</v>
      </c>
      <c r="W103" s="2">
        <f t="shared" ref="W103:W109" si="6">SUM(E103:V103)</f>
        <v>73.27</v>
      </c>
      <c r="X103" s="2"/>
      <c r="Y103" s="2">
        <f>(W103-X107)/X107*100</f>
        <v>9.8533689166091989</v>
      </c>
      <c r="Z103" s="2"/>
      <c r="AA103" s="2"/>
      <c r="AB103" s="2">
        <v>8.6999999999999993</v>
      </c>
      <c r="AC103" s="2">
        <v>4.29</v>
      </c>
      <c r="AD103" s="2"/>
      <c r="AE103" s="2"/>
      <c r="AF103" s="2"/>
      <c r="AG103" s="2">
        <v>3.62</v>
      </c>
      <c r="AH103" s="2"/>
      <c r="AJ103" s="56"/>
    </row>
    <row r="104" spans="1:36">
      <c r="A104" s="2"/>
      <c r="B104" s="2"/>
      <c r="C104" s="2"/>
      <c r="D104" s="2">
        <v>2</v>
      </c>
      <c r="E104" s="2">
        <v>15.72</v>
      </c>
      <c r="F104" s="2"/>
      <c r="G104" s="2"/>
      <c r="H104" s="2">
        <v>1.42</v>
      </c>
      <c r="I104" s="2">
        <v>24.53</v>
      </c>
      <c r="J104" s="2"/>
      <c r="K104" s="2"/>
      <c r="L104" s="2"/>
      <c r="M104" s="2">
        <v>0.28999999999999998</v>
      </c>
      <c r="N104" s="2"/>
      <c r="O104" s="2">
        <v>0.18</v>
      </c>
      <c r="P104" s="2">
        <v>20.38</v>
      </c>
      <c r="Q104" s="2"/>
      <c r="R104" s="2"/>
      <c r="S104" s="2"/>
      <c r="T104" s="2"/>
      <c r="U104" s="2"/>
      <c r="V104" s="2">
        <v>1.44</v>
      </c>
      <c r="W104" s="2">
        <f t="shared" si="6"/>
        <v>63.959999999999994</v>
      </c>
      <c r="X104" s="2"/>
      <c r="Y104" s="2">
        <f>(W104-X107)/X107*100</f>
        <v>-4.1050706168100994</v>
      </c>
      <c r="Z104" s="2"/>
      <c r="AA104" s="2"/>
      <c r="AB104" s="2">
        <v>5.3</v>
      </c>
      <c r="AC104" s="2">
        <v>0.67</v>
      </c>
      <c r="AD104" s="2"/>
      <c r="AE104" s="2"/>
      <c r="AF104" s="2"/>
      <c r="AG104" s="2">
        <v>2.2599999999999998</v>
      </c>
      <c r="AH104" s="2"/>
      <c r="AJ104" s="56"/>
    </row>
    <row r="105" spans="1:36">
      <c r="A105" s="2"/>
      <c r="B105" s="2"/>
      <c r="C105" s="2"/>
      <c r="D105" s="2">
        <v>3</v>
      </c>
      <c r="E105" s="2">
        <v>7.25</v>
      </c>
      <c r="F105" s="2"/>
      <c r="G105" s="2"/>
      <c r="H105" s="2"/>
      <c r="I105" s="2">
        <v>27.3</v>
      </c>
      <c r="J105" s="2"/>
      <c r="K105" s="2"/>
      <c r="L105" s="2"/>
      <c r="M105" s="2">
        <v>0.54</v>
      </c>
      <c r="N105" s="2"/>
      <c r="O105" s="2"/>
      <c r="P105" s="2">
        <v>27.1</v>
      </c>
      <c r="Q105" s="2"/>
      <c r="R105" s="2"/>
      <c r="S105" s="2">
        <v>1.66</v>
      </c>
      <c r="T105" s="2"/>
      <c r="U105" s="2">
        <v>0.45</v>
      </c>
      <c r="V105" s="2">
        <v>2.63</v>
      </c>
      <c r="W105" s="2">
        <f t="shared" si="6"/>
        <v>66.929999999999993</v>
      </c>
      <c r="X105" s="2"/>
      <c r="Y105" s="2">
        <f>(W105-X107)/X107*100</f>
        <v>0.34783651683708555</v>
      </c>
      <c r="Z105" s="2"/>
      <c r="AA105" s="2"/>
      <c r="AB105" s="2">
        <v>3.9</v>
      </c>
      <c r="AC105" s="2">
        <v>0.56999999999999995</v>
      </c>
      <c r="AD105" s="2"/>
      <c r="AE105" s="2"/>
      <c r="AF105" s="2"/>
      <c r="AG105" s="2">
        <v>1.45</v>
      </c>
      <c r="AH105" s="2"/>
      <c r="AJ105" s="56"/>
    </row>
    <row r="106" spans="1:36">
      <c r="A106" s="2"/>
      <c r="B106" s="2"/>
      <c r="C106" s="2"/>
      <c r="D106" s="2">
        <v>4</v>
      </c>
      <c r="E106" s="2">
        <v>2.87</v>
      </c>
      <c r="F106" s="2"/>
      <c r="G106" s="2"/>
      <c r="H106" s="2"/>
      <c r="I106" s="2">
        <v>37.450000000000003</v>
      </c>
      <c r="J106" s="2"/>
      <c r="K106" s="2"/>
      <c r="L106" s="2"/>
      <c r="M106" s="2">
        <v>0.17</v>
      </c>
      <c r="N106" s="2"/>
      <c r="O106" s="2"/>
      <c r="P106" s="2">
        <v>25.08</v>
      </c>
      <c r="Q106" s="2">
        <v>0.22</v>
      </c>
      <c r="R106" s="2">
        <v>6.91</v>
      </c>
      <c r="S106" s="2"/>
      <c r="T106" s="2"/>
      <c r="U106" s="2"/>
      <c r="V106" s="2"/>
      <c r="W106" s="2">
        <f t="shared" si="6"/>
        <v>72.699999999999989</v>
      </c>
      <c r="X106" s="2"/>
      <c r="Y106" s="2">
        <f>(W106-X107)/X107*100</f>
        <v>8.9987705778284148</v>
      </c>
      <c r="Z106" s="2"/>
      <c r="AA106" s="2"/>
      <c r="AB106" s="2">
        <v>9.6</v>
      </c>
      <c r="AC106" s="2">
        <v>7.0000000000000007E-2</v>
      </c>
      <c r="AD106" s="2"/>
      <c r="AE106" s="2"/>
      <c r="AF106" s="2"/>
      <c r="AG106" s="2">
        <v>1.99</v>
      </c>
      <c r="AH106" s="2"/>
      <c r="AJ106" s="56"/>
    </row>
    <row r="107" spans="1:36">
      <c r="A107" s="2"/>
      <c r="B107" s="2"/>
      <c r="C107" s="2"/>
      <c r="D107" s="2">
        <v>5</v>
      </c>
      <c r="E107" s="2"/>
      <c r="F107" s="2"/>
      <c r="G107" s="2"/>
      <c r="H107" s="2"/>
      <c r="I107" s="2">
        <v>23.91</v>
      </c>
      <c r="J107" s="2"/>
      <c r="K107" s="2"/>
      <c r="L107" s="2"/>
      <c r="M107" s="2">
        <v>0.77</v>
      </c>
      <c r="N107" s="2"/>
      <c r="O107" s="2">
        <v>0.02</v>
      </c>
      <c r="P107" s="2">
        <v>29.15</v>
      </c>
      <c r="Q107" s="2"/>
      <c r="R107" s="2"/>
      <c r="S107" s="2"/>
      <c r="T107" s="2"/>
      <c r="U107" s="2"/>
      <c r="V107" s="2">
        <v>2.78</v>
      </c>
      <c r="W107" s="2">
        <f t="shared" si="6"/>
        <v>56.629999999999995</v>
      </c>
      <c r="X107" s="2">
        <f>AVERAGE(W103:W107)</f>
        <v>66.697999999999993</v>
      </c>
      <c r="Y107" s="2">
        <f>(W107-X107)/X107*100</f>
        <v>-15.0949053944646</v>
      </c>
      <c r="Z107" s="2">
        <f>STDEV(W103:W107)</f>
        <v>6.8580296004027259</v>
      </c>
      <c r="AA107" s="2"/>
      <c r="AB107" s="2">
        <v>9.6999999999999993</v>
      </c>
      <c r="AC107" s="2">
        <v>4.29</v>
      </c>
      <c r="AD107" s="2">
        <f>AVERAGE(AC103:AC107)</f>
        <v>1.9780000000000002</v>
      </c>
      <c r="AE107" s="2"/>
      <c r="AF107" s="2"/>
      <c r="AG107" s="2">
        <v>3.27</v>
      </c>
      <c r="AH107" s="2">
        <f>AVERAGE(AG103:AG107)</f>
        <v>2.5179999999999998</v>
      </c>
      <c r="AJ107" s="56"/>
    </row>
    <row r="108" spans="1:36">
      <c r="A108" s="2"/>
      <c r="B108" s="2"/>
      <c r="C108" s="2">
        <v>2</v>
      </c>
      <c r="D108" s="2">
        <v>1</v>
      </c>
      <c r="E108" s="2">
        <v>6.39</v>
      </c>
      <c r="F108" s="2"/>
      <c r="G108" s="2"/>
      <c r="H108" s="2">
        <v>1.99</v>
      </c>
      <c r="I108" s="2">
        <v>18.420000000000002</v>
      </c>
      <c r="J108" s="2"/>
      <c r="K108" s="2"/>
      <c r="L108" s="2"/>
      <c r="M108" s="2"/>
      <c r="N108" s="2"/>
      <c r="O108" s="2">
        <v>0.95</v>
      </c>
      <c r="P108" s="2">
        <v>34.380000000000003</v>
      </c>
      <c r="Q108" s="2"/>
      <c r="R108" s="2"/>
      <c r="S108" s="2">
        <v>0.72</v>
      </c>
      <c r="T108" s="2"/>
      <c r="U108" s="2"/>
      <c r="V108" s="2">
        <v>2.52</v>
      </c>
      <c r="W108" s="2">
        <f t="shared" si="6"/>
        <v>65.37</v>
      </c>
      <c r="X108" s="2"/>
      <c r="Y108" s="2">
        <f>(W108-X112)/X112*100</f>
        <v>-5.5994801256363012</v>
      </c>
      <c r="Z108" s="2"/>
      <c r="AA108" s="2"/>
      <c r="AB108" s="2">
        <v>5.7</v>
      </c>
      <c r="AC108" s="2">
        <v>1.33</v>
      </c>
      <c r="AD108" s="2"/>
      <c r="AE108" s="2"/>
      <c r="AF108" s="2"/>
      <c r="AG108" s="2">
        <v>2.77</v>
      </c>
      <c r="AH108" s="2"/>
      <c r="AJ108" s="56"/>
    </row>
    <row r="109" spans="1:36">
      <c r="A109" s="2"/>
      <c r="B109" s="2"/>
      <c r="C109" s="2"/>
      <c r="D109" s="2">
        <v>2</v>
      </c>
      <c r="E109" s="2">
        <v>6.65</v>
      </c>
      <c r="F109" s="2"/>
      <c r="G109" s="2"/>
      <c r="H109" s="2">
        <v>0.34</v>
      </c>
      <c r="I109" s="2">
        <v>29.95</v>
      </c>
      <c r="J109" s="2"/>
      <c r="K109" s="2"/>
      <c r="L109" s="2"/>
      <c r="M109" s="2"/>
      <c r="N109" s="2"/>
      <c r="O109" s="2"/>
      <c r="P109" s="2">
        <v>15.13</v>
      </c>
      <c r="Q109" s="2"/>
      <c r="R109" s="2"/>
      <c r="S109" s="2"/>
      <c r="T109" s="2"/>
      <c r="U109" s="2"/>
      <c r="V109" s="2">
        <v>3.41</v>
      </c>
      <c r="W109" s="2">
        <f t="shared" si="6"/>
        <v>55.480000000000004</v>
      </c>
      <c r="X109" s="2"/>
      <c r="Y109" s="2">
        <f>(W109-X112)/X112*100</f>
        <v>-19.881584172713811</v>
      </c>
      <c r="Z109" s="2"/>
      <c r="AA109" s="2"/>
      <c r="AB109" s="2">
        <v>8.4</v>
      </c>
      <c r="AC109" s="2">
        <v>0.55000000000000004</v>
      </c>
      <c r="AD109" s="2"/>
      <c r="AE109" s="2"/>
      <c r="AF109" s="2"/>
      <c r="AG109" s="2">
        <v>1.4</v>
      </c>
      <c r="AH109" s="2"/>
      <c r="AJ109" s="56"/>
    </row>
    <row r="110" spans="1:36">
      <c r="A110" s="2"/>
      <c r="B110" s="2"/>
      <c r="C110" s="2"/>
      <c r="D110" s="2">
        <v>3</v>
      </c>
      <c r="E110" s="2"/>
      <c r="F110" s="2"/>
      <c r="G110" s="2"/>
      <c r="H110" s="2"/>
      <c r="I110" s="2"/>
      <c r="J110" s="2"/>
      <c r="K110" s="2"/>
      <c r="L110" s="2"/>
      <c r="M110" s="2"/>
      <c r="N110" s="2"/>
      <c r="O110" s="2"/>
      <c r="P110" s="2"/>
      <c r="Q110" s="2"/>
      <c r="R110" s="2"/>
      <c r="S110" s="2">
        <v>0.16</v>
      </c>
      <c r="T110" s="2"/>
      <c r="U110" s="2"/>
      <c r="V110" s="2"/>
      <c r="W110" s="4"/>
      <c r="X110" s="2"/>
      <c r="Y110" s="2"/>
      <c r="Z110" s="2"/>
      <c r="AA110" s="2"/>
      <c r="AB110" s="2">
        <v>5.7</v>
      </c>
      <c r="AC110" s="2">
        <v>1.52</v>
      </c>
      <c r="AD110" s="2"/>
      <c r="AE110" s="2"/>
      <c r="AF110" s="2"/>
      <c r="AG110" s="2">
        <v>2.48</v>
      </c>
      <c r="AH110" s="2"/>
      <c r="AJ110" s="56"/>
    </row>
    <row r="111" spans="1:36">
      <c r="A111" s="2"/>
      <c r="B111" s="2"/>
      <c r="C111" s="2"/>
      <c r="D111" s="2">
        <v>4</v>
      </c>
      <c r="E111" s="2">
        <v>5.7</v>
      </c>
      <c r="F111" s="2"/>
      <c r="G111" s="2"/>
      <c r="H111" s="2">
        <v>0.78</v>
      </c>
      <c r="I111" s="2">
        <v>29.47</v>
      </c>
      <c r="J111" s="2"/>
      <c r="K111" s="2"/>
      <c r="L111" s="2"/>
      <c r="M111" s="2">
        <v>0.2</v>
      </c>
      <c r="N111" s="2"/>
      <c r="O111" s="2">
        <v>0.54</v>
      </c>
      <c r="P111" s="2">
        <v>19.829999999999998</v>
      </c>
      <c r="Q111" s="2"/>
      <c r="R111" s="2"/>
      <c r="S111" s="2"/>
      <c r="T111" s="2"/>
      <c r="U111" s="2"/>
      <c r="V111" s="2">
        <v>12.47</v>
      </c>
      <c r="W111" s="2">
        <f t="shared" ref="W111:W113" si="7">SUM(E111:V111)</f>
        <v>68.990000000000009</v>
      </c>
      <c r="X111" s="2"/>
      <c r="Y111" s="2">
        <f>(W111-X112)/X112*100</f>
        <v>-0.37185457958770091</v>
      </c>
      <c r="Z111" s="2"/>
      <c r="AA111" s="2"/>
      <c r="AB111" s="2">
        <v>9.8000000000000007</v>
      </c>
      <c r="AC111" s="2">
        <v>1.1100000000000001</v>
      </c>
      <c r="AD111" s="2"/>
      <c r="AE111" s="2"/>
      <c r="AF111" s="2"/>
      <c r="AG111" s="2">
        <v>3.99</v>
      </c>
      <c r="AH111" s="2"/>
      <c r="AJ111" s="56"/>
    </row>
    <row r="112" spans="1:36">
      <c r="A112" s="2"/>
      <c r="B112" s="2"/>
      <c r="C112" s="2"/>
      <c r="D112" s="2">
        <v>5</v>
      </c>
      <c r="E112" s="2">
        <v>12.83</v>
      </c>
      <c r="F112" s="2"/>
      <c r="G112" s="2"/>
      <c r="H112" s="2">
        <v>1.62</v>
      </c>
      <c r="I112" s="2">
        <v>20.37</v>
      </c>
      <c r="J112" s="2"/>
      <c r="K112" s="2"/>
      <c r="L112" s="2"/>
      <c r="M112" s="2"/>
      <c r="N112" s="2"/>
      <c r="O112" s="2">
        <v>4.79</v>
      </c>
      <c r="P112" s="2">
        <v>44.06</v>
      </c>
      <c r="Q112" s="2"/>
      <c r="R112" s="2"/>
      <c r="S112" s="2"/>
      <c r="T112" s="2"/>
      <c r="U112" s="2"/>
      <c r="V112" s="2">
        <v>3.48</v>
      </c>
      <c r="W112" s="2">
        <f t="shared" si="7"/>
        <v>87.15</v>
      </c>
      <c r="X112" s="2">
        <f>AVERAGE(W108:W112)</f>
        <v>69.247500000000002</v>
      </c>
      <c r="Y112" s="2">
        <f>(W112-X112)/X112*100</f>
        <v>25.852918877937835</v>
      </c>
      <c r="Z112" s="2">
        <f>STDEV(W108:W112)</f>
        <v>13.230581682853829</v>
      </c>
      <c r="AA112" s="2"/>
      <c r="AB112" s="2">
        <v>14</v>
      </c>
      <c r="AC112" s="2">
        <v>6.51</v>
      </c>
      <c r="AD112" s="2">
        <f>AVERAGE(AC108:AC112)</f>
        <v>2.2039999999999997</v>
      </c>
      <c r="AE112" s="2"/>
      <c r="AF112" s="2"/>
      <c r="AG112" s="2">
        <v>4.07</v>
      </c>
      <c r="AH112" s="2">
        <f>AVERAGE(AG108:AG112)</f>
        <v>2.9420000000000002</v>
      </c>
      <c r="AJ112" s="56"/>
    </row>
    <row r="113" spans="1:36">
      <c r="A113" s="2"/>
      <c r="B113" s="2"/>
      <c r="C113" s="2">
        <v>3</v>
      </c>
      <c r="D113" s="2">
        <v>1</v>
      </c>
      <c r="E113" s="2">
        <v>5.7</v>
      </c>
      <c r="F113" s="2"/>
      <c r="G113" s="2">
        <v>0.15</v>
      </c>
      <c r="H113" s="2"/>
      <c r="I113" s="2">
        <v>30.45</v>
      </c>
      <c r="J113" s="2"/>
      <c r="K113" s="2"/>
      <c r="L113" s="2"/>
      <c r="M113" s="2">
        <v>1</v>
      </c>
      <c r="N113" s="2"/>
      <c r="O113" s="2">
        <v>0.39</v>
      </c>
      <c r="P113" s="2">
        <v>8.27</v>
      </c>
      <c r="Q113" s="2"/>
      <c r="R113" s="2"/>
      <c r="S113" s="2">
        <v>0.4</v>
      </c>
      <c r="T113" s="2"/>
      <c r="U113" s="2"/>
      <c r="V113" s="2">
        <v>2.17</v>
      </c>
      <c r="W113" s="2">
        <f t="shared" si="7"/>
        <v>48.529999999999994</v>
      </c>
      <c r="X113" s="2"/>
      <c r="Y113" s="2">
        <f>(W113-X117)/X117*100</f>
        <v>-12.095276909840152</v>
      </c>
      <c r="Z113" s="2"/>
      <c r="AA113" s="2"/>
      <c r="AB113" s="2">
        <v>4.9000000000000004</v>
      </c>
      <c r="AC113" s="2">
        <v>0.94</v>
      </c>
      <c r="AD113" s="2"/>
      <c r="AE113" s="2"/>
      <c r="AF113" s="2"/>
      <c r="AG113" s="2">
        <v>2.16</v>
      </c>
      <c r="AH113" s="2"/>
      <c r="AJ113" s="56"/>
    </row>
    <row r="114" spans="1:36">
      <c r="A114" s="2"/>
      <c r="B114" s="2"/>
      <c r="C114" s="2"/>
      <c r="D114" s="2">
        <v>2</v>
      </c>
      <c r="E114" s="2"/>
      <c r="F114" s="2"/>
      <c r="G114" s="2"/>
      <c r="H114" s="2"/>
      <c r="I114" s="2"/>
      <c r="J114" s="2"/>
      <c r="K114" s="2"/>
      <c r="L114" s="2"/>
      <c r="M114" s="2">
        <v>0.27</v>
      </c>
      <c r="N114" s="2"/>
      <c r="O114" s="2"/>
      <c r="P114" s="2"/>
      <c r="Q114" s="2"/>
      <c r="R114" s="2"/>
      <c r="S114" s="2">
        <v>0.33</v>
      </c>
      <c r="T114" s="2"/>
      <c r="U114" s="2"/>
      <c r="V114" s="2"/>
      <c r="W114" s="4"/>
      <c r="X114" s="2"/>
      <c r="Y114" s="2"/>
      <c r="Z114" s="2"/>
      <c r="AA114" s="2"/>
      <c r="AB114" s="2">
        <v>9.1</v>
      </c>
      <c r="AC114" s="2">
        <v>9.25</v>
      </c>
      <c r="AD114" s="2"/>
      <c r="AE114" s="2"/>
      <c r="AF114" s="2"/>
      <c r="AG114" s="2">
        <v>3.63</v>
      </c>
      <c r="AH114" s="2"/>
      <c r="AJ114" s="56"/>
    </row>
    <row r="115" spans="1:36">
      <c r="A115" s="2"/>
      <c r="B115" s="2"/>
      <c r="C115" s="2"/>
      <c r="D115" s="2">
        <v>3</v>
      </c>
      <c r="E115" s="2">
        <v>1.1299999999999999</v>
      </c>
      <c r="F115" s="2"/>
      <c r="G115" s="2"/>
      <c r="H115" s="2"/>
      <c r="I115" s="2">
        <v>16.059999999999999</v>
      </c>
      <c r="J115" s="2"/>
      <c r="K115" s="2"/>
      <c r="L115" s="2"/>
      <c r="M115" s="2">
        <v>3.41</v>
      </c>
      <c r="N115" s="2"/>
      <c r="O115" s="2"/>
      <c r="P115" s="2">
        <v>23.74</v>
      </c>
      <c r="Q115" s="2"/>
      <c r="R115" s="2"/>
      <c r="S115" s="2">
        <v>0.05</v>
      </c>
      <c r="T115" s="2"/>
      <c r="U115" s="2"/>
      <c r="V115" s="2">
        <v>8.26</v>
      </c>
      <c r="W115" s="2">
        <f t="shared" ref="W115:W127" si="8">SUM(E115:V115)</f>
        <v>52.649999999999991</v>
      </c>
      <c r="X115" s="2"/>
      <c r="Y115" s="2">
        <f>(W115-X117)/X117*100</f>
        <v>-4.632522755060462</v>
      </c>
      <c r="Z115" s="2"/>
      <c r="AA115" s="2"/>
      <c r="AB115" s="2">
        <v>4.2</v>
      </c>
      <c r="AC115" s="2">
        <v>1.02</v>
      </c>
      <c r="AD115" s="2"/>
      <c r="AE115" s="2"/>
      <c r="AF115" s="2"/>
      <c r="AG115" s="2">
        <v>2.6</v>
      </c>
      <c r="AH115" s="2"/>
      <c r="AJ115" s="56"/>
    </row>
    <row r="116" spans="1:36">
      <c r="A116" s="2"/>
      <c r="B116" s="2"/>
      <c r="C116" s="2"/>
      <c r="D116" s="2">
        <v>4</v>
      </c>
      <c r="E116" s="2">
        <v>1.78</v>
      </c>
      <c r="F116" s="2"/>
      <c r="G116" s="2"/>
      <c r="H116" s="2"/>
      <c r="I116" s="2">
        <v>18.48</v>
      </c>
      <c r="J116" s="2"/>
      <c r="K116" s="2"/>
      <c r="L116" s="2"/>
      <c r="M116" s="2">
        <v>5.23</v>
      </c>
      <c r="N116" s="2"/>
      <c r="O116" s="2">
        <v>0.61</v>
      </c>
      <c r="P116" s="2">
        <v>13.06</v>
      </c>
      <c r="Q116" s="2"/>
      <c r="R116" s="2"/>
      <c r="S116" s="2">
        <v>0.14000000000000001</v>
      </c>
      <c r="T116" s="2"/>
      <c r="U116" s="2"/>
      <c r="V116" s="2">
        <v>16.079999999999998</v>
      </c>
      <c r="W116" s="2">
        <f t="shared" si="8"/>
        <v>55.38</v>
      </c>
      <c r="X116" s="2"/>
      <c r="Y116" s="2">
        <f>(W116-X117)/X117*100</f>
        <v>0.31245754652901608</v>
      </c>
      <c r="Z116" s="2"/>
      <c r="AA116" s="2"/>
      <c r="AB116" s="2">
        <v>8.8000000000000007</v>
      </c>
      <c r="AC116" s="2">
        <v>1.52</v>
      </c>
      <c r="AD116" s="2"/>
      <c r="AE116" s="2"/>
      <c r="AF116" s="2"/>
      <c r="AG116" s="2">
        <v>3.03</v>
      </c>
      <c r="AH116" s="2"/>
      <c r="AJ116" s="56"/>
    </row>
    <row r="117" spans="1:36">
      <c r="A117" s="2"/>
      <c r="B117" s="2"/>
      <c r="C117" s="2"/>
      <c r="D117" s="2">
        <v>5</v>
      </c>
      <c r="E117" s="2">
        <v>2.06</v>
      </c>
      <c r="F117" s="2"/>
      <c r="G117" s="2"/>
      <c r="H117" s="2"/>
      <c r="I117" s="2">
        <v>18.07</v>
      </c>
      <c r="J117" s="2"/>
      <c r="K117" s="2"/>
      <c r="L117" s="2"/>
      <c r="M117" s="2">
        <v>0.65</v>
      </c>
      <c r="N117" s="2"/>
      <c r="O117" s="2">
        <v>0.09</v>
      </c>
      <c r="P117" s="2">
        <v>35.119999999999997</v>
      </c>
      <c r="Q117" s="2"/>
      <c r="R117" s="2"/>
      <c r="S117" s="2">
        <v>0.23</v>
      </c>
      <c r="T117" s="2"/>
      <c r="U117" s="2"/>
      <c r="V117" s="2">
        <v>8.0500000000000007</v>
      </c>
      <c r="W117" s="2">
        <f t="shared" si="8"/>
        <v>64.27</v>
      </c>
      <c r="X117" s="2">
        <f>AVERAGE(W113:W117)</f>
        <v>55.207499999999996</v>
      </c>
      <c r="Y117" s="2">
        <f>(W117-X117)/X117*100</f>
        <v>16.415342118371598</v>
      </c>
      <c r="Z117" s="2">
        <f>STDEV(W113:W117)</f>
        <v>6.6655451139923336</v>
      </c>
      <c r="AA117" s="2"/>
      <c r="AB117" s="2">
        <v>5.3</v>
      </c>
      <c r="AC117" s="2">
        <v>1.65</v>
      </c>
      <c r="AD117" s="2">
        <f>AVERAGE(AC113:AC117)</f>
        <v>2.8759999999999999</v>
      </c>
      <c r="AE117" s="2"/>
      <c r="AF117" s="2"/>
      <c r="AG117" s="2">
        <v>2.02</v>
      </c>
      <c r="AH117" s="2">
        <f>AVERAGE(AG113:AG117)</f>
        <v>2.6879999999999997</v>
      </c>
      <c r="AJ117" s="56"/>
    </row>
    <row r="118" spans="1:36">
      <c r="A118" s="2"/>
      <c r="B118" s="2"/>
      <c r="C118" s="2">
        <v>4</v>
      </c>
      <c r="D118" s="2">
        <v>1</v>
      </c>
      <c r="E118" s="2">
        <v>0.36</v>
      </c>
      <c r="F118" s="2"/>
      <c r="G118" s="2"/>
      <c r="H118" s="2"/>
      <c r="I118" s="2">
        <v>38.229999999999997</v>
      </c>
      <c r="J118" s="2"/>
      <c r="K118" s="2"/>
      <c r="L118" s="2"/>
      <c r="M118" s="2">
        <v>0.68</v>
      </c>
      <c r="N118" s="2"/>
      <c r="O118" s="2"/>
      <c r="P118" s="2">
        <v>6.97</v>
      </c>
      <c r="Q118" s="2"/>
      <c r="R118" s="2"/>
      <c r="S118" s="2">
        <v>0.14000000000000001</v>
      </c>
      <c r="T118" s="2"/>
      <c r="U118" s="2"/>
      <c r="V118" s="2">
        <v>0.73</v>
      </c>
      <c r="W118" s="2">
        <f t="shared" si="8"/>
        <v>47.109999999999992</v>
      </c>
      <c r="X118" s="2"/>
      <c r="Y118" s="2">
        <f>(W118-X122)/X122*100</f>
        <v>-10.688556912110435</v>
      </c>
      <c r="Z118" s="2"/>
      <c r="AA118" s="2"/>
      <c r="AB118" s="2">
        <v>13.7</v>
      </c>
      <c r="AC118" s="2">
        <v>3.4</v>
      </c>
      <c r="AD118" s="2"/>
      <c r="AE118" s="2"/>
      <c r="AF118" s="2"/>
      <c r="AG118" s="2">
        <v>3.57</v>
      </c>
      <c r="AH118" s="2"/>
      <c r="AJ118" s="56"/>
    </row>
    <row r="119" spans="1:36">
      <c r="A119" s="2"/>
      <c r="B119" s="2"/>
      <c r="C119" s="2"/>
      <c r="D119" s="2">
        <v>2</v>
      </c>
      <c r="E119" s="2">
        <v>0.02</v>
      </c>
      <c r="F119" s="2"/>
      <c r="G119" s="2"/>
      <c r="H119" s="2"/>
      <c r="I119" s="2">
        <v>39.1</v>
      </c>
      <c r="J119" s="2"/>
      <c r="K119" s="2"/>
      <c r="L119" s="2"/>
      <c r="M119" s="2"/>
      <c r="N119" s="2"/>
      <c r="O119" s="2"/>
      <c r="P119" s="2">
        <v>6.23</v>
      </c>
      <c r="Q119" s="2"/>
      <c r="R119" s="2"/>
      <c r="S119" s="2"/>
      <c r="T119" s="2"/>
      <c r="U119" s="2"/>
      <c r="V119" s="2">
        <v>0.76</v>
      </c>
      <c r="W119" s="2">
        <f t="shared" si="8"/>
        <v>46.110000000000007</v>
      </c>
      <c r="X119" s="2"/>
      <c r="Y119" s="2">
        <f>(W119-X122)/X122*100</f>
        <v>-12.584363388185329</v>
      </c>
      <c r="Z119" s="2"/>
      <c r="AA119" s="2"/>
      <c r="AB119" s="2">
        <v>12.9</v>
      </c>
      <c r="AC119" s="4">
        <f>AVERAGEA(AC118,AC120,AC121,AC122)</f>
        <v>2.9874999999999998</v>
      </c>
      <c r="AD119" s="2"/>
      <c r="AE119" s="2"/>
      <c r="AF119" s="2"/>
      <c r="AG119" s="2">
        <v>2.35</v>
      </c>
      <c r="AH119" s="2"/>
      <c r="AJ119" s="56"/>
    </row>
    <row r="120" spans="1:36">
      <c r="A120" s="2"/>
      <c r="B120" s="2"/>
      <c r="C120" s="2"/>
      <c r="D120" s="2">
        <v>3</v>
      </c>
      <c r="E120" s="2">
        <v>0.24</v>
      </c>
      <c r="F120" s="2"/>
      <c r="G120" s="2"/>
      <c r="H120" s="2"/>
      <c r="I120" s="2">
        <v>32.020000000000003</v>
      </c>
      <c r="J120" s="2"/>
      <c r="K120" s="2"/>
      <c r="L120" s="2"/>
      <c r="M120" s="2"/>
      <c r="N120" s="2"/>
      <c r="O120" s="2">
        <v>0.37</v>
      </c>
      <c r="P120" s="2">
        <v>8.99</v>
      </c>
      <c r="Q120" s="2"/>
      <c r="R120" s="2"/>
      <c r="S120" s="2">
        <v>7.0000000000000007E-2</v>
      </c>
      <c r="T120" s="2"/>
      <c r="U120" s="2"/>
      <c r="V120" s="2">
        <v>1.83</v>
      </c>
      <c r="W120" s="2">
        <f t="shared" si="8"/>
        <v>43.52</v>
      </c>
      <c r="X120" s="2"/>
      <c r="Y120" s="2">
        <f>(W120-X122)/X122*100</f>
        <v>-17.494502161219383</v>
      </c>
      <c r="Z120" s="2"/>
      <c r="AA120" s="2"/>
      <c r="AB120" s="2">
        <v>10.6</v>
      </c>
      <c r="AC120" s="2">
        <v>2.4</v>
      </c>
      <c r="AD120" s="2"/>
      <c r="AE120" s="2"/>
      <c r="AF120" s="2"/>
      <c r="AG120" s="2">
        <v>3.82</v>
      </c>
      <c r="AH120" s="2"/>
      <c r="AJ120" s="56"/>
    </row>
    <row r="121" spans="1:36">
      <c r="A121" s="2"/>
      <c r="B121" s="2"/>
      <c r="C121" s="2"/>
      <c r="D121" s="2">
        <v>4</v>
      </c>
      <c r="E121" s="2"/>
      <c r="F121" s="2"/>
      <c r="G121" s="2"/>
      <c r="H121" s="2"/>
      <c r="I121" s="2">
        <v>34.520000000000003</v>
      </c>
      <c r="J121" s="2"/>
      <c r="K121" s="2"/>
      <c r="L121" s="2"/>
      <c r="M121" s="2">
        <v>0.79</v>
      </c>
      <c r="N121" s="2"/>
      <c r="O121" s="2">
        <v>0.12</v>
      </c>
      <c r="P121" s="2">
        <v>18.309999999999999</v>
      </c>
      <c r="Q121" s="2"/>
      <c r="R121" s="2"/>
      <c r="S121" s="2">
        <v>7.0000000000000007E-2</v>
      </c>
      <c r="T121" s="2"/>
      <c r="U121" s="2"/>
      <c r="V121" s="2">
        <v>5.08</v>
      </c>
      <c r="W121" s="2">
        <f t="shared" si="8"/>
        <v>58.889999999999993</v>
      </c>
      <c r="X121" s="2"/>
      <c r="Y121" s="2">
        <f>(W121-X122)/X122*100</f>
        <v>11.644043376052151</v>
      </c>
      <c r="Z121" s="2"/>
      <c r="AA121" s="2"/>
      <c r="AB121" s="2">
        <v>7.8</v>
      </c>
      <c r="AC121" s="2">
        <v>2.3199999999999998</v>
      </c>
      <c r="AD121" s="2"/>
      <c r="AE121" s="2"/>
      <c r="AF121" s="2"/>
      <c r="AG121" s="2">
        <v>2.98</v>
      </c>
      <c r="AH121" s="2"/>
      <c r="AJ121" s="56"/>
    </row>
    <row r="122" spans="1:36">
      <c r="A122" s="2"/>
      <c r="B122" s="2"/>
      <c r="C122" s="2"/>
      <c r="D122" s="2">
        <v>5</v>
      </c>
      <c r="E122" s="2">
        <v>0.06</v>
      </c>
      <c r="F122" s="2"/>
      <c r="G122" s="2"/>
      <c r="H122" s="2"/>
      <c r="I122" s="2">
        <v>29.58</v>
      </c>
      <c r="J122" s="2"/>
      <c r="K122" s="2"/>
      <c r="L122" s="2"/>
      <c r="M122" s="2">
        <v>7.0000000000000007E-2</v>
      </c>
      <c r="N122" s="2"/>
      <c r="O122" s="2"/>
      <c r="P122" s="2">
        <v>29.16</v>
      </c>
      <c r="Q122" s="2"/>
      <c r="R122" s="2"/>
      <c r="S122" s="2">
        <v>0.13</v>
      </c>
      <c r="T122" s="2"/>
      <c r="U122" s="2"/>
      <c r="V122" s="2">
        <v>9.11</v>
      </c>
      <c r="W122" s="2">
        <f t="shared" si="8"/>
        <v>68.11</v>
      </c>
      <c r="X122" s="2">
        <f>AVERAGE(W118:W122)</f>
        <v>52.748000000000005</v>
      </c>
      <c r="Y122" s="2">
        <f>(W122-X122)/X122*100</f>
        <v>29.123379085462943</v>
      </c>
      <c r="Z122" s="2">
        <f>STDEV(W118:W122)</f>
        <v>10.424985371692349</v>
      </c>
      <c r="AA122" s="2"/>
      <c r="AB122" s="2">
        <v>10.3</v>
      </c>
      <c r="AC122" s="2">
        <v>3.83</v>
      </c>
      <c r="AD122" s="2">
        <f>AVERAGE(AC118:AC122)</f>
        <v>2.9874999999999998</v>
      </c>
      <c r="AE122" s="2"/>
      <c r="AF122" s="2"/>
      <c r="AG122" s="2">
        <v>4.66</v>
      </c>
      <c r="AH122" s="2">
        <f>AVERAGE(AG118:AG122)</f>
        <v>3.4760000000000004</v>
      </c>
      <c r="AJ122" s="56"/>
    </row>
    <row r="123" spans="1:36">
      <c r="A123" s="2" t="s">
        <v>78</v>
      </c>
      <c r="B123" s="2" t="s">
        <v>105</v>
      </c>
      <c r="C123" s="2">
        <v>1</v>
      </c>
      <c r="D123" s="2">
        <v>1</v>
      </c>
      <c r="E123" s="2">
        <v>0.14000000000000001</v>
      </c>
      <c r="F123" s="2"/>
      <c r="G123" s="2"/>
      <c r="H123" s="2"/>
      <c r="I123" s="2">
        <v>21.12</v>
      </c>
      <c r="J123" s="2"/>
      <c r="K123" s="2"/>
      <c r="L123" s="2"/>
      <c r="M123" s="2"/>
      <c r="N123" s="2"/>
      <c r="O123" s="2">
        <v>0.56000000000000005</v>
      </c>
      <c r="P123" s="2">
        <v>25.12</v>
      </c>
      <c r="Q123" s="2"/>
      <c r="R123" s="2"/>
      <c r="S123" s="2"/>
      <c r="T123" s="2"/>
      <c r="U123" s="2"/>
      <c r="V123" s="2">
        <v>11.57</v>
      </c>
      <c r="W123" s="2">
        <f t="shared" si="8"/>
        <v>58.51</v>
      </c>
      <c r="X123" s="2"/>
      <c r="Y123" s="2">
        <f>(W123-X127)/X127*100</f>
        <v>-21.177421527684217</v>
      </c>
      <c r="Z123" s="2"/>
      <c r="AA123" s="2"/>
      <c r="AB123" s="2">
        <v>10.1</v>
      </c>
      <c r="AC123" s="2">
        <v>2.74</v>
      </c>
      <c r="AD123" s="2"/>
      <c r="AE123" s="2"/>
      <c r="AF123" s="2"/>
      <c r="AG123" s="2">
        <v>4.28</v>
      </c>
      <c r="AH123" s="2"/>
      <c r="AJ123" s="56"/>
    </row>
    <row r="124" spans="1:36">
      <c r="A124" s="2"/>
      <c r="B124" s="2"/>
      <c r="C124" s="2"/>
      <c r="D124" s="2">
        <v>2</v>
      </c>
      <c r="E124" s="2">
        <v>0.2</v>
      </c>
      <c r="F124" s="2"/>
      <c r="G124" s="2"/>
      <c r="H124" s="2"/>
      <c r="I124" s="2">
        <v>13.77</v>
      </c>
      <c r="J124" s="2"/>
      <c r="K124" s="2"/>
      <c r="L124" s="2"/>
      <c r="M124" s="2">
        <v>0.01</v>
      </c>
      <c r="N124" s="2"/>
      <c r="O124" s="2"/>
      <c r="P124" s="2">
        <v>58.8</v>
      </c>
      <c r="Q124" s="2"/>
      <c r="R124" s="2"/>
      <c r="S124" s="2">
        <v>0.01</v>
      </c>
      <c r="T124" s="2"/>
      <c r="U124" s="2">
        <v>0.5</v>
      </c>
      <c r="V124" s="2">
        <v>18.21</v>
      </c>
      <c r="W124" s="2">
        <f t="shared" si="8"/>
        <v>91.5</v>
      </c>
      <c r="X124" s="2"/>
      <c r="Y124" s="2">
        <f>(W124-X127)/X127*100</f>
        <v>23.265526067627661</v>
      </c>
      <c r="Z124" s="2"/>
      <c r="AA124" s="2"/>
      <c r="AB124" s="2">
        <v>8</v>
      </c>
      <c r="AC124" s="2">
        <v>1.96</v>
      </c>
      <c r="AD124" s="2"/>
      <c r="AE124" s="2"/>
      <c r="AF124" s="2"/>
      <c r="AG124" s="2">
        <v>7.03</v>
      </c>
      <c r="AH124" s="2"/>
      <c r="AJ124" s="56"/>
    </row>
    <row r="125" spans="1:36">
      <c r="A125" s="2"/>
      <c r="B125" s="2"/>
      <c r="C125" s="2"/>
      <c r="D125" s="2">
        <v>3</v>
      </c>
      <c r="E125" s="2"/>
      <c r="F125" s="2"/>
      <c r="G125" s="2"/>
      <c r="H125" s="2"/>
      <c r="I125" s="2">
        <v>18.14</v>
      </c>
      <c r="J125" s="2"/>
      <c r="K125" s="2"/>
      <c r="L125" s="2"/>
      <c r="M125" s="2"/>
      <c r="N125" s="2"/>
      <c r="O125" s="2">
        <v>0.22</v>
      </c>
      <c r="P125" s="2">
        <v>46.45</v>
      </c>
      <c r="Q125" s="2"/>
      <c r="R125" s="2"/>
      <c r="S125" s="2">
        <v>0.05</v>
      </c>
      <c r="T125" s="2"/>
      <c r="U125" s="2"/>
      <c r="V125" s="2">
        <v>15.05</v>
      </c>
      <c r="W125" s="2">
        <f t="shared" si="8"/>
        <v>79.91</v>
      </c>
      <c r="X125" s="2"/>
      <c r="Y125" s="2">
        <f>(W125-X127)/X127*100</f>
        <v>7.6518927657281521</v>
      </c>
      <c r="Z125" s="2"/>
      <c r="AA125" s="2"/>
      <c r="AB125" s="2">
        <v>7.2</v>
      </c>
      <c r="AC125" s="2">
        <v>2.64</v>
      </c>
      <c r="AD125" s="2"/>
      <c r="AE125" s="2"/>
      <c r="AF125" s="2"/>
      <c r="AG125" s="2">
        <v>8.35</v>
      </c>
      <c r="AH125" s="2"/>
      <c r="AJ125" s="56"/>
    </row>
    <row r="126" spans="1:36">
      <c r="A126" s="2"/>
      <c r="B126" s="2"/>
      <c r="C126" s="2"/>
      <c r="D126" s="2">
        <v>4</v>
      </c>
      <c r="E126" s="2">
        <v>0.17</v>
      </c>
      <c r="F126" s="2"/>
      <c r="G126" s="2"/>
      <c r="H126" s="2"/>
      <c r="I126" s="2">
        <v>18.53</v>
      </c>
      <c r="J126" s="2"/>
      <c r="K126" s="2"/>
      <c r="L126" s="2"/>
      <c r="M126" s="2"/>
      <c r="N126" s="2"/>
      <c r="O126" s="2">
        <v>0.4</v>
      </c>
      <c r="P126" s="2">
        <v>23.34</v>
      </c>
      <c r="Q126" s="2"/>
      <c r="R126" s="2"/>
      <c r="S126" s="2">
        <v>0.23</v>
      </c>
      <c r="T126" s="2"/>
      <c r="U126" s="2"/>
      <c r="V126" s="2">
        <v>32.44</v>
      </c>
      <c r="W126" s="2">
        <f t="shared" si="8"/>
        <v>75.109999999999985</v>
      </c>
      <c r="X126" s="2"/>
      <c r="Y126" s="2">
        <f>(W126-X127)/X127*100</f>
        <v>1.1855045130001287</v>
      </c>
      <c r="Z126" s="2"/>
      <c r="AA126" s="2"/>
      <c r="AB126" s="2">
        <v>10.7</v>
      </c>
      <c r="AC126" s="2">
        <v>1.9</v>
      </c>
      <c r="AD126" s="2"/>
      <c r="AE126" s="2"/>
      <c r="AF126" s="2"/>
      <c r="AG126" s="2">
        <v>7.74</v>
      </c>
      <c r="AH126" s="2"/>
      <c r="AJ126" s="56"/>
    </row>
    <row r="127" spans="1:36">
      <c r="A127" s="2"/>
      <c r="B127" s="2"/>
      <c r="C127" s="2"/>
      <c r="D127" s="2">
        <v>5</v>
      </c>
      <c r="E127" s="2">
        <v>0.06</v>
      </c>
      <c r="F127" s="2"/>
      <c r="G127" s="2"/>
      <c r="H127" s="2"/>
      <c r="I127" s="2">
        <v>20.010000000000002</v>
      </c>
      <c r="J127" s="2"/>
      <c r="K127" s="2"/>
      <c r="L127" s="2"/>
      <c r="M127" s="2"/>
      <c r="N127" s="2"/>
      <c r="O127" s="2"/>
      <c r="P127" s="2">
        <v>34.86</v>
      </c>
      <c r="Q127" s="2"/>
      <c r="R127" s="2"/>
      <c r="S127" s="2">
        <v>0.05</v>
      </c>
      <c r="T127" s="2"/>
      <c r="U127" s="2"/>
      <c r="V127" s="2">
        <v>11.14</v>
      </c>
      <c r="W127" s="2">
        <f t="shared" si="8"/>
        <v>66.12</v>
      </c>
      <c r="X127" s="2">
        <f>AVERAGE(W123:W127)</f>
        <v>74.22999999999999</v>
      </c>
      <c r="Y127" s="2">
        <f>(W127-X127)/X127*100</f>
        <v>-10.925501818671677</v>
      </c>
      <c r="Z127" s="2">
        <f>STDEV(W123:W127)</f>
        <v>12.690352634974394</v>
      </c>
      <c r="AA127" s="2"/>
      <c r="AB127" s="2">
        <v>3.6</v>
      </c>
      <c r="AC127" s="2">
        <v>0.4</v>
      </c>
      <c r="AD127" s="2">
        <f>AVERAGE(AC123:AC127)</f>
        <v>1.9280000000000002</v>
      </c>
      <c r="AE127" s="2"/>
      <c r="AF127" s="2"/>
      <c r="AG127" s="2">
        <v>5.83</v>
      </c>
      <c r="AH127" s="2">
        <f>AVERAGE(AG123:AG127)</f>
        <v>6.645999999999999</v>
      </c>
      <c r="AJ127" s="56"/>
    </row>
    <row r="128" spans="1:36">
      <c r="A128" s="2"/>
      <c r="B128" s="2"/>
      <c r="C128" s="2">
        <v>2</v>
      </c>
      <c r="D128" s="2">
        <v>1</v>
      </c>
      <c r="E128" s="2"/>
      <c r="F128" s="2"/>
      <c r="G128" s="2"/>
      <c r="H128" s="2"/>
      <c r="I128" s="2"/>
      <c r="J128" s="2"/>
      <c r="K128" s="2"/>
      <c r="L128" s="2"/>
      <c r="M128" s="2"/>
      <c r="N128" s="2"/>
      <c r="O128" s="2"/>
      <c r="P128" s="2"/>
      <c r="Q128" s="2"/>
      <c r="R128" s="2"/>
      <c r="S128" s="2"/>
      <c r="T128" s="2"/>
      <c r="U128" s="2">
        <v>0.01</v>
      </c>
      <c r="V128" s="2"/>
      <c r="W128" s="4"/>
      <c r="X128" s="2"/>
      <c r="Y128" s="2"/>
      <c r="Z128" s="2"/>
      <c r="AA128" s="2"/>
      <c r="AB128" s="2">
        <v>8.9</v>
      </c>
      <c r="AC128" s="2">
        <v>1.96</v>
      </c>
      <c r="AD128" s="2"/>
      <c r="AE128" s="2"/>
      <c r="AF128" s="2"/>
      <c r="AG128" s="2">
        <v>7.86</v>
      </c>
      <c r="AH128" s="2"/>
      <c r="AJ128" s="56"/>
    </row>
    <row r="129" spans="1:36">
      <c r="A129" s="2"/>
      <c r="B129" s="2"/>
      <c r="C129" s="2"/>
      <c r="D129" s="2">
        <v>2</v>
      </c>
      <c r="E129" s="2"/>
      <c r="F129" s="2"/>
      <c r="G129" s="2"/>
      <c r="H129" s="2"/>
      <c r="I129" s="2">
        <v>21.36</v>
      </c>
      <c r="J129" s="2"/>
      <c r="K129" s="2"/>
      <c r="L129" s="2"/>
      <c r="M129" s="2"/>
      <c r="N129" s="2"/>
      <c r="O129" s="2">
        <v>0.01</v>
      </c>
      <c r="P129" s="2">
        <v>62.76</v>
      </c>
      <c r="Q129" s="2">
        <v>0.3</v>
      </c>
      <c r="R129" s="2"/>
      <c r="S129" s="2">
        <v>0.4</v>
      </c>
      <c r="T129" s="2"/>
      <c r="U129" s="2"/>
      <c r="V129" s="2">
        <v>11</v>
      </c>
      <c r="W129" s="2">
        <f t="shared" ref="W129:W222" si="9">SUM(E129:V129)</f>
        <v>95.83</v>
      </c>
      <c r="X129" s="2"/>
      <c r="Y129" s="2">
        <f>(W129-X132)/X132*100</f>
        <v>21.280769474150475</v>
      </c>
      <c r="Z129" s="2"/>
      <c r="AA129" s="2"/>
      <c r="AB129" s="2">
        <v>5.7</v>
      </c>
      <c r="AC129" s="2">
        <v>1.1000000000000001</v>
      </c>
      <c r="AD129" s="2"/>
      <c r="AE129" s="2"/>
      <c r="AF129" s="2"/>
      <c r="AG129" s="2">
        <v>4.18</v>
      </c>
      <c r="AH129" s="2"/>
      <c r="AJ129" s="56"/>
    </row>
    <row r="130" spans="1:36">
      <c r="A130" s="2"/>
      <c r="B130" s="2"/>
      <c r="C130" s="2"/>
      <c r="D130" s="2">
        <v>3</v>
      </c>
      <c r="E130" s="2">
        <v>0.16</v>
      </c>
      <c r="F130" s="2"/>
      <c r="G130" s="2"/>
      <c r="H130" s="2"/>
      <c r="I130" s="2">
        <v>15.16</v>
      </c>
      <c r="J130" s="2"/>
      <c r="K130" s="2"/>
      <c r="L130" s="2"/>
      <c r="M130" s="2"/>
      <c r="N130" s="2"/>
      <c r="O130" s="2"/>
      <c r="P130" s="2">
        <v>49.14</v>
      </c>
      <c r="Q130" s="2"/>
      <c r="R130" s="2"/>
      <c r="S130" s="2">
        <v>0.43</v>
      </c>
      <c r="T130" s="2"/>
      <c r="U130" s="2">
        <v>4.32</v>
      </c>
      <c r="V130" s="2">
        <v>3.9</v>
      </c>
      <c r="W130" s="2">
        <f t="shared" si="9"/>
        <v>73.110000000000014</v>
      </c>
      <c r="X130" s="2"/>
      <c r="Y130" s="2">
        <f>(W130-X132)/X132*100</f>
        <v>-7.4732645700183342</v>
      </c>
      <c r="Z130" s="2"/>
      <c r="AA130" s="2"/>
      <c r="AB130" s="2">
        <v>4.3</v>
      </c>
      <c r="AC130" s="2">
        <v>1.08</v>
      </c>
      <c r="AD130" s="2"/>
      <c r="AE130" s="2"/>
      <c r="AF130" s="2"/>
      <c r="AG130" s="2">
        <v>6.69</v>
      </c>
      <c r="AH130" s="2"/>
      <c r="AJ130" s="56"/>
    </row>
    <row r="131" spans="1:36">
      <c r="A131" s="2"/>
      <c r="B131" s="2"/>
      <c r="C131" s="2"/>
      <c r="D131" s="2">
        <v>4</v>
      </c>
      <c r="E131" s="2">
        <v>52.34</v>
      </c>
      <c r="F131" s="2"/>
      <c r="G131" s="2"/>
      <c r="H131" s="2"/>
      <c r="I131" s="2">
        <v>16.2</v>
      </c>
      <c r="J131" s="2"/>
      <c r="K131" s="2"/>
      <c r="L131" s="2"/>
      <c r="M131" s="2">
        <v>0.3</v>
      </c>
      <c r="N131" s="2"/>
      <c r="O131" s="2"/>
      <c r="P131" s="2"/>
      <c r="Q131" s="2"/>
      <c r="R131" s="2"/>
      <c r="S131" s="2">
        <v>0.3</v>
      </c>
      <c r="T131" s="2"/>
      <c r="U131" s="2"/>
      <c r="V131" s="2">
        <v>4.71</v>
      </c>
      <c r="W131" s="2">
        <f t="shared" si="9"/>
        <v>73.849999999999994</v>
      </c>
      <c r="X131" s="2"/>
      <c r="Y131" s="2">
        <f>(W131-X132)/X132*100</f>
        <v>-6.53673353160793</v>
      </c>
      <c r="Z131" s="2"/>
      <c r="AA131" s="2"/>
      <c r="AB131" s="2">
        <v>5.0999999999999996</v>
      </c>
      <c r="AC131" s="2">
        <v>2.08</v>
      </c>
      <c r="AD131" s="2"/>
      <c r="AE131" s="2"/>
      <c r="AF131" s="2"/>
      <c r="AG131" s="2">
        <v>4.2</v>
      </c>
      <c r="AH131" s="2"/>
      <c r="AJ131" s="56"/>
    </row>
    <row r="132" spans="1:36">
      <c r="A132" s="2"/>
      <c r="B132" s="2"/>
      <c r="C132" s="2"/>
      <c r="D132" s="2">
        <v>5</v>
      </c>
      <c r="E132" s="2"/>
      <c r="F132" s="2"/>
      <c r="G132" s="2"/>
      <c r="H132" s="2"/>
      <c r="I132" s="2">
        <v>15.13</v>
      </c>
      <c r="J132" s="2"/>
      <c r="K132" s="2"/>
      <c r="L132" s="2"/>
      <c r="M132" s="2"/>
      <c r="N132" s="2"/>
      <c r="O132" s="2"/>
      <c r="P132" s="2">
        <v>52.57</v>
      </c>
      <c r="Q132" s="2">
        <v>1.1000000000000001</v>
      </c>
      <c r="R132" s="2"/>
      <c r="S132" s="2"/>
      <c r="T132" s="2"/>
      <c r="U132" s="2">
        <v>1.7</v>
      </c>
      <c r="V132" s="2">
        <v>2.77</v>
      </c>
      <c r="W132" s="2">
        <f t="shared" si="9"/>
        <v>73.27</v>
      </c>
      <c r="X132" s="2">
        <f>AVERAGE(W129:W132)</f>
        <v>79.015000000000001</v>
      </c>
      <c r="Y132" s="2">
        <f>(W132-X132)/X132*100</f>
        <v>-7.2707713725242096</v>
      </c>
      <c r="Z132" s="2">
        <f>STDEV(W128:W132)</f>
        <v>11.214506973856137</v>
      </c>
      <c r="AA132" s="2"/>
      <c r="AB132" s="2">
        <v>3.1</v>
      </c>
      <c r="AC132" s="2">
        <v>0.2</v>
      </c>
      <c r="AD132" s="2">
        <f>AVERAGE(AC128:AC132)</f>
        <v>1.2840000000000003</v>
      </c>
      <c r="AE132" s="2"/>
      <c r="AF132" s="2"/>
      <c r="AG132" s="4">
        <f>AVERAGE(AG128:AG131)</f>
        <v>5.7324999999999999</v>
      </c>
      <c r="AH132" s="2">
        <f>AVERAGE(AG128:AG132)</f>
        <v>5.7324999999999999</v>
      </c>
      <c r="AJ132" s="56"/>
    </row>
    <row r="133" spans="1:36">
      <c r="A133" s="2"/>
      <c r="B133" s="2"/>
      <c r="C133" s="2">
        <v>3</v>
      </c>
      <c r="D133" s="2">
        <v>1</v>
      </c>
      <c r="E133" s="2"/>
      <c r="F133" s="2"/>
      <c r="G133" s="2"/>
      <c r="H133" s="2"/>
      <c r="I133" s="2">
        <v>18.86</v>
      </c>
      <c r="J133" s="2"/>
      <c r="K133" s="2"/>
      <c r="L133" s="2"/>
      <c r="M133" s="2"/>
      <c r="N133" s="2"/>
      <c r="O133" s="2"/>
      <c r="P133" s="2"/>
      <c r="Q133" s="2"/>
      <c r="R133" s="2"/>
      <c r="S133" s="2">
        <v>0.1</v>
      </c>
      <c r="T133" s="2"/>
      <c r="U133" s="2"/>
      <c r="V133" s="2">
        <v>7.25</v>
      </c>
      <c r="W133" s="2">
        <f t="shared" si="9"/>
        <v>26.21</v>
      </c>
      <c r="X133" s="2"/>
      <c r="Y133" s="2">
        <f>(W133-X137)/X137*100</f>
        <v>-60.100471913533262</v>
      </c>
      <c r="Z133" s="2"/>
      <c r="AA133" s="2"/>
      <c r="AB133" s="2">
        <v>11.3</v>
      </c>
      <c r="AC133" s="2">
        <v>1.68</v>
      </c>
      <c r="AD133" s="2"/>
      <c r="AE133" s="2"/>
      <c r="AF133" s="2"/>
      <c r="AG133" s="2">
        <v>4.8600000000000003</v>
      </c>
      <c r="AH133" s="2"/>
      <c r="AJ133" s="56"/>
    </row>
    <row r="134" spans="1:36">
      <c r="A134" s="2"/>
      <c r="B134" s="2"/>
      <c r="C134" s="2"/>
      <c r="D134" s="2">
        <v>2</v>
      </c>
      <c r="E134" s="2">
        <v>29.14</v>
      </c>
      <c r="F134" s="2"/>
      <c r="G134" s="2"/>
      <c r="H134" s="2"/>
      <c r="I134" s="2">
        <v>19.32</v>
      </c>
      <c r="J134" s="2"/>
      <c r="K134" s="2"/>
      <c r="L134" s="2"/>
      <c r="M134" s="2"/>
      <c r="N134" s="2"/>
      <c r="O134" s="2"/>
      <c r="P134" s="2">
        <v>32.58</v>
      </c>
      <c r="Q134" s="2">
        <v>1.33</v>
      </c>
      <c r="R134" s="2"/>
      <c r="S134" s="2">
        <v>0.02</v>
      </c>
      <c r="T134" s="2"/>
      <c r="U134" s="2">
        <v>0.4</v>
      </c>
      <c r="V134" s="2">
        <v>10.51</v>
      </c>
      <c r="W134" s="2">
        <f t="shared" si="9"/>
        <v>93.3</v>
      </c>
      <c r="X134" s="2"/>
      <c r="Y134" s="2">
        <f>(W134-X137)/X137*100</f>
        <v>42.030750494748062</v>
      </c>
      <c r="Z134" s="2"/>
      <c r="AA134" s="2"/>
      <c r="AB134" s="2">
        <v>15</v>
      </c>
      <c r="AC134" s="2">
        <v>2.97</v>
      </c>
      <c r="AD134" s="2"/>
      <c r="AE134" s="2"/>
      <c r="AF134" s="2"/>
      <c r="AG134" s="2">
        <v>5.81</v>
      </c>
      <c r="AH134" s="2"/>
      <c r="AJ134" s="56"/>
    </row>
    <row r="135" spans="1:36">
      <c r="A135" s="2"/>
      <c r="B135" s="2"/>
      <c r="C135" s="2"/>
      <c r="D135" s="2">
        <v>3</v>
      </c>
      <c r="E135" s="2"/>
      <c r="F135" s="2"/>
      <c r="G135" s="2"/>
      <c r="H135" s="2"/>
      <c r="I135" s="2">
        <v>12.79</v>
      </c>
      <c r="J135" s="2"/>
      <c r="K135" s="2"/>
      <c r="L135" s="2"/>
      <c r="M135" s="2"/>
      <c r="N135" s="2"/>
      <c r="O135" s="2"/>
      <c r="P135" s="2">
        <v>47.96</v>
      </c>
      <c r="Q135" s="2"/>
      <c r="R135" s="2"/>
      <c r="S135" s="2">
        <v>0.02</v>
      </c>
      <c r="T135" s="2"/>
      <c r="U135" s="2"/>
      <c r="V135" s="2">
        <v>5.52</v>
      </c>
      <c r="W135" s="2">
        <f t="shared" si="9"/>
        <v>66.290000000000006</v>
      </c>
      <c r="X135" s="2"/>
      <c r="Y135" s="2">
        <f>(W135-X137)/X137*100</f>
        <v>0.91338103212057942</v>
      </c>
      <c r="Z135" s="2"/>
      <c r="AA135" s="2"/>
      <c r="AB135" s="2">
        <v>2.8</v>
      </c>
      <c r="AC135" s="2">
        <v>0.3</v>
      </c>
      <c r="AD135" s="2"/>
      <c r="AE135" s="2"/>
      <c r="AF135" s="2"/>
      <c r="AG135" s="2">
        <v>3.03</v>
      </c>
      <c r="AH135" s="2"/>
      <c r="AJ135" s="56"/>
    </row>
    <row r="136" spans="1:36">
      <c r="A136" s="2"/>
      <c r="B136" s="2"/>
      <c r="C136" s="2"/>
      <c r="D136" s="2">
        <v>4</v>
      </c>
      <c r="E136" s="2"/>
      <c r="F136" s="2"/>
      <c r="G136" s="2"/>
      <c r="H136" s="2"/>
      <c r="I136" s="2">
        <v>20.58</v>
      </c>
      <c r="J136" s="2"/>
      <c r="K136" s="2"/>
      <c r="L136" s="2"/>
      <c r="M136" s="2"/>
      <c r="N136" s="2"/>
      <c r="O136" s="2"/>
      <c r="P136" s="2">
        <v>42.43</v>
      </c>
      <c r="Q136" s="2"/>
      <c r="R136" s="2"/>
      <c r="S136" s="2">
        <v>0.01</v>
      </c>
      <c r="T136" s="2"/>
      <c r="U136" s="2"/>
      <c r="V136" s="2">
        <v>2.93</v>
      </c>
      <c r="W136" s="2">
        <f t="shared" si="9"/>
        <v>65.95</v>
      </c>
      <c r="X136" s="2"/>
      <c r="Y136" s="2">
        <f>(W136-X137)/X137*100</f>
        <v>0.39579844725225316</v>
      </c>
      <c r="Z136" s="2"/>
      <c r="AA136" s="2"/>
      <c r="AB136" s="2">
        <v>9.9</v>
      </c>
      <c r="AC136" s="2">
        <v>5.33</v>
      </c>
      <c r="AD136" s="2"/>
      <c r="AE136" s="2"/>
      <c r="AF136" s="2"/>
      <c r="AG136" s="2">
        <v>2.85</v>
      </c>
      <c r="AH136" s="2"/>
      <c r="AJ136" s="56"/>
    </row>
    <row r="137" spans="1:36">
      <c r="A137" s="2"/>
      <c r="B137" s="2"/>
      <c r="C137" s="2"/>
      <c r="D137" s="2">
        <v>5</v>
      </c>
      <c r="E137" s="2">
        <v>0.14000000000000001</v>
      </c>
      <c r="F137" s="2"/>
      <c r="G137" s="2"/>
      <c r="H137" s="2"/>
      <c r="I137" s="2">
        <v>17.36</v>
      </c>
      <c r="J137" s="2"/>
      <c r="K137" s="2"/>
      <c r="L137" s="2"/>
      <c r="M137" s="2"/>
      <c r="N137" s="2"/>
      <c r="O137" s="2"/>
      <c r="P137" s="2">
        <v>54.03</v>
      </c>
      <c r="Q137" s="2"/>
      <c r="R137" s="2"/>
      <c r="S137" s="2">
        <v>0.14000000000000001</v>
      </c>
      <c r="T137" s="2"/>
      <c r="U137" s="2"/>
      <c r="V137" s="2">
        <v>5.03</v>
      </c>
      <c r="W137" s="2">
        <f t="shared" si="9"/>
        <v>76.7</v>
      </c>
      <c r="X137" s="2">
        <f>AVERAGE(W133:W137)</f>
        <v>65.69</v>
      </c>
      <c r="Y137" s="2">
        <f>(W137-X137)/X137*100</f>
        <v>16.760541939412398</v>
      </c>
      <c r="Z137" s="2">
        <f>STDEV(W133:W137)</f>
        <v>24.711486195694501</v>
      </c>
      <c r="AA137" s="2"/>
      <c r="AB137" s="2">
        <v>5.3</v>
      </c>
      <c r="AC137" s="2">
        <v>1.68</v>
      </c>
      <c r="AD137" s="2">
        <f>AVERAGE(AC133:AC137)</f>
        <v>2.3920000000000003</v>
      </c>
      <c r="AE137" s="2"/>
      <c r="AF137" s="2"/>
      <c r="AG137" s="2">
        <v>4.82</v>
      </c>
      <c r="AH137" s="2">
        <f>AVERAGE(AG133:AG137)</f>
        <v>4.274</v>
      </c>
      <c r="AJ137" s="56"/>
    </row>
    <row r="138" spans="1:36">
      <c r="A138" s="2"/>
      <c r="B138" s="2"/>
      <c r="C138" s="2">
        <v>4</v>
      </c>
      <c r="D138" s="2">
        <v>1</v>
      </c>
      <c r="E138" s="2">
        <v>21.44</v>
      </c>
      <c r="F138" s="2"/>
      <c r="G138" s="2"/>
      <c r="H138" s="2"/>
      <c r="I138" s="2">
        <v>34.97</v>
      </c>
      <c r="J138" s="2"/>
      <c r="K138" s="2"/>
      <c r="L138" s="2"/>
      <c r="M138" s="2"/>
      <c r="N138" s="2"/>
      <c r="O138" s="2"/>
      <c r="P138" s="2"/>
      <c r="Q138" s="2"/>
      <c r="R138" s="2"/>
      <c r="S138" s="2"/>
      <c r="T138" s="2"/>
      <c r="U138" s="2">
        <v>0.3</v>
      </c>
      <c r="V138" s="2">
        <v>5.18</v>
      </c>
      <c r="W138" s="2">
        <f t="shared" si="9"/>
        <v>61.889999999999993</v>
      </c>
      <c r="X138" s="2"/>
      <c r="Y138" s="2">
        <f>(W138-X142)/X142*100</f>
        <v>-9.1269491674742333</v>
      </c>
      <c r="Z138" s="2"/>
      <c r="AA138" s="2"/>
      <c r="AB138" s="2">
        <v>5.0999999999999996</v>
      </c>
      <c r="AC138" s="2">
        <v>0.32</v>
      </c>
      <c r="AD138" s="2"/>
      <c r="AE138" s="2"/>
      <c r="AF138" s="2"/>
      <c r="AG138" s="2">
        <v>4.42</v>
      </c>
      <c r="AH138" s="2"/>
      <c r="AJ138" s="56"/>
    </row>
    <row r="139" spans="1:36">
      <c r="A139" s="2"/>
      <c r="B139" s="2"/>
      <c r="C139" s="2"/>
      <c r="D139" s="2">
        <v>2</v>
      </c>
      <c r="E139" s="2">
        <v>1.57</v>
      </c>
      <c r="F139" s="2"/>
      <c r="G139" s="2"/>
      <c r="H139" s="2"/>
      <c r="I139" s="2">
        <v>15.33</v>
      </c>
      <c r="J139" s="2"/>
      <c r="K139" s="2"/>
      <c r="L139" s="2"/>
      <c r="M139" s="2"/>
      <c r="N139" s="2"/>
      <c r="O139" s="2"/>
      <c r="P139" s="2">
        <v>35.479999999999997</v>
      </c>
      <c r="Q139" s="2"/>
      <c r="R139" s="2"/>
      <c r="S139" s="2">
        <v>0.2</v>
      </c>
      <c r="T139" s="2"/>
      <c r="U139" s="2"/>
      <c r="V139" s="2">
        <v>12.57</v>
      </c>
      <c r="W139" s="2">
        <f t="shared" si="9"/>
        <v>65.150000000000006</v>
      </c>
      <c r="X139" s="2"/>
      <c r="Y139" s="2">
        <f>(W139-X142)/X142*100</f>
        <v>-4.3402930725633411</v>
      </c>
      <c r="Z139" s="2"/>
      <c r="AA139" s="2"/>
      <c r="AB139" s="2">
        <v>8.8000000000000007</v>
      </c>
      <c r="AC139" s="2">
        <v>0.79</v>
      </c>
      <c r="AD139" s="2"/>
      <c r="AE139" s="2"/>
      <c r="AF139" s="2"/>
      <c r="AG139" s="2">
        <v>3.89</v>
      </c>
      <c r="AH139" s="2"/>
      <c r="AJ139" s="56"/>
    </row>
    <row r="140" spans="1:36">
      <c r="A140" s="2"/>
      <c r="B140" s="2"/>
      <c r="C140" s="2"/>
      <c r="D140" s="2">
        <v>3</v>
      </c>
      <c r="E140" s="2"/>
      <c r="F140" s="2"/>
      <c r="G140" s="2"/>
      <c r="H140" s="2"/>
      <c r="I140" s="2">
        <v>27.74</v>
      </c>
      <c r="J140" s="2"/>
      <c r="K140" s="2"/>
      <c r="L140" s="2"/>
      <c r="M140" s="2"/>
      <c r="N140" s="2"/>
      <c r="O140" s="2"/>
      <c r="P140" s="2">
        <v>33.79</v>
      </c>
      <c r="Q140" s="2"/>
      <c r="R140" s="2"/>
      <c r="S140" s="2">
        <v>0.7</v>
      </c>
      <c r="T140" s="2"/>
      <c r="U140" s="2">
        <v>0.3</v>
      </c>
      <c r="V140" s="2">
        <v>5.25</v>
      </c>
      <c r="W140" s="2">
        <f t="shared" si="9"/>
        <v>67.78</v>
      </c>
      <c r="X140" s="2"/>
      <c r="Y140" s="2">
        <f>(W140-X142)/X142*100</f>
        <v>-0.47866560949107773</v>
      </c>
      <c r="Z140" s="2"/>
      <c r="AA140" s="2"/>
      <c r="AB140" s="2">
        <v>8</v>
      </c>
      <c r="AC140" s="2">
        <v>2.14</v>
      </c>
      <c r="AD140" s="2"/>
      <c r="AE140" s="2"/>
      <c r="AF140" s="2"/>
      <c r="AG140" s="2">
        <v>3.61</v>
      </c>
      <c r="AH140" s="2"/>
      <c r="AJ140" s="56"/>
    </row>
    <row r="141" spans="1:36">
      <c r="A141" s="2"/>
      <c r="B141" s="2"/>
      <c r="C141" s="2"/>
      <c r="D141" s="2">
        <v>4</v>
      </c>
      <c r="E141" s="2"/>
      <c r="F141" s="2"/>
      <c r="G141" s="2"/>
      <c r="H141" s="2"/>
      <c r="I141" s="2">
        <v>22.32</v>
      </c>
      <c r="J141" s="2"/>
      <c r="K141" s="2"/>
      <c r="L141" s="2"/>
      <c r="M141" s="2"/>
      <c r="N141" s="2"/>
      <c r="O141" s="2">
        <v>0.8</v>
      </c>
      <c r="P141" s="2">
        <v>31.37</v>
      </c>
      <c r="Q141" s="2"/>
      <c r="R141" s="2"/>
      <c r="S141" s="2"/>
      <c r="T141" s="2"/>
      <c r="U141" s="2">
        <v>0.5</v>
      </c>
      <c r="V141" s="2">
        <v>6.01</v>
      </c>
      <c r="W141" s="2">
        <f t="shared" si="9"/>
        <v>61</v>
      </c>
      <c r="X141" s="2"/>
      <c r="Y141" s="2">
        <f>(W141-X142)/X142*100</f>
        <v>-10.433735647373204</v>
      </c>
      <c r="Z141" s="2"/>
      <c r="AA141" s="2"/>
      <c r="AB141" s="2">
        <v>14.8</v>
      </c>
      <c r="AC141" s="2">
        <v>0.37</v>
      </c>
      <c r="AD141" s="2"/>
      <c r="AE141" s="2"/>
      <c r="AF141" s="2"/>
      <c r="AG141" s="2">
        <v>4.1900000000000004</v>
      </c>
      <c r="AH141" s="2"/>
      <c r="AJ141" s="56"/>
    </row>
    <row r="142" spans="1:36">
      <c r="A142" s="2"/>
      <c r="B142" s="2"/>
      <c r="C142" s="2"/>
      <c r="D142" s="2">
        <v>5</v>
      </c>
      <c r="E142" s="2">
        <v>0.2</v>
      </c>
      <c r="F142" s="2"/>
      <c r="G142" s="2"/>
      <c r="H142" s="2"/>
      <c r="I142" s="2">
        <v>18.29</v>
      </c>
      <c r="J142" s="2"/>
      <c r="K142" s="2"/>
      <c r="L142" s="2"/>
      <c r="M142" s="2"/>
      <c r="N142" s="2"/>
      <c r="O142" s="2"/>
      <c r="P142" s="2">
        <v>44.8</v>
      </c>
      <c r="Q142" s="2">
        <v>9.91</v>
      </c>
      <c r="R142" s="2"/>
      <c r="S142" s="2"/>
      <c r="T142" s="2"/>
      <c r="U142" s="2">
        <v>1.4</v>
      </c>
      <c r="V142" s="2">
        <v>10.11</v>
      </c>
      <c r="W142" s="2">
        <f t="shared" si="9"/>
        <v>84.71</v>
      </c>
      <c r="X142" s="2">
        <f>AVERAGE(W138:W142)</f>
        <v>68.105999999999995</v>
      </c>
      <c r="Y142" s="2">
        <f>(W142-X142)/X142*100</f>
        <v>24.379643496901888</v>
      </c>
      <c r="Z142" s="2">
        <f>STDEV(W138:W142)</f>
        <v>9.6652847862854525</v>
      </c>
      <c r="AA142" s="2"/>
      <c r="AB142" s="2">
        <v>7.8</v>
      </c>
      <c r="AC142" s="2">
        <v>2.77</v>
      </c>
      <c r="AD142" s="2">
        <f>AVERAGE(AC138:AC142)</f>
        <v>1.278</v>
      </c>
      <c r="AE142" s="2"/>
      <c r="AF142" s="2"/>
      <c r="AG142" s="2">
        <v>4.8099999999999996</v>
      </c>
      <c r="AH142" s="2">
        <f>AVERAGE(AG138:AG142)</f>
        <v>4.1839999999999993</v>
      </c>
      <c r="AJ142" s="56"/>
    </row>
    <row r="143" spans="1:36">
      <c r="A143" s="2" t="s">
        <v>106</v>
      </c>
      <c r="B143" s="2" t="s">
        <v>125</v>
      </c>
      <c r="C143" s="2">
        <v>1</v>
      </c>
      <c r="D143" s="2">
        <v>1</v>
      </c>
      <c r="E143" s="2"/>
      <c r="F143" s="2"/>
      <c r="G143" s="2">
        <v>0.28000000000000003</v>
      </c>
      <c r="H143" s="2"/>
      <c r="I143" s="2">
        <v>9.4600000000000009</v>
      </c>
      <c r="J143" s="2"/>
      <c r="K143" s="2"/>
      <c r="L143" s="2">
        <v>0.81</v>
      </c>
      <c r="M143" s="2">
        <v>1.7</v>
      </c>
      <c r="N143" s="2"/>
      <c r="O143" s="2">
        <v>0.42</v>
      </c>
      <c r="P143" s="2">
        <v>10.57</v>
      </c>
      <c r="Q143" s="2">
        <v>0.62</v>
      </c>
      <c r="R143" s="2"/>
      <c r="S143" s="2">
        <v>2.57</v>
      </c>
      <c r="T143" s="2"/>
      <c r="U143" s="2">
        <v>12.53</v>
      </c>
      <c r="V143" s="2">
        <v>46.52</v>
      </c>
      <c r="W143" s="2">
        <f t="shared" si="9"/>
        <v>85.48</v>
      </c>
      <c r="X143" s="2"/>
      <c r="Y143" s="2">
        <f>(W143-X147)/X147*100</f>
        <v>24.349015158127489</v>
      </c>
      <c r="Z143" s="2"/>
      <c r="AA143" s="2"/>
      <c r="AB143" s="2">
        <v>7.24</v>
      </c>
      <c r="AC143" s="2">
        <v>1.62</v>
      </c>
      <c r="AD143" s="2"/>
      <c r="AE143" s="2"/>
      <c r="AF143" s="2"/>
      <c r="AG143" s="2">
        <v>9.1199999999999992</v>
      </c>
      <c r="AH143" s="2"/>
      <c r="AJ143" s="56"/>
    </row>
    <row r="144" spans="1:36">
      <c r="A144" s="2"/>
      <c r="B144" s="2"/>
      <c r="C144" s="2"/>
      <c r="D144" s="2">
        <v>2</v>
      </c>
      <c r="E144" s="2"/>
      <c r="F144" s="2"/>
      <c r="G144" s="2">
        <v>1.01</v>
      </c>
      <c r="H144" s="2"/>
      <c r="I144" s="2">
        <v>6.8</v>
      </c>
      <c r="J144" s="2"/>
      <c r="K144" s="2"/>
      <c r="L144" s="2">
        <v>1.22</v>
      </c>
      <c r="M144" s="2">
        <v>2.72</v>
      </c>
      <c r="N144" s="2"/>
      <c r="O144" s="2"/>
      <c r="P144" s="2">
        <v>7.5</v>
      </c>
      <c r="Q144" s="2">
        <v>1.61</v>
      </c>
      <c r="R144" s="2"/>
      <c r="S144" s="2"/>
      <c r="T144" s="2"/>
      <c r="U144" s="2">
        <v>13.41</v>
      </c>
      <c r="V144" s="2">
        <v>34.08</v>
      </c>
      <c r="W144" s="2">
        <f t="shared" si="9"/>
        <v>68.349999999999994</v>
      </c>
      <c r="X144" s="2"/>
      <c r="Y144" s="2">
        <f>(W144-X147)/X147*100</f>
        <v>-0.57024817433302799</v>
      </c>
      <c r="Z144" s="2"/>
      <c r="AA144" s="2"/>
      <c r="AB144" s="4">
        <f>AVERAGE(AB143,AA145:AB146)</f>
        <v>8.8666666666666671</v>
      </c>
      <c r="AC144" s="2">
        <v>1.37</v>
      </c>
      <c r="AD144" s="2"/>
      <c r="AE144" s="2"/>
      <c r="AF144" s="2"/>
      <c r="AG144" s="2">
        <v>4.1500000000000004</v>
      </c>
      <c r="AH144" s="2"/>
      <c r="AJ144" s="56"/>
    </row>
    <row r="145" spans="1:36">
      <c r="A145" s="2"/>
      <c r="B145" s="2"/>
      <c r="C145" s="2"/>
      <c r="D145" s="2">
        <v>3</v>
      </c>
      <c r="E145" s="2">
        <v>3.25</v>
      </c>
      <c r="F145" s="2"/>
      <c r="G145" s="2"/>
      <c r="H145" s="2"/>
      <c r="I145" s="2">
        <v>8.61</v>
      </c>
      <c r="J145" s="2"/>
      <c r="K145" s="2"/>
      <c r="L145" s="2">
        <v>0.85</v>
      </c>
      <c r="M145" s="2">
        <v>0.44</v>
      </c>
      <c r="N145" s="2"/>
      <c r="O145" s="2"/>
      <c r="P145" s="2">
        <v>4.4400000000000004</v>
      </c>
      <c r="Q145" s="2">
        <v>1.65</v>
      </c>
      <c r="R145" s="2"/>
      <c r="S145" s="2">
        <v>0.48</v>
      </c>
      <c r="T145" s="2"/>
      <c r="U145" s="2">
        <v>3.67</v>
      </c>
      <c r="V145" s="2">
        <v>34.299999999999997</v>
      </c>
      <c r="W145" s="2">
        <f t="shared" si="9"/>
        <v>57.69</v>
      </c>
      <c r="X145" s="2"/>
      <c r="Y145" s="2">
        <f>(W145-X147)/X147*100</f>
        <v>-16.077507200837925</v>
      </c>
      <c r="Z145" s="2"/>
      <c r="AA145" s="2"/>
      <c r="AB145" s="2">
        <v>7.2</v>
      </c>
      <c r="AC145" s="4">
        <f>AVERAGEA(AC144,AC146,AC147,AC143)</f>
        <v>1.1125</v>
      </c>
      <c r="AD145" s="2"/>
      <c r="AE145" s="2"/>
      <c r="AF145" s="2"/>
      <c r="AG145" s="2">
        <v>3.85</v>
      </c>
      <c r="AH145" s="2"/>
      <c r="AJ145" s="56"/>
    </row>
    <row r="146" spans="1:36">
      <c r="A146" s="2"/>
      <c r="B146" s="2"/>
      <c r="C146" s="2"/>
      <c r="D146" s="2">
        <v>4</v>
      </c>
      <c r="E146" s="2">
        <v>0.65</v>
      </c>
      <c r="F146" s="2"/>
      <c r="G146" s="2"/>
      <c r="H146" s="2"/>
      <c r="I146" s="2">
        <v>5.56</v>
      </c>
      <c r="J146" s="2"/>
      <c r="K146" s="2"/>
      <c r="L146" s="2">
        <v>0.17</v>
      </c>
      <c r="M146" s="2">
        <v>4.17</v>
      </c>
      <c r="N146" s="2"/>
      <c r="O146" s="2">
        <v>0.49</v>
      </c>
      <c r="P146" s="2">
        <v>5.09</v>
      </c>
      <c r="Q146" s="2">
        <v>0.18</v>
      </c>
      <c r="R146" s="2"/>
      <c r="S146" s="2">
        <v>2.5299999999999998</v>
      </c>
      <c r="T146" s="2"/>
      <c r="U146" s="2">
        <v>13.38</v>
      </c>
      <c r="V146" s="2">
        <v>38.86</v>
      </c>
      <c r="W146" s="2">
        <f t="shared" si="9"/>
        <v>71.080000000000013</v>
      </c>
      <c r="X146" s="2"/>
      <c r="Y146" s="2">
        <f>(W146-X147)/X147*100</f>
        <v>3.4011230397719125</v>
      </c>
      <c r="Z146" s="2"/>
      <c r="AA146" s="2"/>
      <c r="AB146" s="2">
        <v>12.16</v>
      </c>
      <c r="AC146" s="2">
        <v>0.98</v>
      </c>
      <c r="AD146" s="2"/>
      <c r="AE146" s="2"/>
      <c r="AF146" s="2"/>
      <c r="AG146" s="2">
        <v>3.63</v>
      </c>
      <c r="AH146" s="2"/>
      <c r="AJ146" s="56"/>
    </row>
    <row r="147" spans="1:36">
      <c r="A147" s="2"/>
      <c r="B147" s="2"/>
      <c r="C147" s="2"/>
      <c r="D147" s="2">
        <v>5</v>
      </c>
      <c r="E147" s="2">
        <v>0.48</v>
      </c>
      <c r="F147" s="2"/>
      <c r="G147" s="2"/>
      <c r="H147" s="2"/>
      <c r="I147" s="2">
        <v>6.05</v>
      </c>
      <c r="J147" s="2"/>
      <c r="K147" s="2"/>
      <c r="L147" s="2">
        <v>0.41</v>
      </c>
      <c r="M147" s="2">
        <v>0.95</v>
      </c>
      <c r="N147" s="2"/>
      <c r="O147" s="2">
        <v>0.26</v>
      </c>
      <c r="P147" s="2">
        <v>8.5500000000000007</v>
      </c>
      <c r="Q147" s="2"/>
      <c r="R147" s="2"/>
      <c r="S147" s="2">
        <v>1.79</v>
      </c>
      <c r="T147" s="2"/>
      <c r="U147" s="2">
        <v>14.24</v>
      </c>
      <c r="V147" s="2">
        <v>28.38</v>
      </c>
      <c r="W147" s="2">
        <f t="shared" si="9"/>
        <v>61.11</v>
      </c>
      <c r="X147" s="2">
        <f>AVERAGE(W143:W147)</f>
        <v>68.742000000000004</v>
      </c>
      <c r="Y147" s="2">
        <f>(W147-X147)/X147*100</f>
        <v>-11.102382822728469</v>
      </c>
      <c r="Z147" s="2">
        <f>STDEV(W143:W147)</f>
        <v>10.795539356604653</v>
      </c>
      <c r="AA147" s="2"/>
      <c r="AB147" s="4">
        <f>AVERAGE(AB145:AB146,AB143)</f>
        <v>8.8666666666666671</v>
      </c>
      <c r="AC147" s="2">
        <v>0.48</v>
      </c>
      <c r="AD147" s="2">
        <f>AVERAGE(AC143:AC147)</f>
        <v>1.1125</v>
      </c>
      <c r="AE147" s="2"/>
      <c r="AF147" s="2"/>
      <c r="AG147" s="2">
        <v>5.18</v>
      </c>
      <c r="AH147" s="2">
        <f>AVERAGE(AG143:AG147)</f>
        <v>5.1859999999999999</v>
      </c>
      <c r="AJ147" s="56"/>
    </row>
    <row r="148" spans="1:36">
      <c r="A148" s="2"/>
      <c r="B148" s="2"/>
      <c r="C148" s="2">
        <v>2</v>
      </c>
      <c r="D148" s="2">
        <v>1</v>
      </c>
      <c r="E148" s="2">
        <v>2.4300000000000002</v>
      </c>
      <c r="F148" s="2">
        <v>6.58</v>
      </c>
      <c r="G148" s="2">
        <v>10.86</v>
      </c>
      <c r="H148" s="2"/>
      <c r="I148" s="2">
        <v>4.99</v>
      </c>
      <c r="J148" s="2"/>
      <c r="K148" s="2"/>
      <c r="L148" s="2">
        <v>0.49</v>
      </c>
      <c r="M148" s="2">
        <v>2.1</v>
      </c>
      <c r="N148" s="2"/>
      <c r="O148" s="2"/>
      <c r="P148" s="2">
        <v>6.92</v>
      </c>
      <c r="Q148" s="2">
        <v>0.05</v>
      </c>
      <c r="R148" s="2"/>
      <c r="S148" s="2">
        <v>1.73</v>
      </c>
      <c r="T148" s="2"/>
      <c r="U148" s="2">
        <v>7.14</v>
      </c>
      <c r="V148" s="2">
        <v>23.73</v>
      </c>
      <c r="W148" s="2">
        <f t="shared" si="9"/>
        <v>67.02</v>
      </c>
      <c r="X148" s="2"/>
      <c r="Y148" s="2">
        <f>(W148-X152)/X152*100</f>
        <v>-8.8510499401588465</v>
      </c>
      <c r="Z148" s="2"/>
      <c r="AA148" s="2"/>
      <c r="AB148" s="2">
        <v>14.8</v>
      </c>
      <c r="AC148" s="2">
        <v>2.38</v>
      </c>
      <c r="AD148" s="2"/>
      <c r="AE148" s="2"/>
      <c r="AF148" s="2"/>
      <c r="AG148" s="2">
        <v>1.95</v>
      </c>
      <c r="AH148" s="2"/>
      <c r="AJ148" s="56"/>
    </row>
    <row r="149" spans="1:36">
      <c r="A149" s="2"/>
      <c r="B149" s="2"/>
      <c r="C149" s="2"/>
      <c r="D149" s="2">
        <v>2</v>
      </c>
      <c r="E149" s="2">
        <v>9</v>
      </c>
      <c r="F149" s="2">
        <v>0.47</v>
      </c>
      <c r="G149" s="2">
        <v>2.48</v>
      </c>
      <c r="H149" s="2"/>
      <c r="I149" s="2">
        <v>6.96</v>
      </c>
      <c r="J149" s="2"/>
      <c r="K149" s="2"/>
      <c r="L149" s="2">
        <v>0.02</v>
      </c>
      <c r="M149" s="2">
        <v>10.96</v>
      </c>
      <c r="N149" s="2"/>
      <c r="O149" s="2"/>
      <c r="P149" s="2">
        <v>9.02</v>
      </c>
      <c r="Q149" s="2">
        <v>1.45</v>
      </c>
      <c r="R149" s="2"/>
      <c r="S149" s="2">
        <v>0.73</v>
      </c>
      <c r="T149" s="2"/>
      <c r="U149" s="2">
        <v>0.66</v>
      </c>
      <c r="V149" s="2">
        <v>24.16</v>
      </c>
      <c r="W149" s="2">
        <f t="shared" si="9"/>
        <v>65.91</v>
      </c>
      <c r="X149" s="2"/>
      <c r="Y149" s="2">
        <f>(W149-X152)/X152*100</f>
        <v>-10.360678925035355</v>
      </c>
      <c r="Z149" s="2"/>
      <c r="AA149" s="2"/>
      <c r="AB149" s="2">
        <v>12.64</v>
      </c>
      <c r="AC149" s="2">
        <v>0.87</v>
      </c>
      <c r="AD149" s="2"/>
      <c r="AE149" s="2"/>
      <c r="AF149" s="2"/>
      <c r="AG149" s="2">
        <v>2.15</v>
      </c>
      <c r="AH149" s="2"/>
      <c r="AJ149" s="56"/>
    </row>
    <row r="150" spans="1:36">
      <c r="A150" s="2"/>
      <c r="B150" s="2"/>
      <c r="C150" s="2"/>
      <c r="D150" s="2">
        <v>3</v>
      </c>
      <c r="E150" s="2">
        <v>3.36</v>
      </c>
      <c r="F150" s="2">
        <v>0.53</v>
      </c>
      <c r="G150" s="2">
        <v>3.88</v>
      </c>
      <c r="H150" s="2"/>
      <c r="I150" s="2">
        <v>8.9</v>
      </c>
      <c r="J150" s="2"/>
      <c r="K150" s="2"/>
      <c r="L150" s="2"/>
      <c r="M150" s="2">
        <v>10.130000000000001</v>
      </c>
      <c r="N150" s="2"/>
      <c r="O150" s="2"/>
      <c r="P150" s="2">
        <v>24.84</v>
      </c>
      <c r="Q150" s="2">
        <v>0.99</v>
      </c>
      <c r="R150" s="2"/>
      <c r="S150" s="2">
        <v>0.51</v>
      </c>
      <c r="T150" s="2"/>
      <c r="U150" s="2">
        <v>3.99</v>
      </c>
      <c r="V150" s="2">
        <v>23.34</v>
      </c>
      <c r="W150" s="2">
        <f t="shared" si="9"/>
        <v>80.47</v>
      </c>
      <c r="X150" s="2"/>
      <c r="Y150" s="2">
        <f>(W150-X152)/X152*100</f>
        <v>9.4413012729844521</v>
      </c>
      <c r="Z150" s="2"/>
      <c r="AA150" s="2"/>
      <c r="AB150" s="2">
        <v>8.32</v>
      </c>
      <c r="AC150" s="2">
        <v>2.21</v>
      </c>
      <c r="AD150" s="2"/>
      <c r="AE150" s="2"/>
      <c r="AF150" s="2"/>
      <c r="AG150" s="2">
        <v>2.57</v>
      </c>
      <c r="AH150" s="2"/>
      <c r="AJ150" s="56"/>
    </row>
    <row r="151" spans="1:36">
      <c r="A151" s="2"/>
      <c r="B151" s="2"/>
      <c r="C151" s="2"/>
      <c r="D151" s="2">
        <v>4</v>
      </c>
      <c r="E151" s="2">
        <v>1.75</v>
      </c>
      <c r="F151" s="2">
        <v>1.46</v>
      </c>
      <c r="G151" s="2">
        <v>7.1</v>
      </c>
      <c r="H151" s="2"/>
      <c r="I151" s="2">
        <v>4.72</v>
      </c>
      <c r="J151" s="2"/>
      <c r="K151" s="2"/>
      <c r="L151" s="2"/>
      <c r="M151" s="2">
        <v>5.55</v>
      </c>
      <c r="N151" s="2"/>
      <c r="O151" s="2"/>
      <c r="P151" s="2">
        <v>5.8</v>
      </c>
      <c r="Q151" s="2">
        <v>0.23</v>
      </c>
      <c r="R151" s="2"/>
      <c r="S151" s="2">
        <v>0.57999999999999996</v>
      </c>
      <c r="T151" s="2"/>
      <c r="U151" s="2">
        <v>11.8</v>
      </c>
      <c r="V151" s="2">
        <v>35.99</v>
      </c>
      <c r="W151" s="2">
        <f t="shared" si="9"/>
        <v>74.97999999999999</v>
      </c>
      <c r="X151" s="2"/>
      <c r="Y151" s="2">
        <f>(W151-X152)/X152*100</f>
        <v>1.9747579153519725</v>
      </c>
      <c r="Z151" s="2"/>
      <c r="AA151" s="2"/>
      <c r="AB151" s="62">
        <v>12.75</v>
      </c>
      <c r="AC151" s="2">
        <v>0.53</v>
      </c>
      <c r="AD151" s="2"/>
      <c r="AE151" s="2"/>
      <c r="AF151" s="2"/>
      <c r="AG151" s="2">
        <v>2.6</v>
      </c>
      <c r="AH151" s="2"/>
      <c r="AJ151" s="56"/>
    </row>
    <row r="152" spans="1:36">
      <c r="A152" s="2"/>
      <c r="B152" s="2"/>
      <c r="C152" s="2"/>
      <c r="D152" s="2">
        <v>5</v>
      </c>
      <c r="E152" s="2">
        <v>2.2400000000000002</v>
      </c>
      <c r="F152" s="2">
        <v>1.46</v>
      </c>
      <c r="G152" s="2">
        <v>6.36</v>
      </c>
      <c r="H152" s="2"/>
      <c r="I152" s="2">
        <v>6.15</v>
      </c>
      <c r="J152" s="2"/>
      <c r="K152" s="2"/>
      <c r="L152" s="2">
        <v>0.23</v>
      </c>
      <c r="M152" s="2">
        <v>8.91</v>
      </c>
      <c r="N152" s="2"/>
      <c r="O152" s="2"/>
      <c r="P152" s="2">
        <v>14.3</v>
      </c>
      <c r="Q152" s="2">
        <v>0.71</v>
      </c>
      <c r="R152" s="2">
        <v>7.38</v>
      </c>
      <c r="S152" s="2">
        <v>0.34</v>
      </c>
      <c r="T152" s="2"/>
      <c r="U152" s="2">
        <v>2.5</v>
      </c>
      <c r="V152" s="2">
        <v>28.68</v>
      </c>
      <c r="W152" s="2">
        <f t="shared" si="9"/>
        <v>79.260000000000019</v>
      </c>
      <c r="X152" s="2">
        <f>AVERAGE(W148:W152)</f>
        <v>73.527999999999992</v>
      </c>
      <c r="Y152" s="2">
        <f>(W152-X152)/X152*100</f>
        <v>7.7956696768578349</v>
      </c>
      <c r="Z152" s="2">
        <f>STDEV(W148:W152)</f>
        <v>6.7739109825860622</v>
      </c>
      <c r="AA152" s="2"/>
      <c r="AB152" s="63">
        <f>AVERAGE(AB148:AB151)</f>
        <v>12.127500000000001</v>
      </c>
      <c r="AC152" s="2">
        <v>0.63</v>
      </c>
      <c r="AD152" s="2">
        <f>AVERAGE(AC148:AC152)</f>
        <v>1.3240000000000001</v>
      </c>
      <c r="AE152" s="2"/>
      <c r="AF152" s="2"/>
      <c r="AG152" s="2">
        <v>2.23</v>
      </c>
      <c r="AH152" s="2">
        <f>AVERAGE(AG148:AG152)</f>
        <v>2.2999999999999998</v>
      </c>
      <c r="AJ152" s="56"/>
    </row>
    <row r="153" spans="1:36">
      <c r="A153" s="2"/>
      <c r="B153" s="2"/>
      <c r="C153" s="2">
        <v>3</v>
      </c>
      <c r="D153" s="2">
        <v>1</v>
      </c>
      <c r="E153" s="2">
        <v>1.82</v>
      </c>
      <c r="F153" s="2"/>
      <c r="G153" s="2">
        <v>4.66</v>
      </c>
      <c r="H153" s="2"/>
      <c r="I153" s="2">
        <v>7.08</v>
      </c>
      <c r="J153" s="2"/>
      <c r="K153" s="2"/>
      <c r="L153" s="2"/>
      <c r="M153" s="2">
        <v>14.3</v>
      </c>
      <c r="N153" s="2"/>
      <c r="O153" s="2"/>
      <c r="P153" s="2">
        <v>5.57</v>
      </c>
      <c r="Q153" s="2"/>
      <c r="R153" s="2"/>
      <c r="S153" s="2">
        <v>1.01</v>
      </c>
      <c r="T153" s="2"/>
      <c r="U153" s="2">
        <v>6.15</v>
      </c>
      <c r="V153" s="2">
        <v>20.49</v>
      </c>
      <c r="W153" s="2">
        <f t="shared" si="9"/>
        <v>61.08</v>
      </c>
      <c r="X153" s="2"/>
      <c r="Y153" s="2">
        <f>(W153-X157)/X157*100</f>
        <v>-7.0376232801655849</v>
      </c>
      <c r="Z153" s="2"/>
      <c r="AA153" s="2"/>
      <c r="AB153" s="2">
        <v>7.13</v>
      </c>
      <c r="AC153" s="2">
        <v>3.52</v>
      </c>
      <c r="AD153" s="2"/>
      <c r="AE153" s="2"/>
      <c r="AF153" s="2"/>
      <c r="AG153" s="2">
        <v>4.1100000000000003</v>
      </c>
      <c r="AH153" s="2"/>
      <c r="AJ153" s="56"/>
    </row>
    <row r="154" spans="1:36">
      <c r="A154" s="2"/>
      <c r="B154" s="2"/>
      <c r="C154" s="2"/>
      <c r="D154" s="2">
        <v>2</v>
      </c>
      <c r="E154" s="2">
        <v>2.62</v>
      </c>
      <c r="F154" s="2">
        <v>0.81</v>
      </c>
      <c r="G154" s="2">
        <v>3.04</v>
      </c>
      <c r="H154" s="2"/>
      <c r="I154" s="2">
        <v>4.08</v>
      </c>
      <c r="J154" s="2"/>
      <c r="K154" s="2"/>
      <c r="L154" s="2"/>
      <c r="M154" s="2">
        <v>7.26</v>
      </c>
      <c r="N154" s="2"/>
      <c r="O154" s="2"/>
      <c r="P154" s="2">
        <v>26.61</v>
      </c>
      <c r="Q154" s="2"/>
      <c r="R154" s="2"/>
      <c r="S154" s="2">
        <v>1.05</v>
      </c>
      <c r="T154" s="2"/>
      <c r="U154" s="2">
        <v>5.22</v>
      </c>
      <c r="V154" s="2">
        <v>29.85</v>
      </c>
      <c r="W154" s="2">
        <f t="shared" si="9"/>
        <v>80.539999999999992</v>
      </c>
      <c r="X154" s="2"/>
      <c r="Y154" s="2">
        <f>(W154-X157)/X157*100</f>
        <v>22.58005600876659</v>
      </c>
      <c r="Z154" s="2"/>
      <c r="AA154" s="2"/>
      <c r="AB154" s="2">
        <v>8.64</v>
      </c>
      <c r="AC154" s="2">
        <v>1.1299999999999999</v>
      </c>
      <c r="AD154" s="2"/>
      <c r="AE154" s="2"/>
      <c r="AF154" s="2"/>
      <c r="AG154" s="2">
        <v>8.19</v>
      </c>
      <c r="AH154" s="2"/>
      <c r="AJ154" s="56"/>
    </row>
    <row r="155" spans="1:36">
      <c r="A155" s="2"/>
      <c r="B155" s="2"/>
      <c r="C155" s="2"/>
      <c r="D155" s="2">
        <v>3</v>
      </c>
      <c r="E155" s="2">
        <v>1.99</v>
      </c>
      <c r="F155" s="2"/>
      <c r="G155" s="2">
        <v>5.37</v>
      </c>
      <c r="H155" s="2"/>
      <c r="I155" s="2">
        <v>4.54</v>
      </c>
      <c r="J155" s="2"/>
      <c r="K155" s="2"/>
      <c r="L155" s="2">
        <v>0.39</v>
      </c>
      <c r="M155" s="2">
        <v>0.89</v>
      </c>
      <c r="N155" s="2"/>
      <c r="O155" s="2">
        <v>0.06</v>
      </c>
      <c r="P155" s="2">
        <v>5.78</v>
      </c>
      <c r="Q155" s="2"/>
      <c r="R155" s="2"/>
      <c r="S155" s="2">
        <v>1.91</v>
      </c>
      <c r="T155" s="2"/>
      <c r="U155" s="2">
        <v>8.3699999999999992</v>
      </c>
      <c r="V155" s="2">
        <v>40.35</v>
      </c>
      <c r="W155" s="2">
        <f t="shared" si="9"/>
        <v>69.650000000000006</v>
      </c>
      <c r="X155" s="2"/>
      <c r="Y155" s="2">
        <f>(W155-X157)/X157*100</f>
        <v>6.0057226348472126</v>
      </c>
      <c r="Z155" s="2"/>
      <c r="AA155" s="2"/>
      <c r="AB155" s="2">
        <v>8.36</v>
      </c>
      <c r="AC155" s="2">
        <v>8.14</v>
      </c>
      <c r="AD155" s="2"/>
      <c r="AE155" s="2"/>
      <c r="AF155" s="2"/>
      <c r="AG155" s="4">
        <f>AVERAGE(AG153:AG154,AG156:AG157)</f>
        <v>4.8525</v>
      </c>
      <c r="AH155" s="2"/>
      <c r="AJ155" s="56"/>
    </row>
    <row r="156" spans="1:36">
      <c r="A156" s="2"/>
      <c r="B156" s="2"/>
      <c r="C156" s="2"/>
      <c r="D156" s="2">
        <v>4</v>
      </c>
      <c r="E156" s="2">
        <v>0.23</v>
      </c>
      <c r="F156" s="2"/>
      <c r="G156" s="2">
        <v>6.29</v>
      </c>
      <c r="H156" s="2"/>
      <c r="I156" s="2">
        <v>4.7</v>
      </c>
      <c r="J156" s="2"/>
      <c r="K156" s="2"/>
      <c r="L156" s="2">
        <v>0.08</v>
      </c>
      <c r="M156" s="2">
        <v>1.4</v>
      </c>
      <c r="N156" s="2"/>
      <c r="O156" s="2"/>
      <c r="P156" s="2">
        <v>4.49</v>
      </c>
      <c r="Q156" s="2">
        <v>0.26</v>
      </c>
      <c r="R156" s="2"/>
      <c r="S156" s="2">
        <v>0.43</v>
      </c>
      <c r="T156" s="2"/>
      <c r="U156" s="2">
        <v>11.53</v>
      </c>
      <c r="V156" s="2">
        <v>28.76</v>
      </c>
      <c r="W156" s="2">
        <f t="shared" si="9"/>
        <v>58.17</v>
      </c>
      <c r="X156" s="2"/>
      <c r="Y156" s="2">
        <f>(W156-X157)/X157*100</f>
        <v>-11.466577377328614</v>
      </c>
      <c r="Z156" s="2"/>
      <c r="AA156" s="2"/>
      <c r="AB156" s="4">
        <f>AVERAGE(AB153:AB155)</f>
        <v>8.043333333333333</v>
      </c>
      <c r="AC156" s="2">
        <v>0.04</v>
      </c>
      <c r="AD156" s="2"/>
      <c r="AE156" s="2"/>
      <c r="AF156" s="2"/>
      <c r="AG156" s="2">
        <v>4.2</v>
      </c>
      <c r="AH156" s="2"/>
      <c r="AJ156" s="56"/>
    </row>
    <row r="157" spans="1:36">
      <c r="A157" s="2"/>
      <c r="B157" s="2"/>
      <c r="C157" s="2"/>
      <c r="D157" s="2">
        <v>5</v>
      </c>
      <c r="E157" s="2">
        <v>0.68</v>
      </c>
      <c r="F157" s="2"/>
      <c r="G157" s="2">
        <v>5.49</v>
      </c>
      <c r="H157" s="2"/>
      <c r="I157" s="2">
        <v>3.92</v>
      </c>
      <c r="J157" s="2"/>
      <c r="K157" s="2"/>
      <c r="L157" s="2">
        <v>0.04</v>
      </c>
      <c r="M157" s="2">
        <v>2.89</v>
      </c>
      <c r="N157" s="2"/>
      <c r="O157" s="2">
        <v>0.22</v>
      </c>
      <c r="P157" s="2">
        <v>3.91</v>
      </c>
      <c r="Q157" s="2"/>
      <c r="R157" s="2"/>
      <c r="S157" s="2">
        <v>1.18</v>
      </c>
      <c r="T157" s="2"/>
      <c r="U157" s="2">
        <v>7.34</v>
      </c>
      <c r="V157" s="2">
        <v>33.409999999999997</v>
      </c>
      <c r="W157" s="2">
        <f t="shared" si="9"/>
        <v>59.08</v>
      </c>
      <c r="X157" s="2">
        <f>AVERAGE(W153:W157)</f>
        <v>65.703999999999994</v>
      </c>
      <c r="Y157" s="2">
        <f>(W157-X157)/X157*100</f>
        <v>-10.08157798611956</v>
      </c>
      <c r="Z157" s="2">
        <f>STDEV(W153:W157)</f>
        <v>9.4564491221599685</v>
      </c>
      <c r="AA157" s="2"/>
      <c r="AB157" s="4">
        <f>AVERAGE(AB153:AB155)</f>
        <v>8.043333333333333</v>
      </c>
      <c r="AC157" s="2">
        <v>0.98</v>
      </c>
      <c r="AD157" s="2">
        <f>AVERAGE(AC153:AC157)</f>
        <v>2.762</v>
      </c>
      <c r="AE157" s="2"/>
      <c r="AF157" s="2"/>
      <c r="AG157" s="2">
        <v>2.91</v>
      </c>
      <c r="AH157" s="2">
        <f>AVERAGE(AG153:AG157)</f>
        <v>4.8525</v>
      </c>
      <c r="AJ157" s="56"/>
    </row>
    <row r="158" spans="1:36">
      <c r="A158" s="2"/>
      <c r="B158" s="2"/>
      <c r="C158" s="2">
        <v>4</v>
      </c>
      <c r="D158" s="2">
        <v>1</v>
      </c>
      <c r="E158" s="2">
        <v>0.55000000000000004</v>
      </c>
      <c r="F158" s="2"/>
      <c r="G158" s="2">
        <v>0.23</v>
      </c>
      <c r="H158" s="2"/>
      <c r="I158" s="2">
        <v>9.16</v>
      </c>
      <c r="J158" s="2"/>
      <c r="K158" s="2"/>
      <c r="L158" s="2">
        <v>0.45</v>
      </c>
      <c r="M158" s="2">
        <v>1.0900000000000001</v>
      </c>
      <c r="N158" s="2"/>
      <c r="O158" s="2">
        <v>1.52</v>
      </c>
      <c r="P158" s="2">
        <v>5.96</v>
      </c>
      <c r="Q158" s="2"/>
      <c r="R158" s="2"/>
      <c r="S158" s="2">
        <v>1.2</v>
      </c>
      <c r="T158" s="2"/>
      <c r="U158" s="2">
        <v>19.350000000000001</v>
      </c>
      <c r="V158" s="2">
        <v>23.26</v>
      </c>
      <c r="W158" s="2">
        <f t="shared" si="9"/>
        <v>62.769999999999996</v>
      </c>
      <c r="X158" s="2"/>
      <c r="Y158" s="2">
        <f>(W158-X162)/X162*100</f>
        <v>1.0626308162936786</v>
      </c>
      <c r="Z158" s="2"/>
      <c r="AA158" s="2"/>
      <c r="AB158" s="2">
        <v>6.49</v>
      </c>
      <c r="AC158" s="2">
        <v>0.33</v>
      </c>
      <c r="AD158" s="2"/>
      <c r="AE158" s="2"/>
      <c r="AF158" s="2"/>
      <c r="AG158" s="2">
        <v>2.56</v>
      </c>
      <c r="AH158" s="2"/>
      <c r="AJ158" s="56"/>
    </row>
    <row r="159" spans="1:36">
      <c r="A159" s="2"/>
      <c r="B159" s="2"/>
      <c r="C159" s="2"/>
      <c r="D159" s="2">
        <v>2</v>
      </c>
      <c r="E159" s="2">
        <v>1.92</v>
      </c>
      <c r="F159" s="2"/>
      <c r="G159" s="2">
        <v>7.0000000000000007E-2</v>
      </c>
      <c r="H159" s="2"/>
      <c r="I159" s="2">
        <v>9.58</v>
      </c>
      <c r="J159" s="2"/>
      <c r="K159" s="2"/>
      <c r="L159" s="2">
        <v>0.63</v>
      </c>
      <c r="M159" s="2">
        <v>4.9800000000000004</v>
      </c>
      <c r="N159" s="2"/>
      <c r="O159" s="2"/>
      <c r="P159" s="2">
        <v>6.48</v>
      </c>
      <c r="Q159" s="2">
        <v>1.39</v>
      </c>
      <c r="R159" s="2"/>
      <c r="S159" s="2">
        <v>1.85</v>
      </c>
      <c r="T159" s="2"/>
      <c r="U159" s="2">
        <v>5.41</v>
      </c>
      <c r="V159" s="2">
        <v>23.68</v>
      </c>
      <c r="W159" s="2">
        <f t="shared" si="9"/>
        <v>55.99</v>
      </c>
      <c r="X159" s="2"/>
      <c r="Y159" s="2">
        <f>(W159-X162)/X162*100</f>
        <v>-9.8534857510867671</v>
      </c>
      <c r="Z159" s="2"/>
      <c r="AA159" s="2"/>
      <c r="AB159" s="2">
        <v>13.55</v>
      </c>
      <c r="AC159" s="2">
        <v>0.43</v>
      </c>
      <c r="AD159" s="2"/>
      <c r="AE159" s="2"/>
      <c r="AF159" s="2"/>
      <c r="AG159" s="2">
        <v>2.71</v>
      </c>
      <c r="AH159" s="2"/>
      <c r="AJ159" s="56"/>
    </row>
    <row r="160" spans="1:36">
      <c r="A160" s="2"/>
      <c r="B160" s="2"/>
      <c r="C160" s="2"/>
      <c r="D160" s="2">
        <v>3</v>
      </c>
      <c r="E160" s="2">
        <v>4.33</v>
      </c>
      <c r="F160" s="2"/>
      <c r="G160" s="2">
        <v>0.69</v>
      </c>
      <c r="H160" s="2"/>
      <c r="I160" s="2">
        <v>7.84</v>
      </c>
      <c r="J160" s="2"/>
      <c r="K160" s="2"/>
      <c r="L160" s="2"/>
      <c r="M160" s="2">
        <v>8.27</v>
      </c>
      <c r="N160" s="2"/>
      <c r="O160" s="2"/>
      <c r="P160" s="2">
        <v>8.36</v>
      </c>
      <c r="Q160" s="2">
        <v>0.4</v>
      </c>
      <c r="R160" s="2"/>
      <c r="S160" s="2">
        <v>0.54</v>
      </c>
      <c r="T160" s="2"/>
      <c r="U160" s="2">
        <v>5.73</v>
      </c>
      <c r="V160" s="2">
        <v>23.92</v>
      </c>
      <c r="W160" s="2">
        <f t="shared" si="9"/>
        <v>60.08</v>
      </c>
      <c r="X160" s="2"/>
      <c r="Y160" s="2">
        <f>(W160-X162)/X162*100</f>
        <v>-3.268394783448711</v>
      </c>
      <c r="Z160" s="2"/>
      <c r="AA160" s="2"/>
      <c r="AB160" s="2">
        <v>8.2200000000000006</v>
      </c>
      <c r="AC160" s="2">
        <v>3.65</v>
      </c>
      <c r="AD160" s="2"/>
      <c r="AE160" s="2"/>
      <c r="AF160" s="2"/>
      <c r="AG160" s="2">
        <v>4</v>
      </c>
      <c r="AH160" s="2"/>
      <c r="AJ160" s="56"/>
    </row>
    <row r="161" spans="1:36">
      <c r="A161" s="2"/>
      <c r="B161" s="2"/>
      <c r="C161" s="2"/>
      <c r="D161" s="2">
        <v>4</v>
      </c>
      <c r="E161" s="2">
        <v>3.55</v>
      </c>
      <c r="F161" s="2"/>
      <c r="G161" s="2">
        <v>0.65</v>
      </c>
      <c r="H161" s="2"/>
      <c r="I161" s="2">
        <v>8.6199999999999992</v>
      </c>
      <c r="J161" s="2"/>
      <c r="K161" s="2"/>
      <c r="L161" s="2">
        <v>0.69</v>
      </c>
      <c r="M161" s="2">
        <v>1.41</v>
      </c>
      <c r="N161" s="2"/>
      <c r="O161" s="2">
        <v>0.08</v>
      </c>
      <c r="P161" s="2">
        <v>10.45</v>
      </c>
      <c r="Q161" s="2">
        <v>0.57999999999999996</v>
      </c>
      <c r="R161" s="2"/>
      <c r="S161" s="2">
        <v>3.05</v>
      </c>
      <c r="T161" s="2"/>
      <c r="U161" s="2">
        <v>12.71</v>
      </c>
      <c r="V161" s="2">
        <v>30.49</v>
      </c>
      <c r="W161" s="2">
        <f t="shared" si="9"/>
        <v>72.28</v>
      </c>
      <c r="X161" s="2"/>
      <c r="Y161" s="2">
        <f>(W161-X162)/X162*100</f>
        <v>16.374174851070698</v>
      </c>
      <c r="Z161" s="2"/>
      <c r="AA161" s="2"/>
      <c r="AB161" s="2">
        <v>6.99</v>
      </c>
      <c r="AC161" s="2">
        <v>1.22</v>
      </c>
      <c r="AD161" s="2"/>
      <c r="AE161" s="2"/>
      <c r="AF161" s="2"/>
      <c r="AG161" s="2">
        <v>2.3199999999999998</v>
      </c>
      <c r="AH161" s="2"/>
      <c r="AJ161" s="56"/>
    </row>
    <row r="162" spans="1:36">
      <c r="A162" s="2"/>
      <c r="B162" s="2"/>
      <c r="C162" s="2"/>
      <c r="D162" s="2">
        <v>5</v>
      </c>
      <c r="E162" s="2">
        <v>2.0099999999999998</v>
      </c>
      <c r="F162" s="2"/>
      <c r="G162" s="2">
        <v>0.09</v>
      </c>
      <c r="H162" s="2"/>
      <c r="I162" s="2">
        <v>9.5500000000000007</v>
      </c>
      <c r="J162" s="2"/>
      <c r="K162" s="2"/>
      <c r="L162" s="2"/>
      <c r="M162" s="2">
        <v>2.52</v>
      </c>
      <c r="N162" s="2"/>
      <c r="O162" s="2">
        <v>0.1</v>
      </c>
      <c r="P162" s="2">
        <v>10.28</v>
      </c>
      <c r="Q162" s="2">
        <v>1.6</v>
      </c>
      <c r="R162" s="2"/>
      <c r="S162" s="2">
        <v>1.77</v>
      </c>
      <c r="T162" s="2"/>
      <c r="U162" s="2">
        <v>8.86</v>
      </c>
      <c r="V162" s="2">
        <v>22.65</v>
      </c>
      <c r="W162" s="2">
        <f t="shared" si="9"/>
        <v>59.43</v>
      </c>
      <c r="X162" s="2">
        <f>AVERAGE(W158:W162)</f>
        <v>62.109999999999992</v>
      </c>
      <c r="Y162" s="2">
        <f>(W162-X162)/X162*100</f>
        <v>-4.3149251328288409</v>
      </c>
      <c r="Z162" s="2">
        <f>STDEV(W158:W162)</f>
        <v>6.1770178889169491</v>
      </c>
      <c r="AA162" s="2"/>
      <c r="AB162" s="4">
        <f>AVERAGE(AB158:AB161)</f>
        <v>8.8125</v>
      </c>
      <c r="AC162" s="2">
        <v>0.5</v>
      </c>
      <c r="AD162" s="2">
        <f>AVERAGE(AC158:AC162)</f>
        <v>1.226</v>
      </c>
      <c r="AE162" s="2"/>
      <c r="AF162" s="2"/>
      <c r="AG162" s="2">
        <v>4.05</v>
      </c>
      <c r="AH162" s="2">
        <f>AVERAGE(AG158:AG162)</f>
        <v>3.1280000000000001</v>
      </c>
      <c r="AJ162" s="56"/>
    </row>
    <row r="163" spans="1:36">
      <c r="A163" s="2" t="s">
        <v>106</v>
      </c>
      <c r="B163" s="2" t="s">
        <v>133</v>
      </c>
      <c r="C163" s="2">
        <v>1</v>
      </c>
      <c r="D163" s="2">
        <v>1</v>
      </c>
      <c r="E163" s="2"/>
      <c r="F163" s="2"/>
      <c r="G163" s="2"/>
      <c r="H163" s="2"/>
      <c r="I163" s="2">
        <v>26.85</v>
      </c>
      <c r="J163" s="2"/>
      <c r="K163" s="2"/>
      <c r="L163" s="2"/>
      <c r="M163" s="2"/>
      <c r="N163" s="2"/>
      <c r="O163" s="2"/>
      <c r="P163" s="2">
        <v>2.21</v>
      </c>
      <c r="Q163" s="2"/>
      <c r="R163" s="2"/>
      <c r="S163" s="2">
        <v>0.67</v>
      </c>
      <c r="T163" s="2"/>
      <c r="U163" s="2">
        <v>8.4700000000000006</v>
      </c>
      <c r="V163" s="2">
        <v>25.42</v>
      </c>
      <c r="W163" s="2">
        <f t="shared" si="9"/>
        <v>63.620000000000005</v>
      </c>
      <c r="X163" s="2"/>
      <c r="Y163" s="2">
        <f>(W163-X167)/X167*100</f>
        <v>-7.5801156338068942</v>
      </c>
      <c r="Z163" s="2"/>
      <c r="AA163" s="2"/>
      <c r="AB163" s="63">
        <f>AVERAGE($AB$166,$AB$164)</f>
        <v>10.475</v>
      </c>
      <c r="AC163" s="2">
        <v>2.9</v>
      </c>
      <c r="AD163" s="2"/>
      <c r="AE163" s="2"/>
      <c r="AF163" s="2"/>
      <c r="AG163" s="2">
        <v>3.75</v>
      </c>
      <c r="AH163" s="2"/>
      <c r="AJ163" s="56"/>
    </row>
    <row r="164" spans="1:36">
      <c r="A164" s="2"/>
      <c r="B164" s="2"/>
      <c r="C164" s="2"/>
      <c r="D164" s="2">
        <v>2</v>
      </c>
      <c r="E164" s="2"/>
      <c r="F164" s="2"/>
      <c r="G164" s="2"/>
      <c r="H164" s="2"/>
      <c r="I164" s="2">
        <v>24.33</v>
      </c>
      <c r="J164" s="2"/>
      <c r="K164" s="2"/>
      <c r="L164" s="2">
        <v>0.12</v>
      </c>
      <c r="M164" s="2"/>
      <c r="N164" s="2"/>
      <c r="O164" s="2">
        <v>0.15</v>
      </c>
      <c r="P164" s="2">
        <v>41.01</v>
      </c>
      <c r="Q164" s="2"/>
      <c r="R164" s="2"/>
      <c r="S164" s="2">
        <v>0.72</v>
      </c>
      <c r="T164" s="2"/>
      <c r="U164" s="2">
        <v>2.04</v>
      </c>
      <c r="V164" s="2">
        <v>16.27</v>
      </c>
      <c r="W164" s="2">
        <f t="shared" si="9"/>
        <v>84.64</v>
      </c>
      <c r="X164" s="2"/>
      <c r="Y164" s="2">
        <f>(W164-X167)/X167*100</f>
        <v>22.95534443185451</v>
      </c>
      <c r="Z164" s="2"/>
      <c r="AA164" s="2"/>
      <c r="AB164" s="62">
        <v>10.85</v>
      </c>
      <c r="AC164" s="2">
        <v>2.17</v>
      </c>
      <c r="AD164" s="2"/>
      <c r="AE164" s="2"/>
      <c r="AF164" s="2"/>
      <c r="AG164" s="4">
        <f>AVERAGE(AG163,AG165:AG166)</f>
        <v>3.456666666666667</v>
      </c>
      <c r="AH164" s="2"/>
      <c r="AJ164" s="56"/>
    </row>
    <row r="165" spans="1:36">
      <c r="A165" s="2"/>
      <c r="B165" s="2"/>
      <c r="C165" s="2"/>
      <c r="D165" s="2">
        <v>3</v>
      </c>
      <c r="E165" s="2"/>
      <c r="F165" s="2"/>
      <c r="G165" s="2"/>
      <c r="H165" s="2"/>
      <c r="I165" s="2">
        <v>39.630000000000003</v>
      </c>
      <c r="J165" s="2"/>
      <c r="K165" s="2"/>
      <c r="L165" s="2"/>
      <c r="M165" s="2">
        <v>0.2</v>
      </c>
      <c r="N165" s="2"/>
      <c r="O165" s="2">
        <v>1.45</v>
      </c>
      <c r="P165" s="2">
        <v>13.45</v>
      </c>
      <c r="Q165" s="2">
        <v>1.45</v>
      </c>
      <c r="R165" s="2"/>
      <c r="S165" s="2">
        <v>1.48</v>
      </c>
      <c r="T165" s="2"/>
      <c r="U165" s="2"/>
      <c r="V165" s="2">
        <v>19.899999999999999</v>
      </c>
      <c r="W165" s="2">
        <f t="shared" si="9"/>
        <v>77.56</v>
      </c>
      <c r="X165" s="2"/>
      <c r="Y165" s="2">
        <f>(W165-X167)/X167*100</f>
        <v>12.670327435428119</v>
      </c>
      <c r="Z165" s="2"/>
      <c r="AA165" s="2"/>
      <c r="AB165" s="63">
        <f>AVERAGE($AB$166,$AB$164)</f>
        <v>10.475</v>
      </c>
      <c r="AC165" s="2">
        <v>2.63</v>
      </c>
      <c r="AD165" s="2"/>
      <c r="AE165" s="2"/>
      <c r="AF165" s="2"/>
      <c r="AG165" s="2">
        <v>1.46</v>
      </c>
      <c r="AH165" s="2"/>
      <c r="AJ165" s="56"/>
    </row>
    <row r="166" spans="1:36">
      <c r="A166" s="2"/>
      <c r="B166" s="2"/>
      <c r="C166" s="2"/>
      <c r="D166" s="2">
        <v>4</v>
      </c>
      <c r="E166" s="2"/>
      <c r="F166" s="2"/>
      <c r="G166" s="2"/>
      <c r="H166" s="2"/>
      <c r="I166" s="2">
        <v>22.43</v>
      </c>
      <c r="J166" s="2"/>
      <c r="K166" s="2"/>
      <c r="L166" s="2"/>
      <c r="M166" s="2">
        <v>0.09</v>
      </c>
      <c r="N166" s="2"/>
      <c r="O166" s="2">
        <v>1.74</v>
      </c>
      <c r="P166" s="2">
        <v>9.9</v>
      </c>
      <c r="Q166" s="2"/>
      <c r="R166" s="2"/>
      <c r="S166" s="2">
        <v>0.24</v>
      </c>
      <c r="T166" s="2"/>
      <c r="U166" s="2"/>
      <c r="V166" s="2">
        <v>22.22</v>
      </c>
      <c r="W166" s="2">
        <f t="shared" si="9"/>
        <v>56.62</v>
      </c>
      <c r="X166" s="2"/>
      <c r="Y166" s="2">
        <f>(W166-X167)/X167*100</f>
        <v>-17.748917748917744</v>
      </c>
      <c r="Z166" s="2"/>
      <c r="AA166" s="2"/>
      <c r="AB166" s="62">
        <v>10.1</v>
      </c>
      <c r="AC166" s="2">
        <v>3.05</v>
      </c>
      <c r="AD166" s="2"/>
      <c r="AE166" s="2"/>
      <c r="AF166" s="2"/>
      <c r="AG166" s="2">
        <v>5.16</v>
      </c>
      <c r="AH166" s="2"/>
      <c r="AJ166" s="56"/>
    </row>
    <row r="167" spans="1:36">
      <c r="A167" s="2"/>
      <c r="B167" s="2"/>
      <c r="C167" s="2"/>
      <c r="D167" s="2">
        <v>5</v>
      </c>
      <c r="E167" s="2"/>
      <c r="F167" s="2"/>
      <c r="G167" s="2"/>
      <c r="H167" s="2"/>
      <c r="I167" s="2">
        <v>31.33</v>
      </c>
      <c r="J167" s="2"/>
      <c r="K167" s="2"/>
      <c r="L167" s="2"/>
      <c r="M167" s="2"/>
      <c r="N167" s="2"/>
      <c r="O167" s="2"/>
      <c r="P167" s="2">
        <v>0.14000000000000001</v>
      </c>
      <c r="Q167" s="2"/>
      <c r="R167" s="2"/>
      <c r="S167" s="2">
        <v>0.65</v>
      </c>
      <c r="T167" s="2"/>
      <c r="U167" s="2">
        <v>2.2799999999999998</v>
      </c>
      <c r="V167" s="2">
        <v>27.35</v>
      </c>
      <c r="W167" s="2">
        <f t="shared" si="9"/>
        <v>61.75</v>
      </c>
      <c r="X167" s="2">
        <f>AVERAGE(W163:W167)</f>
        <v>68.837999999999994</v>
      </c>
      <c r="Y167" s="2">
        <f>(W167-X167)/X167*100</f>
        <v>-10.296638484557938</v>
      </c>
      <c r="Z167" s="2">
        <f>STDEV(W163:W167)</f>
        <v>11.752906874471499</v>
      </c>
      <c r="AA167" s="2"/>
      <c r="AB167" s="63">
        <f>AVERAGE($AB$166,$AB$164)</f>
        <v>10.475</v>
      </c>
      <c r="AC167" s="2">
        <v>3.16</v>
      </c>
      <c r="AD167" s="2">
        <f>AVERAGE(AC163:AC167)</f>
        <v>2.782</v>
      </c>
      <c r="AE167" s="2"/>
      <c r="AF167" s="2"/>
      <c r="AG167" s="4">
        <f>AVERAGE(AG165:AG166,AG163)</f>
        <v>3.456666666666667</v>
      </c>
      <c r="AH167" s="2">
        <f>AVERAGE(AG163:AG167)</f>
        <v>3.456666666666667</v>
      </c>
      <c r="AJ167" s="56"/>
    </row>
    <row r="168" spans="1:36">
      <c r="A168" s="2"/>
      <c r="B168" s="2"/>
      <c r="C168" s="2">
        <v>2</v>
      </c>
      <c r="D168" s="2">
        <v>1</v>
      </c>
      <c r="E168" s="2">
        <v>0.43</v>
      </c>
      <c r="F168" s="2"/>
      <c r="G168" s="2"/>
      <c r="H168" s="2"/>
      <c r="I168" s="2">
        <v>10.49</v>
      </c>
      <c r="J168" s="2"/>
      <c r="K168" s="2"/>
      <c r="L168" s="2"/>
      <c r="M168" s="2">
        <v>3.89</v>
      </c>
      <c r="N168" s="2"/>
      <c r="O168" s="2">
        <v>0.13</v>
      </c>
      <c r="P168" s="2">
        <v>14.35</v>
      </c>
      <c r="Q168" s="2">
        <v>1.19</v>
      </c>
      <c r="R168" s="2"/>
      <c r="S168" s="2">
        <v>2.54</v>
      </c>
      <c r="T168" s="2"/>
      <c r="U168" s="2">
        <v>6.28</v>
      </c>
      <c r="V168" s="2">
        <v>32.21</v>
      </c>
      <c r="W168" s="2">
        <f t="shared" si="9"/>
        <v>71.510000000000005</v>
      </c>
      <c r="X168" s="2"/>
      <c r="Y168" s="2">
        <f>(W168-X172)/X172*100</f>
        <v>10.741165174838182</v>
      </c>
      <c r="Z168" s="2"/>
      <c r="AA168" s="2"/>
      <c r="AB168" s="63">
        <f t="shared" ref="AB168:AB170" si="10">AVERAGE($AB$171:$AB$172)</f>
        <v>17.024999999999999</v>
      </c>
      <c r="AC168" s="2">
        <v>3.62</v>
      </c>
      <c r="AD168" s="2"/>
      <c r="AE168" s="2"/>
      <c r="AF168" s="2"/>
      <c r="AG168" s="2">
        <v>3.4</v>
      </c>
      <c r="AH168" s="2"/>
      <c r="AJ168" s="56"/>
    </row>
    <row r="169" spans="1:36">
      <c r="A169" s="2"/>
      <c r="B169" s="2"/>
      <c r="C169" s="2"/>
      <c r="D169" s="2">
        <v>2</v>
      </c>
      <c r="E169" s="2"/>
      <c r="F169" s="2"/>
      <c r="G169" s="2"/>
      <c r="H169" s="2"/>
      <c r="I169" s="2">
        <v>12.32</v>
      </c>
      <c r="J169" s="2"/>
      <c r="K169" s="2"/>
      <c r="L169" s="2"/>
      <c r="M169" s="2">
        <v>0.28000000000000003</v>
      </c>
      <c r="N169" s="2"/>
      <c r="O169" s="2"/>
      <c r="P169" s="2">
        <v>2</v>
      </c>
      <c r="Q169" s="2">
        <v>0.21</v>
      </c>
      <c r="R169" s="2"/>
      <c r="S169" s="2">
        <v>1.52</v>
      </c>
      <c r="T169" s="2"/>
      <c r="U169" s="2">
        <v>2.5</v>
      </c>
      <c r="V169" s="2">
        <v>41.72</v>
      </c>
      <c r="W169" s="2">
        <f t="shared" si="9"/>
        <v>60.55</v>
      </c>
      <c r="X169" s="2"/>
      <c r="Y169" s="2">
        <f>(W169-X172)/X172*100</f>
        <v>-6.2316102456096898</v>
      </c>
      <c r="Z169" s="2"/>
      <c r="AA169" s="2"/>
      <c r="AB169" s="63">
        <f t="shared" si="10"/>
        <v>17.024999999999999</v>
      </c>
      <c r="AC169" s="2">
        <v>1.19</v>
      </c>
      <c r="AD169" s="2"/>
      <c r="AE169" s="2"/>
      <c r="AF169" s="2"/>
      <c r="AG169" s="2">
        <v>21.42</v>
      </c>
      <c r="AH169" s="2"/>
      <c r="AJ169" s="56"/>
    </row>
    <row r="170" spans="1:36">
      <c r="A170" s="2"/>
      <c r="B170" s="2"/>
      <c r="C170" s="2"/>
      <c r="D170" s="2">
        <v>3</v>
      </c>
      <c r="E170" s="2">
        <v>0.18</v>
      </c>
      <c r="F170" s="2"/>
      <c r="G170" s="2"/>
      <c r="H170" s="2"/>
      <c r="I170" s="2">
        <v>16.13</v>
      </c>
      <c r="J170" s="2"/>
      <c r="K170" s="2"/>
      <c r="L170" s="2"/>
      <c r="M170" s="2"/>
      <c r="N170" s="2"/>
      <c r="O170" s="2">
        <v>1.2</v>
      </c>
      <c r="P170" s="2">
        <v>7.89</v>
      </c>
      <c r="Q170" s="2"/>
      <c r="R170" s="2"/>
      <c r="S170" s="2">
        <v>0.36</v>
      </c>
      <c r="T170" s="2"/>
      <c r="U170" s="2">
        <v>1.18</v>
      </c>
      <c r="V170" s="2">
        <v>38.020000000000003</v>
      </c>
      <c r="W170" s="2">
        <f t="shared" si="9"/>
        <v>64.960000000000008</v>
      </c>
      <c r="X170" s="2"/>
      <c r="Y170" s="2">
        <f>(W170-X172)/X172*100</f>
        <v>0.59776380586615341</v>
      </c>
      <c r="Z170" s="2"/>
      <c r="AA170" s="2"/>
      <c r="AB170" s="63">
        <f t="shared" si="10"/>
        <v>17.024999999999999</v>
      </c>
      <c r="AC170" s="2">
        <v>0.66</v>
      </c>
      <c r="AD170" s="2"/>
      <c r="AE170" s="2"/>
      <c r="AF170" s="2"/>
      <c r="AG170" s="4">
        <f>AVERAGE(AG168:AG169,AG171:AG172)</f>
        <v>11.08</v>
      </c>
      <c r="AH170" s="2"/>
      <c r="AJ170" s="56"/>
    </row>
    <row r="171" spans="1:36">
      <c r="A171" s="2"/>
      <c r="B171" s="2"/>
      <c r="C171" s="2"/>
      <c r="D171" s="2">
        <v>4</v>
      </c>
      <c r="E171" s="2">
        <v>3.01</v>
      </c>
      <c r="F171" s="2"/>
      <c r="G171" s="2"/>
      <c r="H171" s="2"/>
      <c r="I171" s="2">
        <v>11.21</v>
      </c>
      <c r="J171" s="2"/>
      <c r="K171" s="2"/>
      <c r="L171" s="2"/>
      <c r="M171" s="2">
        <v>0.28000000000000003</v>
      </c>
      <c r="N171" s="2"/>
      <c r="O171" s="2">
        <v>0.3</v>
      </c>
      <c r="P171" s="2">
        <v>18.91</v>
      </c>
      <c r="Q171" s="2">
        <v>0.47</v>
      </c>
      <c r="R171" s="2"/>
      <c r="S171" s="2">
        <v>0.45</v>
      </c>
      <c r="T171" s="2"/>
      <c r="U171" s="2">
        <v>0.27</v>
      </c>
      <c r="V171" s="2">
        <v>29.99</v>
      </c>
      <c r="W171" s="2">
        <f t="shared" si="9"/>
        <v>64.89</v>
      </c>
      <c r="X171" s="2"/>
      <c r="Y171" s="2">
        <f>(W171-X172)/X172*100</f>
        <v>0.48936104314430345</v>
      </c>
      <c r="Z171" s="2"/>
      <c r="AA171" s="2"/>
      <c r="AB171" s="2">
        <v>23.01</v>
      </c>
      <c r="AC171" s="2">
        <v>2.2400000000000002</v>
      </c>
      <c r="AD171" s="2"/>
      <c r="AE171" s="2"/>
      <c r="AF171" s="2"/>
      <c r="AG171" s="2">
        <v>3.97</v>
      </c>
      <c r="AH171" s="2"/>
      <c r="AJ171" s="56"/>
    </row>
    <row r="172" spans="1:36">
      <c r="A172" s="2"/>
      <c r="B172" s="2"/>
      <c r="C172" s="2"/>
      <c r="D172" s="2">
        <v>5</v>
      </c>
      <c r="E172" s="2"/>
      <c r="F172" s="2"/>
      <c r="G172" s="2"/>
      <c r="H172" s="2"/>
      <c r="I172" s="2">
        <v>17.21</v>
      </c>
      <c r="J172" s="2"/>
      <c r="K172" s="2"/>
      <c r="L172" s="2"/>
      <c r="M172" s="2"/>
      <c r="N172" s="2"/>
      <c r="O172" s="2">
        <v>0.22</v>
      </c>
      <c r="P172" s="2">
        <v>13.07</v>
      </c>
      <c r="Q172" s="2"/>
      <c r="R172" s="2"/>
      <c r="S172" s="2">
        <v>0.69</v>
      </c>
      <c r="T172" s="2"/>
      <c r="U172" s="2">
        <v>4.0599999999999996</v>
      </c>
      <c r="V172" s="2">
        <v>25.71</v>
      </c>
      <c r="W172" s="2">
        <f t="shared" si="9"/>
        <v>60.96</v>
      </c>
      <c r="X172" s="2">
        <f>AVERAGE(W168:W172)</f>
        <v>64.573999999999998</v>
      </c>
      <c r="Y172" s="2">
        <f>(W172-X172)/X172*100</f>
        <v>-5.596679778238915</v>
      </c>
      <c r="Z172" s="2">
        <f>STDEV(W168:W172)</f>
        <v>4.4048416543617117</v>
      </c>
      <c r="AA172" s="2"/>
      <c r="AB172" s="62">
        <v>11.04</v>
      </c>
      <c r="AC172" s="2">
        <v>1.49</v>
      </c>
      <c r="AD172" s="2">
        <f>AVERAGE(AC168:AC172)</f>
        <v>1.8400000000000003</v>
      </c>
      <c r="AE172" s="2"/>
      <c r="AF172" s="2"/>
      <c r="AG172" s="2">
        <v>15.530000000000001</v>
      </c>
      <c r="AH172" s="2">
        <f>AVERAGE(AG168:AG172)</f>
        <v>11.08</v>
      </c>
      <c r="AJ172" s="56"/>
    </row>
    <row r="173" spans="1:36">
      <c r="A173" s="2"/>
      <c r="B173" s="2"/>
      <c r="C173" s="2">
        <v>3</v>
      </c>
      <c r="D173" s="2">
        <v>1</v>
      </c>
      <c r="E173" s="2"/>
      <c r="F173" s="2"/>
      <c r="G173" s="2"/>
      <c r="H173" s="2"/>
      <c r="I173" s="2">
        <v>18.920000000000002</v>
      </c>
      <c r="J173" s="2"/>
      <c r="K173" s="2"/>
      <c r="L173" s="2">
        <v>0.04</v>
      </c>
      <c r="M173" s="2">
        <v>4.28</v>
      </c>
      <c r="N173" s="2"/>
      <c r="O173" s="2">
        <v>0.15</v>
      </c>
      <c r="P173" s="2">
        <v>4.79</v>
      </c>
      <c r="Q173" s="2">
        <v>0.04</v>
      </c>
      <c r="R173" s="2"/>
      <c r="S173" s="2">
        <v>7.0000000000000007E-2</v>
      </c>
      <c r="T173" s="2"/>
      <c r="U173" s="2"/>
      <c r="V173" s="2">
        <v>37.43</v>
      </c>
      <c r="W173" s="2">
        <f t="shared" si="9"/>
        <v>65.72</v>
      </c>
      <c r="X173" s="2"/>
      <c r="Y173" s="2">
        <f>(W173-X177)/X177*100</f>
        <v>5.5742971887550183</v>
      </c>
      <c r="Z173" s="2"/>
      <c r="AA173" s="2"/>
      <c r="AB173" s="4">
        <f>AVERAGE(AB174:AB176)</f>
        <v>12.103333333333332</v>
      </c>
      <c r="AC173" s="2">
        <v>1.66</v>
      </c>
      <c r="AD173" s="2"/>
      <c r="AE173" s="2"/>
      <c r="AF173" s="2"/>
      <c r="AG173" s="2">
        <v>3.02</v>
      </c>
      <c r="AH173" s="2"/>
      <c r="AJ173" s="56"/>
    </row>
    <row r="174" spans="1:36">
      <c r="A174" s="2"/>
      <c r="B174" s="2"/>
      <c r="C174" s="2"/>
      <c r="D174" s="2">
        <v>2</v>
      </c>
      <c r="E174" s="2">
        <v>0.2</v>
      </c>
      <c r="F174" s="2"/>
      <c r="G174" s="2"/>
      <c r="H174" s="2"/>
      <c r="I174" s="2">
        <v>9.7799999999999994</v>
      </c>
      <c r="J174" s="2"/>
      <c r="K174" s="2"/>
      <c r="L174" s="2"/>
      <c r="M174" s="2">
        <v>4.87</v>
      </c>
      <c r="N174" s="2"/>
      <c r="O174" s="2"/>
      <c r="P174" s="2">
        <v>7.63</v>
      </c>
      <c r="Q174" s="2">
        <v>1.1200000000000001</v>
      </c>
      <c r="R174" s="2"/>
      <c r="S174" s="2">
        <v>1.98</v>
      </c>
      <c r="T174" s="2"/>
      <c r="U174" s="2">
        <v>1.34</v>
      </c>
      <c r="V174" s="2">
        <v>32.1</v>
      </c>
      <c r="W174" s="2">
        <f t="shared" si="9"/>
        <v>59.019999999999996</v>
      </c>
      <c r="X174" s="2"/>
      <c r="Y174" s="2">
        <f>(W174-X177)/X177*100</f>
        <v>-5.1887550200803272</v>
      </c>
      <c r="Z174" s="2"/>
      <c r="AA174" s="2"/>
      <c r="AB174" s="2">
        <v>17.2</v>
      </c>
      <c r="AC174" s="2">
        <v>0.6</v>
      </c>
      <c r="AD174" s="2"/>
      <c r="AE174" s="2"/>
      <c r="AF174" s="2"/>
      <c r="AG174" s="2">
        <v>2.2799999999999998</v>
      </c>
      <c r="AH174" s="2"/>
      <c r="AJ174" s="56"/>
    </row>
    <row r="175" spans="1:36">
      <c r="A175" s="2"/>
      <c r="B175" s="2"/>
      <c r="C175" s="2"/>
      <c r="D175" s="2">
        <v>3</v>
      </c>
      <c r="E175" s="2">
        <v>0.19</v>
      </c>
      <c r="F175" s="2"/>
      <c r="G175" s="2"/>
      <c r="H175" s="2"/>
      <c r="I175" s="2">
        <v>18.510000000000002</v>
      </c>
      <c r="J175" s="2"/>
      <c r="K175" s="2"/>
      <c r="L175" s="2"/>
      <c r="M175" s="2">
        <v>3.51</v>
      </c>
      <c r="N175" s="2"/>
      <c r="O175" s="2">
        <v>0.19</v>
      </c>
      <c r="P175" s="2">
        <v>3.96</v>
      </c>
      <c r="Q175" s="2">
        <v>0.56000000000000005</v>
      </c>
      <c r="R175" s="2"/>
      <c r="S175" s="2"/>
      <c r="T175" s="2"/>
      <c r="U175" s="2">
        <v>1.58</v>
      </c>
      <c r="V175" s="2">
        <v>30.66</v>
      </c>
      <c r="W175" s="2">
        <f t="shared" si="9"/>
        <v>59.16</v>
      </c>
      <c r="X175" s="2"/>
      <c r="Y175" s="2">
        <f>(W175-X177)/X177*100</f>
        <v>-4.9638554216867528</v>
      </c>
      <c r="Z175" s="2"/>
      <c r="AA175" s="2"/>
      <c r="AB175" s="2">
        <v>12.92</v>
      </c>
      <c r="AC175" s="2">
        <v>0.8</v>
      </c>
      <c r="AD175" s="2"/>
      <c r="AE175" s="2"/>
      <c r="AF175" s="2"/>
      <c r="AG175" s="2">
        <v>2.23</v>
      </c>
      <c r="AH175" s="2"/>
      <c r="AJ175" s="56"/>
    </row>
    <row r="176" spans="1:36">
      <c r="A176" s="2"/>
      <c r="B176" s="2"/>
      <c r="C176" s="2"/>
      <c r="D176" s="2">
        <v>4</v>
      </c>
      <c r="E176" s="2"/>
      <c r="F176" s="2"/>
      <c r="G176" s="2"/>
      <c r="H176" s="2"/>
      <c r="I176" s="2">
        <v>20.440000000000001</v>
      </c>
      <c r="J176" s="2"/>
      <c r="K176" s="2"/>
      <c r="L176" s="2"/>
      <c r="M176" s="2">
        <v>2.31</v>
      </c>
      <c r="N176" s="2"/>
      <c r="O176" s="2">
        <v>0.21</v>
      </c>
      <c r="P176" s="2">
        <v>5.71</v>
      </c>
      <c r="Q176" s="2">
        <v>1.84</v>
      </c>
      <c r="R176" s="2"/>
      <c r="S176" s="2">
        <v>0.75</v>
      </c>
      <c r="T176" s="2"/>
      <c r="U176" s="2">
        <v>0.46</v>
      </c>
      <c r="V176" s="2">
        <v>35.25</v>
      </c>
      <c r="W176" s="2">
        <f t="shared" si="9"/>
        <v>66.97</v>
      </c>
      <c r="X176" s="2"/>
      <c r="Y176" s="2">
        <f>(W176-X177)/X177*100</f>
        <v>7.5823293172690747</v>
      </c>
      <c r="Z176" s="2"/>
      <c r="AA176" s="2"/>
      <c r="AB176" s="2">
        <v>6.19</v>
      </c>
      <c r="AC176" s="2">
        <v>2.29</v>
      </c>
      <c r="AD176" s="2"/>
      <c r="AE176" s="2"/>
      <c r="AF176" s="2"/>
      <c r="AG176" s="2">
        <v>2.36</v>
      </c>
      <c r="AH176" s="2"/>
      <c r="AJ176" s="56"/>
    </row>
    <row r="177" spans="1:36">
      <c r="A177" s="2"/>
      <c r="B177" s="2"/>
      <c r="C177" s="2"/>
      <c r="D177" s="2">
        <v>5</v>
      </c>
      <c r="E177" s="2">
        <v>1.26</v>
      </c>
      <c r="F177" s="2"/>
      <c r="G177" s="2"/>
      <c r="H177" s="2"/>
      <c r="I177" s="2">
        <v>16.8</v>
      </c>
      <c r="J177" s="2"/>
      <c r="K177" s="2"/>
      <c r="L177" s="2"/>
      <c r="M177" s="2">
        <v>1.99</v>
      </c>
      <c r="N177" s="2"/>
      <c r="O177" s="2">
        <v>0.14000000000000001</v>
      </c>
      <c r="P177" s="2">
        <v>1.78</v>
      </c>
      <c r="Q177" s="2"/>
      <c r="R177" s="2"/>
      <c r="S177" s="2">
        <v>0.16</v>
      </c>
      <c r="T177" s="2"/>
      <c r="U177" s="2">
        <v>2.89</v>
      </c>
      <c r="V177" s="2">
        <v>35.36</v>
      </c>
      <c r="W177" s="2">
        <f t="shared" si="9"/>
        <v>60.38</v>
      </c>
      <c r="X177" s="2">
        <f>AVERAGE(W173:W177)</f>
        <v>62.25</v>
      </c>
      <c r="Y177" s="2">
        <f>(W177-X177)/X177*100</f>
        <v>-3.0040160642570242</v>
      </c>
      <c r="Z177" s="2">
        <f>STDEV(W173:W177)</f>
        <v>3.8012234872472317</v>
      </c>
      <c r="AA177" s="2"/>
      <c r="AB177" s="4">
        <f>AVERAGE(AB174:AB176)</f>
        <v>12.103333333333332</v>
      </c>
      <c r="AC177" s="2">
        <v>4.51</v>
      </c>
      <c r="AD177" s="2">
        <f>AVERAGE(AC173:AC177)</f>
        <v>1.972</v>
      </c>
      <c r="AE177" s="2"/>
      <c r="AF177" s="2"/>
      <c r="AG177" s="2">
        <v>2.81</v>
      </c>
      <c r="AH177" s="2">
        <f>AVERAGE(AG173:AG177)</f>
        <v>2.54</v>
      </c>
      <c r="AJ177" s="56"/>
    </row>
    <row r="178" spans="1:36">
      <c r="A178" s="2"/>
      <c r="B178" s="2"/>
      <c r="C178" s="2">
        <v>4</v>
      </c>
      <c r="D178" s="2">
        <v>1</v>
      </c>
      <c r="E178" s="2"/>
      <c r="F178" s="2"/>
      <c r="G178" s="2"/>
      <c r="H178" s="2"/>
      <c r="I178" s="2">
        <v>16.829999999999998</v>
      </c>
      <c r="J178" s="2"/>
      <c r="K178" s="2"/>
      <c r="L178" s="2"/>
      <c r="M178" s="2"/>
      <c r="N178" s="2"/>
      <c r="O178" s="2"/>
      <c r="P178" s="2">
        <v>2.82</v>
      </c>
      <c r="Q178" s="2"/>
      <c r="R178" s="2"/>
      <c r="S178" s="2">
        <v>0.93</v>
      </c>
      <c r="T178" s="2"/>
      <c r="U178" s="2">
        <v>0.94</v>
      </c>
      <c r="V178" s="2">
        <v>34.43</v>
      </c>
      <c r="W178" s="2">
        <f t="shared" si="9"/>
        <v>55.95</v>
      </c>
      <c r="X178" s="2"/>
      <c r="Y178" s="2">
        <f>(W178-X182)/X182*100</f>
        <v>-2.8038357306649941</v>
      </c>
      <c r="Z178" s="2"/>
      <c r="AA178" s="2"/>
      <c r="AB178" s="2">
        <v>15.37</v>
      </c>
      <c r="AC178" s="2">
        <v>1.86</v>
      </c>
      <c r="AD178" s="2"/>
      <c r="AE178" s="2"/>
      <c r="AF178" s="2"/>
      <c r="AG178" s="2">
        <v>5.1100000000000003</v>
      </c>
      <c r="AH178" s="2"/>
      <c r="AJ178" s="56"/>
    </row>
    <row r="179" spans="1:36">
      <c r="A179" s="2"/>
      <c r="B179" s="2"/>
      <c r="C179" s="2"/>
      <c r="D179" s="2">
        <v>2</v>
      </c>
      <c r="E179" s="2"/>
      <c r="F179" s="2"/>
      <c r="G179" s="2"/>
      <c r="H179" s="2"/>
      <c r="I179" s="2">
        <v>17.07</v>
      </c>
      <c r="J179" s="2"/>
      <c r="K179" s="2"/>
      <c r="L179" s="2"/>
      <c r="M179" s="2"/>
      <c r="N179" s="2"/>
      <c r="O179" s="2"/>
      <c r="P179" s="2">
        <v>0.31</v>
      </c>
      <c r="Q179" s="2"/>
      <c r="R179" s="2"/>
      <c r="S179" s="2">
        <v>0.39</v>
      </c>
      <c r="T179" s="2"/>
      <c r="U179" s="2">
        <v>0.48</v>
      </c>
      <c r="V179" s="2">
        <v>39.6</v>
      </c>
      <c r="W179" s="2">
        <f t="shared" si="9"/>
        <v>57.85</v>
      </c>
      <c r="X179" s="2"/>
      <c r="Y179" s="2">
        <f>(W179-X182)/X182*100</f>
        <v>0.49683830171635285</v>
      </c>
      <c r="Z179" s="2"/>
      <c r="AA179" s="2"/>
      <c r="AB179" s="2">
        <v>14.1</v>
      </c>
      <c r="AC179" s="2">
        <v>7.33</v>
      </c>
      <c r="AD179" s="2"/>
      <c r="AE179" s="2"/>
      <c r="AF179" s="2"/>
      <c r="AG179" s="2">
        <v>7.05</v>
      </c>
      <c r="AH179" s="2"/>
      <c r="AJ179" s="56"/>
    </row>
    <row r="180" spans="1:36">
      <c r="A180" s="2"/>
      <c r="B180" s="2"/>
      <c r="C180" s="2"/>
      <c r="D180" s="2">
        <v>3</v>
      </c>
      <c r="E180" s="2"/>
      <c r="F180" s="2"/>
      <c r="G180" s="2"/>
      <c r="H180" s="2"/>
      <c r="I180" s="2">
        <v>26.33</v>
      </c>
      <c r="J180" s="2"/>
      <c r="K180" s="2"/>
      <c r="L180" s="2"/>
      <c r="M180" s="2"/>
      <c r="N180" s="2"/>
      <c r="O180" s="2">
        <v>2.27</v>
      </c>
      <c r="P180" s="2">
        <v>0.04</v>
      </c>
      <c r="Q180" s="2"/>
      <c r="R180" s="2"/>
      <c r="S180" s="2">
        <v>0.06</v>
      </c>
      <c r="T180" s="2"/>
      <c r="U180" s="2">
        <v>4.34</v>
      </c>
      <c r="V180" s="2">
        <v>23.97</v>
      </c>
      <c r="W180" s="2">
        <f t="shared" si="9"/>
        <v>57.009999999999991</v>
      </c>
      <c r="X180" s="2"/>
      <c r="Y180" s="2">
        <f>(W180-X182)/X182*100</f>
        <v>-0.96240705996805154</v>
      </c>
      <c r="Z180" s="2"/>
      <c r="AA180" s="2"/>
      <c r="AB180" s="2">
        <v>27.08</v>
      </c>
      <c r="AC180" s="2">
        <v>12.21</v>
      </c>
      <c r="AD180" s="2"/>
      <c r="AE180" s="2"/>
      <c r="AF180" s="2"/>
      <c r="AG180" s="2">
        <v>5.37</v>
      </c>
      <c r="AH180" s="2"/>
      <c r="AJ180" s="56"/>
    </row>
    <row r="181" spans="1:36">
      <c r="A181" s="2"/>
      <c r="B181" s="2"/>
      <c r="C181" s="2"/>
      <c r="D181" s="2">
        <v>4</v>
      </c>
      <c r="E181" s="2"/>
      <c r="F181" s="2"/>
      <c r="G181" s="2"/>
      <c r="H181" s="2"/>
      <c r="I181" s="2">
        <v>18.05</v>
      </c>
      <c r="J181" s="2"/>
      <c r="K181" s="2"/>
      <c r="L181" s="2"/>
      <c r="M181" s="2">
        <v>0.48</v>
      </c>
      <c r="N181" s="2"/>
      <c r="O181" s="2">
        <v>0.81</v>
      </c>
      <c r="P181" s="2">
        <v>5.28</v>
      </c>
      <c r="Q181" s="2"/>
      <c r="R181" s="2"/>
      <c r="S181" s="2">
        <v>1.17</v>
      </c>
      <c r="T181" s="2"/>
      <c r="U181" s="2">
        <v>6.21</v>
      </c>
      <c r="V181" s="2">
        <v>24.87</v>
      </c>
      <c r="W181" s="2">
        <f t="shared" si="9"/>
        <v>56.870000000000005</v>
      </c>
      <c r="X181" s="2"/>
      <c r="Y181" s="2">
        <f>(W181-X182)/X182*100</f>
        <v>-1.2056146202487588</v>
      </c>
      <c r="Z181" s="2"/>
      <c r="AA181" s="2"/>
      <c r="AB181" s="62">
        <v>19.11</v>
      </c>
      <c r="AC181" s="2">
        <v>5.01</v>
      </c>
      <c r="AD181" s="2"/>
      <c r="AE181" s="2"/>
      <c r="AF181" s="2"/>
      <c r="AG181" s="2">
        <v>8.1199999999999992</v>
      </c>
      <c r="AH181" s="2"/>
      <c r="AJ181" s="56"/>
    </row>
    <row r="182" spans="1:36">
      <c r="A182" s="2"/>
      <c r="B182" s="2"/>
      <c r="C182" s="2"/>
      <c r="D182" s="2">
        <v>5</v>
      </c>
      <c r="E182" s="2"/>
      <c r="F182" s="2"/>
      <c r="G182" s="2"/>
      <c r="H182" s="2"/>
      <c r="I182" s="2">
        <v>16.72</v>
      </c>
      <c r="J182" s="2"/>
      <c r="K182" s="2"/>
      <c r="L182" s="2"/>
      <c r="M182" s="2">
        <v>0.77</v>
      </c>
      <c r="N182" s="2"/>
      <c r="O182" s="2">
        <v>0.55000000000000004</v>
      </c>
      <c r="P182" s="2">
        <v>0.35</v>
      </c>
      <c r="Q182" s="2">
        <v>0.51</v>
      </c>
      <c r="R182" s="2"/>
      <c r="S182" s="2">
        <v>0.21</v>
      </c>
      <c r="T182" s="2"/>
      <c r="U182" s="2">
        <v>5.13</v>
      </c>
      <c r="V182" s="2">
        <v>35.9</v>
      </c>
      <c r="W182" s="2">
        <f t="shared" si="9"/>
        <v>60.14</v>
      </c>
      <c r="X182" s="2">
        <f>AVERAGE(W178:W182)</f>
        <v>57.564</v>
      </c>
      <c r="Y182" s="2">
        <f>(W182-X182)/X182*100</f>
        <v>4.4750191091654514</v>
      </c>
      <c r="Z182" s="2">
        <f>STDEV(W178:W182)</f>
        <v>1.5898993678846467</v>
      </c>
      <c r="AA182" s="2"/>
      <c r="AB182" s="63">
        <f>AVERAGE(AB178:AB181)</f>
        <v>18.914999999999999</v>
      </c>
      <c r="AC182" s="2">
        <v>6.47</v>
      </c>
      <c r="AD182" s="2">
        <f>AVERAGE(AC178:AC182)</f>
        <v>6.5759999999999987</v>
      </c>
      <c r="AE182" s="2"/>
      <c r="AF182" s="2"/>
      <c r="AG182" s="2">
        <v>3.75</v>
      </c>
      <c r="AH182" s="2">
        <f>AVERAGE(AG178:AG182)</f>
        <v>5.88</v>
      </c>
      <c r="AJ182" s="56"/>
    </row>
    <row r="183" spans="1:36">
      <c r="A183" s="2" t="s">
        <v>112</v>
      </c>
      <c r="B183" s="2" t="s">
        <v>125</v>
      </c>
      <c r="C183" s="2">
        <v>1</v>
      </c>
      <c r="D183" s="2">
        <v>1</v>
      </c>
      <c r="E183" s="2"/>
      <c r="F183" s="2"/>
      <c r="G183" s="28">
        <v>0.09</v>
      </c>
      <c r="H183" s="2"/>
      <c r="I183" s="2">
        <v>0.34</v>
      </c>
      <c r="J183" s="2"/>
      <c r="K183" s="2"/>
      <c r="L183" s="2">
        <v>0.1</v>
      </c>
      <c r="M183" s="2"/>
      <c r="N183" s="2"/>
      <c r="O183" s="2"/>
      <c r="P183" s="2">
        <v>12.78</v>
      </c>
      <c r="Q183" s="2">
        <v>0.49</v>
      </c>
      <c r="R183" s="2"/>
      <c r="S183" s="2">
        <v>2.84</v>
      </c>
      <c r="T183" s="2"/>
      <c r="U183" s="2">
        <v>9.4</v>
      </c>
      <c r="V183" s="2">
        <v>13.43</v>
      </c>
      <c r="W183" s="2">
        <f t="shared" si="9"/>
        <v>39.47</v>
      </c>
      <c r="X183" s="2"/>
      <c r="Y183" s="2">
        <f>(W183-X187)/X187*100</f>
        <v>34.452922741517902</v>
      </c>
      <c r="Z183" s="2"/>
      <c r="AA183" s="2"/>
      <c r="AB183" s="2">
        <v>8.1999999999999993</v>
      </c>
      <c r="AC183" s="2">
        <v>5.35</v>
      </c>
      <c r="AD183" s="2"/>
      <c r="AE183" s="2"/>
      <c r="AF183" s="2"/>
      <c r="AG183" s="2">
        <v>2.16</v>
      </c>
      <c r="AH183" s="2"/>
      <c r="AJ183" s="56"/>
    </row>
    <row r="184" spans="1:36">
      <c r="A184" s="2"/>
      <c r="B184" s="2"/>
      <c r="C184" s="2"/>
      <c r="D184" s="2">
        <v>2</v>
      </c>
      <c r="E184" s="2"/>
      <c r="F184" s="2"/>
      <c r="G184" s="2">
        <v>0.23</v>
      </c>
      <c r="H184" s="2"/>
      <c r="I184" s="2">
        <v>0.48</v>
      </c>
      <c r="J184" s="2"/>
      <c r="K184" s="2"/>
      <c r="L184" s="2">
        <v>0.04</v>
      </c>
      <c r="M184" s="2"/>
      <c r="N184" s="2"/>
      <c r="O184" s="2"/>
      <c r="P184" s="2">
        <v>5.76</v>
      </c>
      <c r="Q184" s="2">
        <v>0.35</v>
      </c>
      <c r="R184" s="2"/>
      <c r="S184" s="2">
        <v>2.79</v>
      </c>
      <c r="T184" s="2"/>
      <c r="U184" s="2">
        <v>8.17</v>
      </c>
      <c r="V184" s="2">
        <v>10.79</v>
      </c>
      <c r="W184" s="2">
        <f t="shared" si="9"/>
        <v>28.61</v>
      </c>
      <c r="X184" s="2"/>
      <c r="Y184" s="2">
        <f>(W184-X187)/X187*100</f>
        <v>-2.5412181496116713</v>
      </c>
      <c r="Z184" s="2"/>
      <c r="AA184" s="2"/>
      <c r="AB184" s="2">
        <v>40.1</v>
      </c>
      <c r="AC184" s="2">
        <v>18.39</v>
      </c>
      <c r="AD184" s="2"/>
      <c r="AE184" s="2"/>
      <c r="AF184" s="2"/>
      <c r="AG184" s="2">
        <v>3.58</v>
      </c>
      <c r="AH184" s="2"/>
      <c r="AJ184" s="56"/>
    </row>
    <row r="185" spans="1:36">
      <c r="A185" s="2"/>
      <c r="B185" s="2"/>
      <c r="C185" s="2"/>
      <c r="D185" s="2">
        <v>3</v>
      </c>
      <c r="E185" s="2"/>
      <c r="F185" s="2"/>
      <c r="G185" s="2">
        <v>1.04</v>
      </c>
      <c r="H185" s="2"/>
      <c r="I185" s="2">
        <v>2.71</v>
      </c>
      <c r="J185" s="2"/>
      <c r="K185" s="2"/>
      <c r="L185" s="2">
        <v>0.15</v>
      </c>
      <c r="M185" s="2"/>
      <c r="N185" s="2"/>
      <c r="O185" s="2"/>
      <c r="P185" s="2">
        <v>6.41</v>
      </c>
      <c r="Q185" s="2"/>
      <c r="R185" s="2"/>
      <c r="S185" s="2">
        <v>1.77</v>
      </c>
      <c r="T185" s="2"/>
      <c r="U185" s="2">
        <v>3.36</v>
      </c>
      <c r="V185" s="2">
        <v>8.67</v>
      </c>
      <c r="W185" s="2">
        <f t="shared" si="9"/>
        <v>24.11</v>
      </c>
      <c r="X185" s="2"/>
      <c r="Y185" s="2">
        <f>(W185-X187)/X187*100</f>
        <v>-17.870282054775863</v>
      </c>
      <c r="Z185" s="2"/>
      <c r="AA185" s="2"/>
      <c r="AB185" s="2">
        <v>15.6</v>
      </c>
      <c r="AC185" s="2">
        <v>12.64</v>
      </c>
      <c r="AD185" s="2"/>
      <c r="AE185" s="2"/>
      <c r="AF185" s="2"/>
      <c r="AG185" s="2">
        <v>3.82</v>
      </c>
      <c r="AH185" s="2"/>
      <c r="AJ185" s="56"/>
    </row>
    <row r="186" spans="1:36">
      <c r="A186" s="2"/>
      <c r="B186" s="2"/>
      <c r="C186" s="2"/>
      <c r="D186" s="2">
        <v>4</v>
      </c>
      <c r="E186" s="2"/>
      <c r="F186" s="2"/>
      <c r="G186" s="2">
        <v>0.8</v>
      </c>
      <c r="H186" s="2"/>
      <c r="I186" s="2">
        <v>1.59</v>
      </c>
      <c r="J186" s="2"/>
      <c r="K186" s="2"/>
      <c r="L186" s="2"/>
      <c r="M186" s="2"/>
      <c r="N186" s="2"/>
      <c r="O186" s="2"/>
      <c r="P186" s="2">
        <v>7.64</v>
      </c>
      <c r="Q186" s="2">
        <v>0.24</v>
      </c>
      <c r="R186" s="2"/>
      <c r="S186" s="2">
        <v>2.84</v>
      </c>
      <c r="T186" s="2">
        <v>0.21</v>
      </c>
      <c r="U186" s="2">
        <v>2.48</v>
      </c>
      <c r="V186" s="2">
        <v>10.85</v>
      </c>
      <c r="W186" s="2">
        <f t="shared" si="9"/>
        <v>26.65</v>
      </c>
      <c r="X186" s="2"/>
      <c r="Y186" s="2">
        <f>(W186-X187)/X187*100</f>
        <v>-9.2178770949720761</v>
      </c>
      <c r="Z186" s="2"/>
      <c r="AA186" s="2"/>
      <c r="AB186" s="2">
        <v>20.7</v>
      </c>
      <c r="AC186" s="2">
        <v>14.1</v>
      </c>
      <c r="AD186" s="2"/>
      <c r="AE186" s="2"/>
      <c r="AF186" s="2"/>
      <c r="AG186" s="2">
        <v>2.15</v>
      </c>
      <c r="AH186" s="2"/>
      <c r="AJ186" s="56"/>
    </row>
    <row r="187" spans="1:36">
      <c r="A187" s="2"/>
      <c r="B187" s="2"/>
      <c r="C187" s="2"/>
      <c r="D187" s="2">
        <v>5</v>
      </c>
      <c r="E187" s="2"/>
      <c r="F187" s="2"/>
      <c r="G187" s="2">
        <v>0.52</v>
      </c>
      <c r="H187" s="2"/>
      <c r="I187" s="2">
        <v>2.73</v>
      </c>
      <c r="J187" s="2"/>
      <c r="K187" s="2"/>
      <c r="L187" s="2"/>
      <c r="M187" s="2"/>
      <c r="N187" s="2"/>
      <c r="O187" s="2"/>
      <c r="P187" s="2">
        <v>3.88</v>
      </c>
      <c r="Q187" s="2">
        <v>0.4</v>
      </c>
      <c r="R187" s="2"/>
      <c r="S187" s="2">
        <v>6.29</v>
      </c>
      <c r="T187" s="2"/>
      <c r="U187" s="2">
        <v>3.86</v>
      </c>
      <c r="V187" s="2">
        <v>10.26</v>
      </c>
      <c r="W187" s="2">
        <f t="shared" si="9"/>
        <v>27.939999999999998</v>
      </c>
      <c r="X187" s="2">
        <f>AVERAGE(W183:W187)</f>
        <v>29.356000000000002</v>
      </c>
      <c r="Y187" s="2">
        <f>(W187-X187)/X187*100</f>
        <v>-4.8235454421583457</v>
      </c>
      <c r="Z187" s="2">
        <f>STDEV(W183:W187)</f>
        <v>5.9096852708075884</v>
      </c>
      <c r="AA187" s="2"/>
      <c r="AB187" s="2">
        <v>29.1</v>
      </c>
      <c r="AC187" s="2">
        <v>19.93</v>
      </c>
      <c r="AD187" s="2">
        <f>AVERAGE(AC183:AC187)</f>
        <v>14.081999999999999</v>
      </c>
      <c r="AE187" s="2"/>
      <c r="AF187" s="2"/>
      <c r="AG187" s="2">
        <v>0.81</v>
      </c>
      <c r="AH187" s="2">
        <f>AVERAGE(AG183:AG187)</f>
        <v>2.5040000000000004</v>
      </c>
      <c r="AJ187" s="56"/>
    </row>
    <row r="188" spans="1:36">
      <c r="A188" s="2"/>
      <c r="B188" s="2"/>
      <c r="C188" s="2">
        <v>2</v>
      </c>
      <c r="D188" s="2">
        <v>1</v>
      </c>
      <c r="E188" s="2"/>
      <c r="F188" s="2"/>
      <c r="G188" s="2">
        <v>1</v>
      </c>
      <c r="H188" s="2"/>
      <c r="I188" s="2">
        <v>0.37</v>
      </c>
      <c r="J188" s="2"/>
      <c r="K188" s="2"/>
      <c r="L188" s="2">
        <v>0.08</v>
      </c>
      <c r="M188" s="2"/>
      <c r="N188" s="2"/>
      <c r="O188" s="2"/>
      <c r="P188" s="2">
        <v>4.25</v>
      </c>
      <c r="Q188" s="2"/>
      <c r="R188" s="2"/>
      <c r="S188" s="2">
        <v>7.81</v>
      </c>
      <c r="T188" s="2"/>
      <c r="U188" s="2">
        <v>9.1199999999999992</v>
      </c>
      <c r="V188" s="2">
        <v>14.99</v>
      </c>
      <c r="W188" s="2">
        <f t="shared" si="9"/>
        <v>37.619999999999997</v>
      </c>
      <c r="X188" s="2"/>
      <c r="Y188" s="2">
        <f>(W188-X192)/X192*100</f>
        <v>11.984282907662047</v>
      </c>
      <c r="Z188" s="2"/>
      <c r="AA188" s="2"/>
      <c r="AB188" s="2">
        <v>16.3</v>
      </c>
      <c r="AC188" s="2">
        <v>12.34</v>
      </c>
      <c r="AD188" s="2"/>
      <c r="AE188" s="2"/>
      <c r="AF188" s="2"/>
      <c r="AG188" s="2">
        <v>2.71</v>
      </c>
      <c r="AH188" s="2"/>
      <c r="AJ188" s="56"/>
    </row>
    <row r="189" spans="1:36">
      <c r="A189" s="2"/>
      <c r="B189" s="2"/>
      <c r="C189" s="2"/>
      <c r="D189" s="2">
        <v>2</v>
      </c>
      <c r="E189" s="2"/>
      <c r="F189" s="2"/>
      <c r="G189" s="2">
        <v>1.02</v>
      </c>
      <c r="H189" s="2"/>
      <c r="I189" s="2">
        <v>0.66</v>
      </c>
      <c r="J189" s="2"/>
      <c r="K189" s="2"/>
      <c r="L189" s="2">
        <v>0.17</v>
      </c>
      <c r="M189" s="2">
        <v>0.36</v>
      </c>
      <c r="N189" s="2"/>
      <c r="O189" s="2"/>
      <c r="P189" s="2">
        <v>2.84</v>
      </c>
      <c r="Q189" s="2">
        <v>1.22</v>
      </c>
      <c r="R189" s="2"/>
      <c r="S189" s="2">
        <v>6.47</v>
      </c>
      <c r="T189" s="2"/>
      <c r="U189" s="2">
        <v>7.63</v>
      </c>
      <c r="V189" s="2">
        <v>8.5399999999999991</v>
      </c>
      <c r="W189" s="2">
        <f t="shared" si="9"/>
        <v>28.909999999999997</v>
      </c>
      <c r="X189" s="2"/>
      <c r="Y189" s="2">
        <f>(W189-X192)/X192*100</f>
        <v>-13.942966005834407</v>
      </c>
      <c r="Z189" s="2"/>
      <c r="AA189" s="2"/>
      <c r="AB189" s="2">
        <v>15.9</v>
      </c>
      <c r="AC189" s="2">
        <v>8.4600000000000009</v>
      </c>
      <c r="AD189" s="2"/>
      <c r="AE189" s="2"/>
      <c r="AF189" s="2"/>
      <c r="AG189" s="2">
        <v>1.89</v>
      </c>
      <c r="AH189" s="2"/>
      <c r="AJ189" s="56"/>
    </row>
    <row r="190" spans="1:36">
      <c r="A190" s="2"/>
      <c r="B190" s="2"/>
      <c r="C190" s="2"/>
      <c r="D190" s="2">
        <v>3</v>
      </c>
      <c r="E190" s="2">
        <v>0.03</v>
      </c>
      <c r="F190" s="2"/>
      <c r="G190" s="2"/>
      <c r="H190" s="2"/>
      <c r="I190" s="2">
        <v>0.32</v>
      </c>
      <c r="J190" s="2"/>
      <c r="K190" s="2"/>
      <c r="L190" s="2">
        <v>0.09</v>
      </c>
      <c r="M190" s="2"/>
      <c r="N190" s="2"/>
      <c r="O190" s="2">
        <v>0.01</v>
      </c>
      <c r="P190" s="2">
        <v>3.36</v>
      </c>
      <c r="Q190" s="2">
        <v>0.56999999999999995</v>
      </c>
      <c r="R190" s="2"/>
      <c r="S190" s="2">
        <v>7.27</v>
      </c>
      <c r="T190" s="2"/>
      <c r="U190" s="2">
        <v>5.94</v>
      </c>
      <c r="V190" s="2">
        <v>9.9</v>
      </c>
      <c r="W190" s="2">
        <f t="shared" si="9"/>
        <v>27.490000000000002</v>
      </c>
      <c r="X190" s="2"/>
      <c r="Y190" s="2">
        <f>(W190-X192)/X192*100</f>
        <v>-18.169911293683409</v>
      </c>
      <c r="Z190" s="2"/>
      <c r="AA190" s="2"/>
      <c r="AB190" s="2">
        <v>13</v>
      </c>
      <c r="AC190" s="2">
        <v>10.25</v>
      </c>
      <c r="AD190" s="2"/>
      <c r="AE190" s="2"/>
      <c r="AF190" s="2"/>
      <c r="AG190" s="2">
        <v>3.66</v>
      </c>
      <c r="AH190" s="2"/>
      <c r="AJ190" s="56"/>
    </row>
    <row r="191" spans="1:36">
      <c r="A191" s="2"/>
      <c r="B191" s="2"/>
      <c r="C191" s="2"/>
      <c r="D191" s="2">
        <v>4</v>
      </c>
      <c r="E191" s="2"/>
      <c r="F191" s="2"/>
      <c r="G191" s="2">
        <v>0.18</v>
      </c>
      <c r="H191" s="2"/>
      <c r="I191" s="2">
        <v>0.72</v>
      </c>
      <c r="J191" s="2"/>
      <c r="K191" s="2"/>
      <c r="L191" s="2">
        <v>0.04</v>
      </c>
      <c r="M191" s="2"/>
      <c r="N191" s="2"/>
      <c r="O191" s="2"/>
      <c r="P191" s="2">
        <v>10.19</v>
      </c>
      <c r="Q191" s="2">
        <v>0.28999999999999998</v>
      </c>
      <c r="R191" s="2"/>
      <c r="S191" s="2">
        <v>4.7300000000000004</v>
      </c>
      <c r="T191" s="2"/>
      <c r="U191" s="2">
        <v>8.8000000000000007</v>
      </c>
      <c r="V191" s="2">
        <v>14.86</v>
      </c>
      <c r="W191" s="2">
        <f t="shared" si="9"/>
        <v>39.81</v>
      </c>
      <c r="X191" s="2"/>
      <c r="Y191" s="2">
        <f>(W191-X192)/X192*100</f>
        <v>18.503304161457383</v>
      </c>
      <c r="Z191" s="2"/>
      <c r="AA191" s="2"/>
      <c r="AB191" s="2">
        <v>33.5</v>
      </c>
      <c r="AC191" s="2">
        <v>20.48</v>
      </c>
      <c r="AD191" s="2"/>
      <c r="AE191" s="2"/>
      <c r="AF191" s="2"/>
      <c r="AG191" s="2">
        <v>2.14</v>
      </c>
      <c r="AH191" s="2"/>
      <c r="AJ191" s="56"/>
    </row>
    <row r="192" spans="1:36">
      <c r="A192" s="2"/>
      <c r="B192" s="2"/>
      <c r="C192" s="2"/>
      <c r="D192" s="2">
        <v>5</v>
      </c>
      <c r="E192" s="2"/>
      <c r="F192" s="2"/>
      <c r="G192" s="2">
        <v>0.22</v>
      </c>
      <c r="H192" s="2"/>
      <c r="I192" s="2">
        <v>0.3</v>
      </c>
      <c r="J192" s="2"/>
      <c r="K192" s="2"/>
      <c r="L192" s="2">
        <v>0.13</v>
      </c>
      <c r="M192" s="2"/>
      <c r="N192" s="2"/>
      <c r="O192" s="2">
        <v>0.15</v>
      </c>
      <c r="P192" s="2">
        <v>2.65</v>
      </c>
      <c r="Q192" s="2">
        <v>1.45</v>
      </c>
      <c r="R192" s="2"/>
      <c r="S192" s="2">
        <v>15.58</v>
      </c>
      <c r="T192" s="2">
        <v>0.31</v>
      </c>
      <c r="U192" s="2">
        <v>5.85</v>
      </c>
      <c r="V192" s="2">
        <v>7.5</v>
      </c>
      <c r="W192" s="2">
        <f t="shared" si="9"/>
        <v>34.14</v>
      </c>
      <c r="X192" s="2">
        <f>AVERAGE(W188:W192)</f>
        <v>33.594000000000008</v>
      </c>
      <c r="Y192" s="2">
        <f>(W192-X192)/X192*100</f>
        <v>1.6252902303982619</v>
      </c>
      <c r="Z192" s="2">
        <f>STDEV(W188:W192)</f>
        <v>5.3465905023668787</v>
      </c>
      <c r="AA192" s="2"/>
      <c r="AB192" s="2">
        <v>34</v>
      </c>
      <c r="AC192" s="2">
        <v>11.81</v>
      </c>
      <c r="AD192" s="2">
        <f>AVERAGE(AC188:AC192)</f>
        <v>12.668000000000001</v>
      </c>
      <c r="AE192" s="2"/>
      <c r="AF192" s="2"/>
      <c r="AG192" s="2">
        <v>8.33</v>
      </c>
      <c r="AH192" s="2">
        <f>AVERAGE(AG188:AG192)</f>
        <v>3.746</v>
      </c>
      <c r="AJ192" s="56"/>
    </row>
    <row r="193" spans="1:36">
      <c r="A193" s="2"/>
      <c r="B193" s="2"/>
      <c r="C193" s="2">
        <v>3</v>
      </c>
      <c r="D193" s="2">
        <v>1</v>
      </c>
      <c r="E193" s="2"/>
      <c r="F193" s="2"/>
      <c r="G193" s="2">
        <v>1.03</v>
      </c>
      <c r="H193" s="2"/>
      <c r="I193" s="2">
        <v>0.59</v>
      </c>
      <c r="J193" s="2"/>
      <c r="K193" s="2"/>
      <c r="L193" s="2">
        <v>0.09</v>
      </c>
      <c r="M193" s="2"/>
      <c r="N193" s="2"/>
      <c r="O193" s="2"/>
      <c r="P193" s="2">
        <v>16.89</v>
      </c>
      <c r="Q193" s="2">
        <v>0.12</v>
      </c>
      <c r="R193" s="2"/>
      <c r="S193" s="2">
        <v>3.92</v>
      </c>
      <c r="T193" s="2"/>
      <c r="U193" s="2">
        <v>4.63</v>
      </c>
      <c r="V193" s="2">
        <v>10.18</v>
      </c>
      <c r="W193" s="2">
        <f t="shared" si="9"/>
        <v>37.450000000000003</v>
      </c>
      <c r="X193" s="2"/>
      <c r="Y193" s="2">
        <f>(W193-X197)/X197*100</f>
        <v>23.850783781996174</v>
      </c>
      <c r="Z193" s="2"/>
      <c r="AA193" s="2"/>
      <c r="AB193" s="2">
        <v>15.5</v>
      </c>
      <c r="AC193" s="2">
        <v>12.98</v>
      </c>
      <c r="AD193" s="2"/>
      <c r="AE193" s="2"/>
      <c r="AF193" s="2"/>
      <c r="AG193" s="2">
        <v>3.33</v>
      </c>
      <c r="AH193" s="2"/>
      <c r="AJ193" s="56"/>
    </row>
    <row r="194" spans="1:36">
      <c r="A194" s="2"/>
      <c r="B194" s="2"/>
      <c r="C194" s="2"/>
      <c r="D194" s="2">
        <v>2</v>
      </c>
      <c r="E194" s="2"/>
      <c r="F194" s="2"/>
      <c r="G194" s="2">
        <v>2.04</v>
      </c>
      <c r="H194" s="2"/>
      <c r="I194" s="2">
        <v>0.06</v>
      </c>
      <c r="J194" s="2"/>
      <c r="K194" s="2"/>
      <c r="L194" s="2"/>
      <c r="M194" s="2"/>
      <c r="N194" s="2"/>
      <c r="O194" s="2"/>
      <c r="P194" s="2">
        <v>7.66</v>
      </c>
      <c r="Q194" s="2"/>
      <c r="R194" s="2"/>
      <c r="S194" s="2">
        <v>4.9400000000000004</v>
      </c>
      <c r="T194" s="2"/>
      <c r="U194" s="2">
        <v>2.17</v>
      </c>
      <c r="V194" s="2">
        <v>9.61</v>
      </c>
      <c r="W194" s="2">
        <f t="shared" si="9"/>
        <v>26.479999999999997</v>
      </c>
      <c r="X194" s="2"/>
      <c r="Y194" s="2">
        <f>(W194-X197)/X197*100</f>
        <v>-12.428070639592574</v>
      </c>
      <c r="Z194" s="2"/>
      <c r="AA194" s="2"/>
      <c r="AB194" s="2">
        <v>27.2</v>
      </c>
      <c r="AC194" s="2">
        <v>18.45</v>
      </c>
      <c r="AD194" s="2"/>
      <c r="AE194" s="2"/>
      <c r="AF194" s="2"/>
      <c r="AG194" s="2">
        <v>8.84</v>
      </c>
      <c r="AH194" s="2"/>
      <c r="AJ194" s="56"/>
    </row>
    <row r="195" spans="1:36">
      <c r="A195" s="2"/>
      <c r="B195" s="2"/>
      <c r="C195" s="2"/>
      <c r="D195" s="2">
        <v>3</v>
      </c>
      <c r="E195" s="2"/>
      <c r="F195" s="2"/>
      <c r="G195" s="2">
        <v>1.81</v>
      </c>
      <c r="H195" s="2"/>
      <c r="I195" s="2">
        <v>0.5</v>
      </c>
      <c r="J195" s="2"/>
      <c r="K195" s="2"/>
      <c r="L195" s="2"/>
      <c r="M195" s="2"/>
      <c r="N195" s="2"/>
      <c r="O195" s="2"/>
      <c r="P195" s="2">
        <v>14.21</v>
      </c>
      <c r="Q195" s="2"/>
      <c r="R195" s="2"/>
      <c r="S195" s="2">
        <v>3.69</v>
      </c>
      <c r="T195" s="2"/>
      <c r="U195" s="2">
        <v>1.23</v>
      </c>
      <c r="V195" s="2">
        <v>6.02</v>
      </c>
      <c r="W195" s="2">
        <f t="shared" si="9"/>
        <v>27.46</v>
      </c>
      <c r="X195" s="2"/>
      <c r="Y195" s="2">
        <f>(W195-X197)/X197*100</f>
        <v>-9.1871155499702315</v>
      </c>
      <c r="Z195" s="2"/>
      <c r="AA195" s="2"/>
      <c r="AB195" s="2">
        <v>31</v>
      </c>
      <c r="AC195" s="2">
        <v>24.14</v>
      </c>
      <c r="AD195" s="2"/>
      <c r="AE195" s="2"/>
      <c r="AF195" s="2"/>
      <c r="AG195" s="2">
        <v>8.4</v>
      </c>
      <c r="AH195" s="2"/>
      <c r="AJ195" s="56"/>
    </row>
    <row r="196" spans="1:36">
      <c r="A196" s="2"/>
      <c r="B196" s="2"/>
      <c r="C196" s="2"/>
      <c r="D196" s="2">
        <v>4</v>
      </c>
      <c r="E196" s="2"/>
      <c r="F196" s="2">
        <v>0.21</v>
      </c>
      <c r="G196" s="2">
        <v>4.0999999999999996</v>
      </c>
      <c r="H196" s="2"/>
      <c r="I196" s="2">
        <v>1.76</v>
      </c>
      <c r="J196" s="2"/>
      <c r="K196" s="2"/>
      <c r="L196" s="2">
        <v>0.02</v>
      </c>
      <c r="M196" s="2"/>
      <c r="N196" s="2"/>
      <c r="O196" s="2"/>
      <c r="P196" s="2">
        <v>16.63</v>
      </c>
      <c r="Q196" s="2">
        <v>0.14000000000000001</v>
      </c>
      <c r="R196" s="2"/>
      <c r="S196" s="2">
        <v>2.52</v>
      </c>
      <c r="T196" s="2"/>
      <c r="U196" s="2">
        <v>3.52</v>
      </c>
      <c r="V196" s="2">
        <v>5.9</v>
      </c>
      <c r="W196" s="2">
        <f t="shared" si="9"/>
        <v>34.799999999999997</v>
      </c>
      <c r="X196" s="2"/>
      <c r="Y196" s="2">
        <f>(W196-X197)/X197*100</f>
        <v>15.086976651894959</v>
      </c>
      <c r="Z196" s="2"/>
      <c r="AA196" s="2"/>
      <c r="AB196" s="2">
        <v>38.1</v>
      </c>
      <c r="AC196" s="2">
        <v>23.18</v>
      </c>
      <c r="AD196" s="2"/>
      <c r="AE196" s="2"/>
      <c r="AF196" s="2"/>
      <c r="AG196" s="2">
        <v>4.4000000000000004</v>
      </c>
      <c r="AH196" s="2"/>
      <c r="AJ196" s="56"/>
    </row>
    <row r="197" spans="1:36">
      <c r="A197" s="2"/>
      <c r="B197" s="2"/>
      <c r="C197" s="2"/>
      <c r="D197" s="2">
        <v>5</v>
      </c>
      <c r="E197" s="2"/>
      <c r="F197" s="2"/>
      <c r="G197" s="2">
        <v>1.44</v>
      </c>
      <c r="H197" s="2"/>
      <c r="I197" s="2">
        <v>0.19</v>
      </c>
      <c r="J197" s="2"/>
      <c r="K197" s="2"/>
      <c r="L197" s="2">
        <v>0.05</v>
      </c>
      <c r="M197" s="2"/>
      <c r="N197" s="2"/>
      <c r="O197" s="2"/>
      <c r="P197" s="2">
        <v>12.1</v>
      </c>
      <c r="Q197" s="2">
        <v>0.12</v>
      </c>
      <c r="R197" s="2"/>
      <c r="S197" s="2">
        <v>4.3099999999999996</v>
      </c>
      <c r="T197" s="2">
        <v>0.75</v>
      </c>
      <c r="U197" s="2">
        <v>2.73</v>
      </c>
      <c r="V197" s="2">
        <v>3.31</v>
      </c>
      <c r="W197" s="2">
        <f t="shared" si="9"/>
        <v>24.999999999999996</v>
      </c>
      <c r="X197" s="2">
        <f>AVERAGE(W193:W197)</f>
        <v>30.238</v>
      </c>
      <c r="Y197" s="2">
        <f>(W197-X197)/X197*100</f>
        <v>-17.32257424432834</v>
      </c>
      <c r="Z197" s="2">
        <f>STDEV(W193:W197)</f>
        <v>5.5249723981210952</v>
      </c>
      <c r="AA197" s="2"/>
      <c r="AB197" s="2">
        <v>34.299999999999997</v>
      </c>
      <c r="AC197" s="2">
        <v>23.26</v>
      </c>
      <c r="AD197" s="2">
        <f>AVERAGE(AC193:AC197)</f>
        <v>20.402000000000001</v>
      </c>
      <c r="AE197" s="2"/>
      <c r="AF197" s="2"/>
      <c r="AG197" s="2">
        <v>5.86</v>
      </c>
      <c r="AH197" s="2">
        <f>AVERAGE(AG193:AG197)</f>
        <v>6.1659999999999995</v>
      </c>
      <c r="AJ197" s="56"/>
    </row>
    <row r="198" spans="1:36">
      <c r="A198" s="2"/>
      <c r="B198" s="2"/>
      <c r="C198" s="2">
        <v>4</v>
      </c>
      <c r="D198" s="2">
        <v>1</v>
      </c>
      <c r="E198" s="2"/>
      <c r="F198" s="2"/>
      <c r="G198" s="2">
        <v>0.19</v>
      </c>
      <c r="H198" s="2"/>
      <c r="I198" s="2">
        <v>0.73</v>
      </c>
      <c r="J198" s="2"/>
      <c r="K198" s="2"/>
      <c r="L198" s="2">
        <v>0.34</v>
      </c>
      <c r="M198" s="2">
        <v>0.39</v>
      </c>
      <c r="N198" s="2"/>
      <c r="O198" s="2"/>
      <c r="P198" s="2">
        <v>4.51</v>
      </c>
      <c r="Q198" s="2">
        <v>0.83</v>
      </c>
      <c r="R198" s="2"/>
      <c r="S198" s="2">
        <v>10.1</v>
      </c>
      <c r="T198" s="2"/>
      <c r="U198" s="2">
        <v>3.07</v>
      </c>
      <c r="V198" s="2">
        <v>12.61</v>
      </c>
      <c r="W198" s="2">
        <f t="shared" si="9"/>
        <v>32.769999999999996</v>
      </c>
      <c r="X198" s="2"/>
      <c r="Y198" s="2">
        <f>(W198-X202)/X202*100</f>
        <v>-10.503604981428911</v>
      </c>
      <c r="Z198" s="2"/>
      <c r="AA198" s="2"/>
      <c r="AB198" s="2">
        <v>27.7</v>
      </c>
      <c r="AC198" s="2">
        <v>9.5399999999999991</v>
      </c>
      <c r="AD198" s="2"/>
      <c r="AE198" s="2"/>
      <c r="AF198" s="2"/>
      <c r="AG198" s="2">
        <v>4.01</v>
      </c>
      <c r="AH198" s="2"/>
      <c r="AJ198" s="56"/>
    </row>
    <row r="199" spans="1:36">
      <c r="A199" s="2"/>
      <c r="B199" s="2"/>
      <c r="C199" s="2"/>
      <c r="D199" s="2">
        <v>2</v>
      </c>
      <c r="E199" s="2">
        <v>0.11</v>
      </c>
      <c r="F199" s="2"/>
      <c r="G199" s="2"/>
      <c r="H199" s="2"/>
      <c r="I199" s="2">
        <v>1.43</v>
      </c>
      <c r="J199" s="2"/>
      <c r="K199" s="2"/>
      <c r="L199" s="2">
        <v>0.61</v>
      </c>
      <c r="M199" s="2"/>
      <c r="N199" s="2"/>
      <c r="O199" s="2"/>
      <c r="P199" s="2">
        <v>4.2</v>
      </c>
      <c r="Q199" s="2">
        <v>0.04</v>
      </c>
      <c r="R199" s="2"/>
      <c r="S199" s="2">
        <v>3.82</v>
      </c>
      <c r="T199" s="2">
        <v>0.19</v>
      </c>
      <c r="U199" s="2">
        <v>4.78</v>
      </c>
      <c r="V199" s="2">
        <v>12.06</v>
      </c>
      <c r="W199" s="2">
        <f t="shared" si="9"/>
        <v>27.240000000000002</v>
      </c>
      <c r="X199" s="2"/>
      <c r="Y199" s="2">
        <f>(W199-X202)/X202*100</f>
        <v>-25.606292331221329</v>
      </c>
      <c r="Z199" s="2"/>
      <c r="AA199" s="2"/>
      <c r="AB199" s="2">
        <v>20.2</v>
      </c>
      <c r="AC199" s="2">
        <v>14.69</v>
      </c>
      <c r="AD199" s="2"/>
      <c r="AE199" s="2"/>
      <c r="AF199" s="2"/>
      <c r="AG199" s="2">
        <v>4.45</v>
      </c>
      <c r="AH199" s="2"/>
      <c r="AJ199" s="56"/>
    </row>
    <row r="200" spans="1:36">
      <c r="A200" s="2"/>
      <c r="B200" s="2"/>
      <c r="C200" s="2"/>
      <c r="D200" s="2">
        <v>3</v>
      </c>
      <c r="E200" s="2">
        <v>0.08</v>
      </c>
      <c r="F200" s="2">
        <v>1.19</v>
      </c>
      <c r="G200" s="2">
        <v>1.39</v>
      </c>
      <c r="H200" s="2"/>
      <c r="I200" s="2">
        <v>4.37</v>
      </c>
      <c r="J200" s="2"/>
      <c r="K200" s="2"/>
      <c r="L200" s="2"/>
      <c r="M200" s="2"/>
      <c r="N200" s="2"/>
      <c r="O200" s="2"/>
      <c r="P200" s="2">
        <v>6.32</v>
      </c>
      <c r="Q200" s="2">
        <v>0.37</v>
      </c>
      <c r="R200" s="2"/>
      <c r="S200" s="2">
        <v>12.1</v>
      </c>
      <c r="T200" s="2"/>
      <c r="U200" s="2">
        <v>6.63</v>
      </c>
      <c r="V200" s="2">
        <v>13.69</v>
      </c>
      <c r="W200" s="2">
        <f t="shared" si="9"/>
        <v>46.14</v>
      </c>
      <c r="X200" s="2"/>
      <c r="Y200" s="2">
        <f>(W200-X202)/X202*100</f>
        <v>26.010487218702181</v>
      </c>
      <c r="Z200" s="2"/>
      <c r="AA200" s="2"/>
      <c r="AB200" s="2">
        <v>19.8</v>
      </c>
      <c r="AC200" s="2">
        <v>10.08</v>
      </c>
      <c r="AD200" s="2"/>
      <c r="AE200" s="2"/>
      <c r="AF200" s="2"/>
      <c r="AG200" s="2">
        <v>3.34</v>
      </c>
      <c r="AH200" s="2"/>
      <c r="AJ200" s="56"/>
    </row>
    <row r="201" spans="1:36">
      <c r="A201" s="2"/>
      <c r="B201" s="2"/>
      <c r="C201" s="2"/>
      <c r="D201" s="2">
        <v>4</v>
      </c>
      <c r="E201" s="2">
        <v>0.05</v>
      </c>
      <c r="F201" s="2">
        <v>1.93</v>
      </c>
      <c r="G201" s="2">
        <v>1.32</v>
      </c>
      <c r="H201" s="2"/>
      <c r="I201" s="2">
        <v>3.2</v>
      </c>
      <c r="J201" s="2"/>
      <c r="K201" s="2"/>
      <c r="L201" s="2"/>
      <c r="M201" s="2"/>
      <c r="N201" s="2"/>
      <c r="O201" s="2"/>
      <c r="P201" s="2">
        <v>7.39</v>
      </c>
      <c r="Q201" s="2"/>
      <c r="R201" s="2"/>
      <c r="S201" s="2">
        <v>2.56</v>
      </c>
      <c r="T201" s="2"/>
      <c r="U201" s="2">
        <v>5.21</v>
      </c>
      <c r="V201" s="2">
        <v>8.48</v>
      </c>
      <c r="W201" s="2">
        <f t="shared" si="9"/>
        <v>30.14</v>
      </c>
      <c r="X201" s="2"/>
      <c r="Y201" s="2">
        <f>(W201-X202)/X202*100</f>
        <v>-17.686257373825665</v>
      </c>
      <c r="Z201" s="2"/>
      <c r="AA201" s="2"/>
      <c r="AB201" s="2">
        <v>17.7</v>
      </c>
      <c r="AC201" s="2">
        <v>13.65</v>
      </c>
      <c r="AD201" s="2"/>
      <c r="AE201" s="2"/>
      <c r="AF201" s="2"/>
      <c r="AG201" s="2">
        <v>5.12</v>
      </c>
      <c r="AH201" s="2"/>
      <c r="AJ201" s="56"/>
    </row>
    <row r="202" spans="1:36">
      <c r="A202" s="2"/>
      <c r="B202" s="2"/>
      <c r="C202" s="2"/>
      <c r="D202" s="2">
        <v>5</v>
      </c>
      <c r="E202" s="2"/>
      <c r="F202" s="2">
        <v>0.43</v>
      </c>
      <c r="G202" s="2">
        <v>1.0900000000000001</v>
      </c>
      <c r="H202" s="2"/>
      <c r="I202" s="2">
        <v>1.62</v>
      </c>
      <c r="J202" s="2"/>
      <c r="K202" s="2"/>
      <c r="L202" s="2">
        <v>0.27</v>
      </c>
      <c r="M202" s="2"/>
      <c r="N202" s="2"/>
      <c r="O202" s="2"/>
      <c r="P202" s="2">
        <v>12.89</v>
      </c>
      <c r="Q202" s="2">
        <v>1.26</v>
      </c>
      <c r="R202" s="2"/>
      <c r="S202" s="2">
        <v>7.57</v>
      </c>
      <c r="T202" s="2">
        <v>0.18</v>
      </c>
      <c r="U202" s="2">
        <v>8.1300000000000008</v>
      </c>
      <c r="V202" s="2">
        <v>13.35</v>
      </c>
      <c r="W202" s="2">
        <f t="shared" si="9"/>
        <v>46.790000000000006</v>
      </c>
      <c r="X202" s="2">
        <f>AVERAGE(W198:W202)</f>
        <v>36.616000000000007</v>
      </c>
      <c r="Y202" s="2">
        <f>(W202-X202)/X202*100</f>
        <v>27.785667467773646</v>
      </c>
      <c r="Z202" s="2">
        <f>STDEV(W198:W202)</f>
        <v>9.2040279225999537</v>
      </c>
      <c r="AA202" s="2"/>
      <c r="AB202" s="2">
        <v>23.4</v>
      </c>
      <c r="AC202" s="2">
        <v>13.25</v>
      </c>
      <c r="AD202" s="2">
        <f>AVERAGE(AC198:AC202)</f>
        <v>12.241999999999999</v>
      </c>
      <c r="AE202" s="2"/>
      <c r="AF202" s="2"/>
      <c r="AG202" s="2">
        <v>4.8099999999999996</v>
      </c>
      <c r="AH202" s="2">
        <f>AVERAGE(AG198:AG202)</f>
        <v>4.3460000000000001</v>
      </c>
      <c r="AJ202" s="56"/>
    </row>
    <row r="203" spans="1:36">
      <c r="A203" s="2" t="s">
        <v>112</v>
      </c>
      <c r="B203" s="2" t="s">
        <v>133</v>
      </c>
      <c r="C203" s="2">
        <v>1</v>
      </c>
      <c r="D203" s="2">
        <v>1</v>
      </c>
      <c r="E203" s="2"/>
      <c r="F203" s="2"/>
      <c r="G203" s="2"/>
      <c r="H203" s="2"/>
      <c r="I203" s="2">
        <v>1.76</v>
      </c>
      <c r="J203" s="2"/>
      <c r="K203" s="2"/>
      <c r="L203" s="2"/>
      <c r="M203" s="2"/>
      <c r="N203" s="2"/>
      <c r="O203" s="2"/>
      <c r="P203" s="2">
        <v>32.020000000000003</v>
      </c>
      <c r="Q203" s="2">
        <v>0.12</v>
      </c>
      <c r="R203" s="2"/>
      <c r="S203" s="2">
        <v>2.6</v>
      </c>
      <c r="T203" s="2"/>
      <c r="U203" s="2">
        <v>0.2</v>
      </c>
      <c r="V203" s="2">
        <v>5.67</v>
      </c>
      <c r="W203" s="2">
        <f t="shared" si="9"/>
        <v>42.370000000000005</v>
      </c>
      <c r="X203" s="2"/>
      <c r="Y203" s="2">
        <f>(W203-X207)/X207*100</f>
        <v>30.828135614154267</v>
      </c>
      <c r="Z203" s="2"/>
      <c r="AA203" s="2"/>
      <c r="AB203" s="2">
        <v>11.2</v>
      </c>
      <c r="AC203" s="2">
        <v>9.19</v>
      </c>
      <c r="AD203" s="2"/>
      <c r="AE203" s="2"/>
      <c r="AF203" s="2"/>
      <c r="AG203" s="2">
        <v>3.83</v>
      </c>
      <c r="AH203" s="2"/>
      <c r="AJ203" s="56"/>
    </row>
    <row r="204" spans="1:36">
      <c r="A204" s="2"/>
      <c r="B204" s="2"/>
      <c r="C204" s="2"/>
      <c r="D204" s="2">
        <v>2</v>
      </c>
      <c r="E204" s="2"/>
      <c r="F204" s="2"/>
      <c r="G204" s="2"/>
      <c r="H204" s="2"/>
      <c r="I204" s="2">
        <v>0.93</v>
      </c>
      <c r="J204" s="2"/>
      <c r="K204" s="2"/>
      <c r="L204" s="2"/>
      <c r="M204" s="2"/>
      <c r="N204" s="2"/>
      <c r="O204" s="2"/>
      <c r="P204" s="2">
        <v>14.85</v>
      </c>
      <c r="Q204" s="2">
        <v>0.19</v>
      </c>
      <c r="R204" s="2"/>
      <c r="S204" s="2">
        <v>1.9</v>
      </c>
      <c r="T204" s="2"/>
      <c r="U204" s="2"/>
      <c r="V204" s="2">
        <v>1.28</v>
      </c>
      <c r="W204" s="2">
        <f t="shared" si="9"/>
        <v>19.149999999999999</v>
      </c>
      <c r="X204" s="2"/>
      <c r="Y204" s="2">
        <f>(W204-X207)/X207*100</f>
        <v>-40.869511517322309</v>
      </c>
      <c r="Z204" s="2"/>
      <c r="AA204" s="2"/>
      <c r="AB204" s="2">
        <v>37</v>
      </c>
      <c r="AC204" s="59">
        <v>18.77</v>
      </c>
      <c r="AD204" s="2"/>
      <c r="AE204" s="2"/>
      <c r="AF204" s="2"/>
      <c r="AG204" s="2">
        <v>1.23</v>
      </c>
      <c r="AH204" s="2"/>
      <c r="AJ204" s="56"/>
    </row>
    <row r="205" spans="1:36">
      <c r="A205" s="2"/>
      <c r="B205" s="2"/>
      <c r="C205" s="2"/>
      <c r="D205" s="2">
        <v>3</v>
      </c>
      <c r="E205" s="2"/>
      <c r="F205" s="2"/>
      <c r="G205" s="2"/>
      <c r="H205" s="2"/>
      <c r="I205" s="2">
        <v>1.89</v>
      </c>
      <c r="J205" s="2"/>
      <c r="K205" s="2"/>
      <c r="L205" s="2"/>
      <c r="M205" s="2"/>
      <c r="N205" s="2"/>
      <c r="O205" s="2"/>
      <c r="P205" s="2">
        <v>35.229999999999997</v>
      </c>
      <c r="Q205" s="2"/>
      <c r="R205" s="2"/>
      <c r="S205" s="2">
        <v>2.3199999999999998</v>
      </c>
      <c r="T205" s="2"/>
      <c r="U205" s="2">
        <v>0.76</v>
      </c>
      <c r="V205" s="2">
        <v>2.81</v>
      </c>
      <c r="W205" s="2">
        <f t="shared" si="9"/>
        <v>43.01</v>
      </c>
      <c r="X205" s="2"/>
      <c r="Y205" s="2">
        <f>(W205-X207)/X207*100</f>
        <v>32.804298153523106</v>
      </c>
      <c r="Z205" s="2"/>
      <c r="AA205" s="2"/>
      <c r="AB205" s="2">
        <v>13.1</v>
      </c>
      <c r="AC205" s="2">
        <v>7.36</v>
      </c>
      <c r="AD205" s="2"/>
      <c r="AE205" s="2"/>
      <c r="AF205" s="2"/>
      <c r="AG205" s="2">
        <v>2.25</v>
      </c>
      <c r="AH205" s="2"/>
      <c r="AJ205" s="56"/>
    </row>
    <row r="206" spans="1:36">
      <c r="A206" s="2"/>
      <c r="B206" s="2"/>
      <c r="C206" s="2"/>
      <c r="D206" s="2">
        <v>4</v>
      </c>
      <c r="E206" s="2"/>
      <c r="F206" s="2"/>
      <c r="G206" s="2"/>
      <c r="H206" s="2"/>
      <c r="I206" s="2">
        <v>1.1599999999999999</v>
      </c>
      <c r="J206" s="2"/>
      <c r="K206" s="2"/>
      <c r="L206" s="2"/>
      <c r="M206" s="2"/>
      <c r="N206" s="2"/>
      <c r="O206" s="2"/>
      <c r="P206" s="2">
        <v>19.03</v>
      </c>
      <c r="Q206" s="2">
        <v>1.25</v>
      </c>
      <c r="R206" s="2"/>
      <c r="S206" s="2">
        <v>1.73</v>
      </c>
      <c r="T206" s="2"/>
      <c r="U206" s="2">
        <v>2.62</v>
      </c>
      <c r="V206" s="2">
        <v>8.16</v>
      </c>
      <c r="W206" s="2">
        <f t="shared" si="9"/>
        <v>33.950000000000003</v>
      </c>
      <c r="X206" s="2"/>
      <c r="Y206" s="2">
        <f>(W206-X207)/X207*100</f>
        <v>4.829247205582659</v>
      </c>
      <c r="Z206" s="2"/>
      <c r="AA206" s="2"/>
      <c r="AB206" s="2">
        <v>25.8</v>
      </c>
      <c r="AC206" s="2">
        <v>13.13</v>
      </c>
      <c r="AD206" s="2"/>
      <c r="AE206" s="2"/>
      <c r="AF206" s="2"/>
      <c r="AG206" s="2">
        <v>2.25</v>
      </c>
      <c r="AH206" s="2"/>
      <c r="AJ206" s="56"/>
    </row>
    <row r="207" spans="1:36">
      <c r="A207" s="2"/>
      <c r="B207" s="2"/>
      <c r="C207" s="2"/>
      <c r="D207" s="2">
        <v>5</v>
      </c>
      <c r="E207" s="2"/>
      <c r="F207" s="2"/>
      <c r="G207" s="2"/>
      <c r="H207" s="2"/>
      <c r="I207" s="2">
        <v>3.2</v>
      </c>
      <c r="J207" s="2"/>
      <c r="K207" s="2"/>
      <c r="L207" s="2"/>
      <c r="M207" s="2"/>
      <c r="N207" s="2"/>
      <c r="O207" s="2"/>
      <c r="P207" s="2">
        <v>13.37</v>
      </c>
      <c r="Q207" s="2"/>
      <c r="R207" s="2"/>
      <c r="S207" s="2">
        <v>3.64</v>
      </c>
      <c r="T207" s="2"/>
      <c r="U207" s="2"/>
      <c r="V207" s="2">
        <v>3.24</v>
      </c>
      <c r="W207" s="2">
        <f t="shared" si="9"/>
        <v>23.450000000000003</v>
      </c>
      <c r="X207" s="2">
        <f>AVERAGE(W203:W207)</f>
        <v>32.386000000000003</v>
      </c>
      <c r="Y207" s="2">
        <f>(W207-X207)/X207*100</f>
        <v>-27.59216945593775</v>
      </c>
      <c r="Z207" s="2">
        <f>STDEV(W203:W207)</f>
        <v>10.840197415176526</v>
      </c>
      <c r="AA207" s="2"/>
      <c r="AB207" s="2">
        <v>25.4</v>
      </c>
      <c r="AC207" s="2">
        <v>18.600000000000001</v>
      </c>
      <c r="AD207" s="2">
        <f>AVERAGE(AC203:AC207)</f>
        <v>13.410000000000002</v>
      </c>
      <c r="AE207" s="2"/>
      <c r="AF207" s="2"/>
      <c r="AG207" s="2">
        <v>5.09</v>
      </c>
      <c r="AH207" s="2">
        <f>AVERAGE(AG203:AG207)</f>
        <v>2.93</v>
      </c>
      <c r="AJ207" s="56"/>
    </row>
    <row r="208" spans="1:36">
      <c r="A208" s="2"/>
      <c r="B208" s="2"/>
      <c r="C208" s="2">
        <v>2</v>
      </c>
      <c r="D208" s="2">
        <v>1</v>
      </c>
      <c r="E208" s="2"/>
      <c r="F208" s="2"/>
      <c r="G208" s="2"/>
      <c r="H208" s="2"/>
      <c r="I208" s="2">
        <v>0.67</v>
      </c>
      <c r="J208" s="2"/>
      <c r="K208" s="2"/>
      <c r="L208" s="2"/>
      <c r="M208" s="2"/>
      <c r="N208" s="2"/>
      <c r="O208" s="2"/>
      <c r="P208" s="2">
        <v>36</v>
      </c>
      <c r="Q208" s="2"/>
      <c r="R208" s="2"/>
      <c r="S208" s="2">
        <v>3.36</v>
      </c>
      <c r="T208" s="2"/>
      <c r="U208" s="2"/>
      <c r="V208" s="2">
        <v>2.39</v>
      </c>
      <c r="W208" s="2">
        <f t="shared" si="9"/>
        <v>42.42</v>
      </c>
      <c r="X208" s="2"/>
      <c r="Y208" s="2">
        <f>(W208-X212)/X212*100</f>
        <v>-7.242193649960635</v>
      </c>
      <c r="Z208" s="2"/>
      <c r="AA208" s="2"/>
      <c r="AB208" s="4">
        <f>AVERAGE(AB210:AB212)</f>
        <v>25.366666666666664</v>
      </c>
      <c r="AC208" s="4">
        <f>AVERAGEA(AC211:AC212)</f>
        <v>3.27</v>
      </c>
      <c r="AD208" s="2"/>
      <c r="AE208" s="2"/>
      <c r="AF208" s="2"/>
      <c r="AG208" s="2">
        <v>3.61</v>
      </c>
      <c r="AH208" s="2"/>
      <c r="AJ208" s="56"/>
    </row>
    <row r="209" spans="1:36">
      <c r="A209" s="2"/>
      <c r="B209" s="2"/>
      <c r="C209" s="2"/>
      <c r="D209" s="2">
        <v>2</v>
      </c>
      <c r="E209" s="2"/>
      <c r="F209" s="2"/>
      <c r="G209" s="2"/>
      <c r="H209" s="2"/>
      <c r="I209" s="2">
        <v>1.2</v>
      </c>
      <c r="J209" s="2"/>
      <c r="K209" s="2"/>
      <c r="L209" s="2"/>
      <c r="M209" s="2"/>
      <c r="N209" s="2"/>
      <c r="O209" s="2"/>
      <c r="P209" s="2">
        <v>37.770000000000003</v>
      </c>
      <c r="Q209" s="2">
        <v>0.39</v>
      </c>
      <c r="R209" s="2"/>
      <c r="S209" s="2">
        <v>1.35</v>
      </c>
      <c r="T209" s="2">
        <v>1.05</v>
      </c>
      <c r="U209" s="2"/>
      <c r="V209" s="2">
        <v>1.89</v>
      </c>
      <c r="W209" s="2">
        <f t="shared" si="9"/>
        <v>43.650000000000006</v>
      </c>
      <c r="X209" s="2"/>
      <c r="Y209" s="2">
        <f>(W209-X212)/X212*100</f>
        <v>-4.5526108632904609</v>
      </c>
      <c r="Z209" s="2"/>
      <c r="AA209" s="2"/>
      <c r="AB209" s="4">
        <f>AVERAGE(AB210:AB212)</f>
        <v>25.366666666666664</v>
      </c>
      <c r="AC209" s="4">
        <f>AVERAGEA(AC211:AC212)</f>
        <v>3.27</v>
      </c>
      <c r="AD209" s="2"/>
      <c r="AE209" s="2"/>
      <c r="AF209" s="2"/>
      <c r="AG209" s="2">
        <v>3.18</v>
      </c>
      <c r="AH209" s="2"/>
      <c r="AJ209" s="56"/>
    </row>
    <row r="210" spans="1:36">
      <c r="A210" s="2"/>
      <c r="B210" s="2"/>
      <c r="C210" s="2"/>
      <c r="D210" s="2">
        <v>3</v>
      </c>
      <c r="E210" s="2"/>
      <c r="F210" s="2"/>
      <c r="G210" s="2"/>
      <c r="H210" s="2"/>
      <c r="I210" s="2">
        <v>0.82</v>
      </c>
      <c r="J210" s="2"/>
      <c r="K210" s="2"/>
      <c r="L210" s="2"/>
      <c r="M210" s="2"/>
      <c r="N210" s="2"/>
      <c r="O210" s="2"/>
      <c r="P210" s="2">
        <v>51.44</v>
      </c>
      <c r="Q210" s="2"/>
      <c r="R210" s="2"/>
      <c r="S210" s="2">
        <v>0.36</v>
      </c>
      <c r="T210" s="2"/>
      <c r="U210" s="2"/>
      <c r="V210" s="2">
        <v>1.53</v>
      </c>
      <c r="W210" s="2">
        <f t="shared" si="9"/>
        <v>54.15</v>
      </c>
      <c r="X210" s="2"/>
      <c r="Y210" s="2">
        <f>(W210-X212)/X212*100</f>
        <v>18.40724219364996</v>
      </c>
      <c r="Z210" s="2"/>
      <c r="AA210" s="2"/>
      <c r="AB210" s="2">
        <v>11.8</v>
      </c>
      <c r="AC210" s="4">
        <f>AVERAGEA(AC211:AC212)</f>
        <v>3.27</v>
      </c>
      <c r="AD210" s="2"/>
      <c r="AE210" s="2"/>
      <c r="AF210" s="2"/>
      <c r="AG210" s="2">
        <v>3.38</v>
      </c>
      <c r="AH210" s="2"/>
      <c r="AJ210" s="56"/>
    </row>
    <row r="211" spans="1:36">
      <c r="A211" s="2"/>
      <c r="B211" s="2"/>
      <c r="C211" s="2"/>
      <c r="D211" s="2">
        <v>4</v>
      </c>
      <c r="E211" s="2">
        <v>0.05</v>
      </c>
      <c r="F211" s="2"/>
      <c r="G211" s="2"/>
      <c r="H211" s="2"/>
      <c r="I211" s="2">
        <v>2.71</v>
      </c>
      <c r="J211" s="2"/>
      <c r="K211" s="2"/>
      <c r="L211" s="2"/>
      <c r="M211" s="2"/>
      <c r="N211" s="2"/>
      <c r="O211" s="2"/>
      <c r="P211" s="2">
        <v>38.01</v>
      </c>
      <c r="Q211" s="2">
        <v>0.35</v>
      </c>
      <c r="R211" s="2"/>
      <c r="S211" s="2">
        <v>1.18</v>
      </c>
      <c r="T211" s="2"/>
      <c r="U211" s="2">
        <v>0.25</v>
      </c>
      <c r="V211" s="2">
        <v>2.31</v>
      </c>
      <c r="W211" s="2">
        <f t="shared" si="9"/>
        <v>44.86</v>
      </c>
      <c r="X211" s="2"/>
      <c r="Y211" s="2">
        <f>(W211-X212)/X212*100</f>
        <v>-1.9067611300621006</v>
      </c>
      <c r="Z211" s="2"/>
      <c r="AA211" s="2"/>
      <c r="AB211" s="2">
        <v>41.7</v>
      </c>
      <c r="AC211" s="2">
        <v>0.06</v>
      </c>
      <c r="AD211" s="2"/>
      <c r="AE211" s="2"/>
      <c r="AF211" s="2"/>
      <c r="AG211" s="2">
        <v>4.32</v>
      </c>
      <c r="AH211" s="2"/>
      <c r="AJ211" s="56"/>
    </row>
    <row r="212" spans="1:36">
      <c r="A212" s="2"/>
      <c r="B212" s="2"/>
      <c r="C212" s="2"/>
      <c r="D212" s="2">
        <v>5</v>
      </c>
      <c r="E212" s="2"/>
      <c r="F212" s="2"/>
      <c r="G212" s="2"/>
      <c r="H212" s="2"/>
      <c r="I212" s="2">
        <v>2.92</v>
      </c>
      <c r="J212" s="2"/>
      <c r="K212" s="2"/>
      <c r="L212" s="2"/>
      <c r="M212" s="2"/>
      <c r="N212" s="2"/>
      <c r="O212" s="2"/>
      <c r="P212" s="2">
        <v>38.020000000000003</v>
      </c>
      <c r="Q212" s="2"/>
      <c r="R212" s="2"/>
      <c r="S212" s="2"/>
      <c r="T212" s="2">
        <v>0.4</v>
      </c>
      <c r="U212" s="2"/>
      <c r="V212" s="2">
        <v>2.2400000000000002</v>
      </c>
      <c r="W212" s="2">
        <f t="shared" si="9"/>
        <v>43.580000000000005</v>
      </c>
      <c r="X212" s="2">
        <f>AVERAGE(W208:W212)</f>
        <v>45.731999999999999</v>
      </c>
      <c r="Y212" s="2">
        <f>(W212-X212)/X212*100</f>
        <v>-4.7056765503367313</v>
      </c>
      <c r="Z212" s="2">
        <f>STDEV(W208:W212)</f>
        <v>4.7843045471625221</v>
      </c>
      <c r="AA212" s="2"/>
      <c r="AB212" s="2">
        <v>22.6</v>
      </c>
      <c r="AC212" s="2">
        <v>6.48</v>
      </c>
      <c r="AD212" s="2">
        <f>AVERAGE(AC208:AC212)</f>
        <v>3.2700000000000005</v>
      </c>
      <c r="AE212" s="2"/>
      <c r="AF212" s="2"/>
      <c r="AG212" s="2">
        <v>4.53</v>
      </c>
      <c r="AH212" s="2">
        <f>AVERAGE(AG208:AG212)</f>
        <v>3.8039999999999998</v>
      </c>
      <c r="AJ212" s="56"/>
    </row>
    <row r="213" spans="1:36">
      <c r="A213" s="2"/>
      <c r="B213" s="2"/>
      <c r="C213" s="2">
        <v>3</v>
      </c>
      <c r="D213" s="2">
        <v>1</v>
      </c>
      <c r="E213" s="2"/>
      <c r="F213" s="2"/>
      <c r="G213" s="2"/>
      <c r="H213" s="2"/>
      <c r="I213" s="2">
        <v>2.23</v>
      </c>
      <c r="J213" s="2"/>
      <c r="K213" s="2"/>
      <c r="L213" s="2"/>
      <c r="M213" s="2"/>
      <c r="N213" s="2"/>
      <c r="O213" s="2"/>
      <c r="P213" s="2">
        <v>31.42</v>
      </c>
      <c r="Q213" s="2"/>
      <c r="R213" s="2"/>
      <c r="S213" s="2">
        <v>0.56000000000000005</v>
      </c>
      <c r="T213" s="2"/>
      <c r="U213" s="2"/>
      <c r="V213" s="2">
        <v>6.48</v>
      </c>
      <c r="W213" s="2">
        <f t="shared" si="9"/>
        <v>40.69</v>
      </c>
      <c r="X213" s="2"/>
      <c r="Y213" s="2">
        <f>(W213-X217)/X217*100</f>
        <v>3.9229708331204836</v>
      </c>
      <c r="Z213" s="2"/>
      <c r="AA213" s="2"/>
      <c r="AB213" s="2">
        <v>20.5</v>
      </c>
      <c r="AC213" s="2">
        <v>17.28</v>
      </c>
      <c r="AD213" s="2"/>
      <c r="AE213" s="2"/>
      <c r="AF213" s="2"/>
      <c r="AG213" s="2">
        <v>5.0999999999999996</v>
      </c>
      <c r="AH213" s="2"/>
      <c r="AJ213" s="56"/>
    </row>
    <row r="214" spans="1:36">
      <c r="A214" s="2"/>
      <c r="B214" s="2"/>
      <c r="C214" s="2"/>
      <c r="D214" s="2">
        <v>2</v>
      </c>
      <c r="E214" s="2"/>
      <c r="F214" s="2"/>
      <c r="G214" s="2"/>
      <c r="H214" s="2"/>
      <c r="I214" s="2">
        <v>0.38</v>
      </c>
      <c r="J214" s="2"/>
      <c r="K214" s="2"/>
      <c r="L214" s="2"/>
      <c r="M214" s="2"/>
      <c r="N214" s="2"/>
      <c r="O214" s="2"/>
      <c r="P214" s="2">
        <v>18.87</v>
      </c>
      <c r="Q214" s="2">
        <v>0.21</v>
      </c>
      <c r="R214" s="2"/>
      <c r="S214" s="2">
        <v>4.05</v>
      </c>
      <c r="T214" s="2"/>
      <c r="U214" s="2"/>
      <c r="V214" s="2">
        <v>11.46</v>
      </c>
      <c r="W214" s="2">
        <f t="shared" si="9"/>
        <v>34.97</v>
      </c>
      <c r="X214" s="2"/>
      <c r="Y214" s="2">
        <f>(W214-X217)/X217*100</f>
        <v>-10.686009092302202</v>
      </c>
      <c r="Z214" s="2"/>
      <c r="AA214" s="2"/>
      <c r="AB214" s="2">
        <v>17.2</v>
      </c>
      <c r="AC214" s="2">
        <v>11.44</v>
      </c>
      <c r="AD214" s="2"/>
      <c r="AE214" s="2"/>
      <c r="AF214" s="2"/>
      <c r="AG214" s="2">
        <v>4.33</v>
      </c>
      <c r="AH214" s="2"/>
      <c r="AJ214" s="56"/>
    </row>
    <row r="215" spans="1:36">
      <c r="A215" s="2"/>
      <c r="B215" s="2"/>
      <c r="C215" s="2"/>
      <c r="D215" s="2">
        <v>3</v>
      </c>
      <c r="E215" s="2">
        <v>0.05</v>
      </c>
      <c r="F215" s="2"/>
      <c r="G215" s="2"/>
      <c r="H215" s="2"/>
      <c r="I215" s="2">
        <v>1.18</v>
      </c>
      <c r="J215" s="2"/>
      <c r="K215" s="2">
        <v>0.32</v>
      </c>
      <c r="L215" s="2"/>
      <c r="M215" s="2">
        <v>0.24</v>
      </c>
      <c r="N215" s="2"/>
      <c r="O215" s="2"/>
      <c r="P215" s="2">
        <v>31.74</v>
      </c>
      <c r="Q215" s="2">
        <v>0.34</v>
      </c>
      <c r="R215" s="2"/>
      <c r="S215" s="2">
        <v>0.9</v>
      </c>
      <c r="T215" s="2"/>
      <c r="U215" s="2">
        <v>1.02</v>
      </c>
      <c r="V215" s="2">
        <v>3.41</v>
      </c>
      <c r="W215" s="2">
        <f t="shared" si="9"/>
        <v>39.200000000000003</v>
      </c>
      <c r="X215" s="2"/>
      <c r="Y215" s="2">
        <f>(W215-X217)/X217*100</f>
        <v>0.117484803596055</v>
      </c>
      <c r="Z215" s="2"/>
      <c r="AA215" s="2"/>
      <c r="AB215" s="2">
        <v>15.9</v>
      </c>
      <c r="AC215" s="2">
        <v>8.99</v>
      </c>
      <c r="AD215" s="2"/>
      <c r="AE215" s="2"/>
      <c r="AF215" s="2"/>
      <c r="AG215" s="2">
        <v>3.09</v>
      </c>
      <c r="AH215" s="2"/>
      <c r="AJ215" s="56"/>
    </row>
    <row r="216" spans="1:36">
      <c r="A216" s="2"/>
      <c r="B216" s="2"/>
      <c r="C216" s="2"/>
      <c r="D216" s="2">
        <v>4</v>
      </c>
      <c r="E216" s="2"/>
      <c r="F216" s="2"/>
      <c r="G216" s="2"/>
      <c r="H216" s="2"/>
      <c r="I216" s="2">
        <v>1.44</v>
      </c>
      <c r="J216" s="2"/>
      <c r="K216" s="2"/>
      <c r="L216" s="2"/>
      <c r="M216" s="2"/>
      <c r="N216" s="2"/>
      <c r="O216" s="2"/>
      <c r="P216" s="2">
        <v>31.46</v>
      </c>
      <c r="Q216" s="2">
        <v>1.72</v>
      </c>
      <c r="R216" s="2"/>
      <c r="S216" s="2">
        <v>1.27</v>
      </c>
      <c r="T216" s="2">
        <v>0.54</v>
      </c>
      <c r="U216" s="2">
        <v>0.91</v>
      </c>
      <c r="V216" s="2">
        <v>1.73</v>
      </c>
      <c r="W216" s="2">
        <f t="shared" si="9"/>
        <v>39.069999999999993</v>
      </c>
      <c r="X216" s="2"/>
      <c r="Y216" s="2">
        <f>(W216-X217)/X217*100</f>
        <v>-0.21453746743630353</v>
      </c>
      <c r="Z216" s="2"/>
      <c r="AA216" s="2"/>
      <c r="AB216" s="2">
        <v>22.1</v>
      </c>
      <c r="AC216" s="2">
        <v>13.27</v>
      </c>
      <c r="AD216" s="2"/>
      <c r="AE216" s="2"/>
      <c r="AF216" s="2"/>
      <c r="AG216" s="2">
        <v>3.51</v>
      </c>
      <c r="AH216" s="2"/>
      <c r="AJ216" s="56"/>
    </row>
    <row r="217" spans="1:36">
      <c r="A217" s="2"/>
      <c r="B217" s="2"/>
      <c r="C217" s="2"/>
      <c r="D217" s="2">
        <v>5</v>
      </c>
      <c r="E217" s="2"/>
      <c r="F217" s="2"/>
      <c r="G217" s="2"/>
      <c r="H217" s="2"/>
      <c r="I217" s="2">
        <v>1.98</v>
      </c>
      <c r="J217" s="2"/>
      <c r="K217" s="2"/>
      <c r="L217" s="2"/>
      <c r="M217" s="2"/>
      <c r="N217" s="2"/>
      <c r="O217" s="2"/>
      <c r="P217" s="2">
        <v>32.36</v>
      </c>
      <c r="Q217" s="2">
        <v>0.53</v>
      </c>
      <c r="R217" s="2"/>
      <c r="S217" s="2">
        <v>0.19</v>
      </c>
      <c r="T217" s="2"/>
      <c r="U217" s="2"/>
      <c r="V217" s="2">
        <v>6.78</v>
      </c>
      <c r="W217" s="2">
        <f t="shared" si="9"/>
        <v>41.839999999999996</v>
      </c>
      <c r="X217" s="2">
        <f>AVERAGE(W213:W217)</f>
        <v>39.154000000000003</v>
      </c>
      <c r="Y217" s="2">
        <f>(W217-X217)/X217*100</f>
        <v>6.860090923021894</v>
      </c>
      <c r="Z217" s="2">
        <f>STDEV(W213:W217)</f>
        <v>2.6023508602799885</v>
      </c>
      <c r="AA217" s="2"/>
      <c r="AB217" s="2">
        <v>21.9</v>
      </c>
      <c r="AC217" s="2">
        <v>14.45</v>
      </c>
      <c r="AD217" s="2">
        <f>AVERAGE(AC213:AC217)</f>
        <v>13.086000000000002</v>
      </c>
      <c r="AE217" s="2"/>
      <c r="AF217" s="2"/>
      <c r="AG217" s="2">
        <v>3.2</v>
      </c>
      <c r="AH217" s="2">
        <f>AVERAGE(AG213:AG217)</f>
        <v>3.8460000000000001</v>
      </c>
      <c r="AJ217" s="56"/>
    </row>
    <row r="218" spans="1:36">
      <c r="A218" s="2"/>
      <c r="B218" s="2"/>
      <c r="C218" s="2">
        <v>4</v>
      </c>
      <c r="D218" s="2">
        <v>1</v>
      </c>
      <c r="E218" s="2"/>
      <c r="F218" s="2"/>
      <c r="G218" s="2"/>
      <c r="H218" s="2"/>
      <c r="I218" s="2">
        <v>3.17</v>
      </c>
      <c r="J218" s="2"/>
      <c r="K218" s="2"/>
      <c r="L218" s="2"/>
      <c r="M218" s="2"/>
      <c r="N218" s="2"/>
      <c r="O218" s="2"/>
      <c r="P218" s="2">
        <v>24.46</v>
      </c>
      <c r="Q218" s="2"/>
      <c r="R218" s="2"/>
      <c r="S218" s="2">
        <v>2.4900000000000002</v>
      </c>
      <c r="T218" s="2"/>
      <c r="U218" s="2">
        <v>0.43</v>
      </c>
      <c r="V218" s="2">
        <v>1.64</v>
      </c>
      <c r="W218" s="2">
        <f t="shared" si="9"/>
        <v>32.190000000000005</v>
      </c>
      <c r="X218" s="2"/>
      <c r="Y218" s="2">
        <f>(W218-X222)/X222*100</f>
        <v>-23.821469140477081</v>
      </c>
      <c r="Z218" s="2"/>
      <c r="AA218" s="2"/>
      <c r="AB218" s="2">
        <v>15.4</v>
      </c>
      <c r="AC218" s="2">
        <v>8.35</v>
      </c>
      <c r="AD218" s="2"/>
      <c r="AE218" s="2"/>
      <c r="AF218" s="2"/>
      <c r="AG218" s="2">
        <v>3.24</v>
      </c>
      <c r="AH218" s="2"/>
      <c r="AJ218" s="56"/>
    </row>
    <row r="219" spans="1:36">
      <c r="A219" s="2"/>
      <c r="B219" s="2"/>
      <c r="C219" s="2"/>
      <c r="D219" s="2">
        <v>2</v>
      </c>
      <c r="E219" s="2"/>
      <c r="F219" s="2"/>
      <c r="G219" s="2"/>
      <c r="H219" s="2"/>
      <c r="I219" s="2">
        <v>6.78</v>
      </c>
      <c r="J219" s="2"/>
      <c r="K219" s="2"/>
      <c r="L219" s="2"/>
      <c r="M219" s="2"/>
      <c r="N219" s="2"/>
      <c r="O219" s="2"/>
      <c r="P219" s="2">
        <v>26.28</v>
      </c>
      <c r="Q219" s="2">
        <v>2.23</v>
      </c>
      <c r="R219" s="2"/>
      <c r="S219" s="2">
        <v>2.94</v>
      </c>
      <c r="T219" s="2">
        <v>0.21</v>
      </c>
      <c r="U219" s="2"/>
      <c r="V219" s="2">
        <v>8.0299999999999994</v>
      </c>
      <c r="W219" s="2">
        <f t="shared" si="9"/>
        <v>46.47</v>
      </c>
      <c r="X219" s="2"/>
      <c r="Y219" s="2">
        <f>(W219-X222)/X222*100</f>
        <v>9.9725482771677356</v>
      </c>
      <c r="Z219" s="2"/>
      <c r="AA219" s="2"/>
      <c r="AB219" s="2">
        <v>33.299999999999997</v>
      </c>
      <c r="AC219" s="2">
        <v>11.05</v>
      </c>
      <c r="AD219" s="2"/>
      <c r="AE219" s="2"/>
      <c r="AF219" s="2"/>
      <c r="AG219" s="2">
        <v>3.23</v>
      </c>
      <c r="AH219" s="2"/>
      <c r="AJ219" s="56"/>
    </row>
    <row r="220" spans="1:36">
      <c r="A220" s="2"/>
      <c r="B220" s="2"/>
      <c r="C220" s="2"/>
      <c r="D220" s="2">
        <v>3</v>
      </c>
      <c r="E220" s="2"/>
      <c r="F220" s="2"/>
      <c r="G220" s="2"/>
      <c r="H220" s="2"/>
      <c r="I220" s="2">
        <v>6.43</v>
      </c>
      <c r="J220" s="2"/>
      <c r="K220" s="2"/>
      <c r="L220" s="2"/>
      <c r="M220" s="2"/>
      <c r="N220" s="2"/>
      <c r="O220" s="2"/>
      <c r="P220" s="2">
        <v>14.87</v>
      </c>
      <c r="Q220" s="2"/>
      <c r="R220" s="2"/>
      <c r="S220" s="2">
        <v>2.31</v>
      </c>
      <c r="T220" s="2"/>
      <c r="U220" s="2">
        <v>0.31</v>
      </c>
      <c r="V220" s="2">
        <v>19.45</v>
      </c>
      <c r="W220" s="2">
        <f t="shared" si="9"/>
        <v>43.36999999999999</v>
      </c>
      <c r="X220" s="2"/>
      <c r="Y220" s="2">
        <f>(W220-X222)/X222*100</f>
        <v>2.6363120030291323</v>
      </c>
      <c r="Z220" s="2"/>
      <c r="AA220" s="2"/>
      <c r="AB220" s="2">
        <v>15.3</v>
      </c>
      <c r="AC220" s="2">
        <v>9.35</v>
      </c>
      <c r="AD220" s="2"/>
      <c r="AE220" s="2"/>
      <c r="AF220" s="2"/>
      <c r="AG220" s="2">
        <v>3.73</v>
      </c>
      <c r="AH220" s="2"/>
      <c r="AJ220" s="56"/>
    </row>
    <row r="221" spans="1:36">
      <c r="A221" s="2"/>
      <c r="B221" s="2"/>
      <c r="C221" s="2"/>
      <c r="D221" s="2">
        <v>4</v>
      </c>
      <c r="E221" s="2"/>
      <c r="F221" s="2"/>
      <c r="G221" s="2"/>
      <c r="H221" s="2"/>
      <c r="I221" s="2">
        <v>13.89</v>
      </c>
      <c r="J221" s="2"/>
      <c r="K221" s="2"/>
      <c r="L221" s="2"/>
      <c r="M221" s="2"/>
      <c r="N221" s="2"/>
      <c r="O221" s="2"/>
      <c r="P221" s="2">
        <v>33.67</v>
      </c>
      <c r="Q221" s="2"/>
      <c r="R221" s="2"/>
      <c r="S221" s="2">
        <v>1.38</v>
      </c>
      <c r="T221" s="2"/>
      <c r="U221" s="2"/>
      <c r="V221" s="2">
        <v>5.19</v>
      </c>
      <c r="W221" s="2">
        <f t="shared" si="9"/>
        <v>54.13</v>
      </c>
      <c r="X221" s="2"/>
      <c r="Y221" s="2">
        <f>(W221-X222)/X222*100</f>
        <v>28.100151457781148</v>
      </c>
      <c r="Z221" s="2"/>
      <c r="AA221" s="2"/>
      <c r="AB221" s="2">
        <v>13.9</v>
      </c>
      <c r="AC221" s="2">
        <v>6.94</v>
      </c>
      <c r="AD221" s="2"/>
      <c r="AE221" s="2"/>
      <c r="AF221" s="2"/>
      <c r="AG221" s="2">
        <v>2.83</v>
      </c>
      <c r="AH221" s="2"/>
      <c r="AJ221" s="56"/>
    </row>
    <row r="222" spans="1:36">
      <c r="A222" s="2"/>
      <c r="B222" s="2"/>
      <c r="C222" s="2"/>
      <c r="D222" s="2">
        <v>5</v>
      </c>
      <c r="E222" s="2"/>
      <c r="F222" s="2"/>
      <c r="G222" s="2"/>
      <c r="H222" s="2"/>
      <c r="I222" s="2">
        <v>5.84</v>
      </c>
      <c r="J222" s="2"/>
      <c r="K222" s="2"/>
      <c r="L222" s="2"/>
      <c r="M222" s="2">
        <v>0.72</v>
      </c>
      <c r="N222" s="2"/>
      <c r="O222" s="2"/>
      <c r="P222" s="2">
        <v>19.63</v>
      </c>
      <c r="Q222" s="2">
        <v>0.03</v>
      </c>
      <c r="R222" s="2"/>
      <c r="S222" s="2">
        <v>2.64</v>
      </c>
      <c r="T222" s="2"/>
      <c r="U222" s="2">
        <v>1.79</v>
      </c>
      <c r="V222" s="2">
        <v>4.47</v>
      </c>
      <c r="W222" s="2">
        <f t="shared" si="9"/>
        <v>35.119999999999997</v>
      </c>
      <c r="X222" s="2">
        <f>AVERAGE(W218:W222)</f>
        <v>42.256</v>
      </c>
      <c r="Y222" s="2">
        <f>(W222-X222)/X222*100</f>
        <v>-16.887542597500953</v>
      </c>
      <c r="Z222" s="2">
        <f>STDEV(W218:W222)</f>
        <v>8.83512195727935</v>
      </c>
      <c r="AA222" s="2"/>
      <c r="AB222" s="2">
        <v>18.7</v>
      </c>
      <c r="AC222" s="2">
        <v>7.45</v>
      </c>
      <c r="AD222" s="2">
        <f>AVERAGE(AC218:AC222)</f>
        <v>8.6280000000000001</v>
      </c>
      <c r="AE222" s="2"/>
      <c r="AF222" s="2"/>
      <c r="AG222" s="2">
        <v>4.51</v>
      </c>
      <c r="AH222" s="2">
        <f>AVERAGE(AG218:AG222)</f>
        <v>3.508</v>
      </c>
      <c r="AJ222" s="56"/>
    </row>
    <row r="223" spans="1:36"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J223" s="56"/>
    </row>
    <row r="224" spans="1:36" ht="15.75" customHeight="1">
      <c r="A224" s="3"/>
      <c r="B224" s="3"/>
      <c r="C224" s="3"/>
      <c r="D224" s="3"/>
      <c r="E224" s="3"/>
      <c r="F224" s="3"/>
      <c r="G224" s="3"/>
      <c r="H224" s="3"/>
      <c r="I224" s="3"/>
      <c r="J224" s="3"/>
      <c r="K224" s="3"/>
      <c r="L224" s="3"/>
      <c r="M224" s="3"/>
      <c r="N224" s="3"/>
      <c r="O224" s="3"/>
      <c r="P224" s="3"/>
      <c r="Q224" s="3"/>
      <c r="R224" s="3"/>
      <c r="S224" s="3"/>
      <c r="T224" s="3"/>
      <c r="U224" s="3"/>
      <c r="V224" s="3"/>
      <c r="W224" s="56">
        <f>MAX(W3:W222)</f>
        <v>105</v>
      </c>
      <c r="X224" s="3"/>
      <c r="Y224" s="3"/>
      <c r="Z224" s="3"/>
      <c r="AA224" s="3"/>
      <c r="AB224" s="3"/>
      <c r="AC224" s="56">
        <f>MAX(AC3:AC222)</f>
        <v>24.14</v>
      </c>
      <c r="AD224" s="3"/>
      <c r="AE224" s="3"/>
      <c r="AF224" s="3"/>
      <c r="AG224" s="56">
        <f>MAX(AG3:AG222)</f>
        <v>21.42</v>
      </c>
      <c r="AH224" s="3"/>
      <c r="AJ224" s="56"/>
    </row>
    <row r="225" spans="1:36" ht="15.75" customHeight="1">
      <c r="A225" s="3"/>
      <c r="B225" s="3"/>
      <c r="C225" s="3"/>
      <c r="D225" s="3"/>
      <c r="E225" s="3"/>
      <c r="F225" s="3"/>
      <c r="G225" s="3"/>
      <c r="H225" s="3"/>
      <c r="I225" s="3"/>
      <c r="J225" s="3"/>
      <c r="K225" s="3"/>
      <c r="L225" s="3"/>
      <c r="M225" s="3"/>
      <c r="N225" s="3"/>
      <c r="O225" s="3"/>
      <c r="P225" s="3"/>
      <c r="Q225" s="3"/>
      <c r="R225" s="3"/>
      <c r="S225" s="3"/>
      <c r="T225" s="3"/>
      <c r="U225" s="3"/>
      <c r="V225" s="3"/>
      <c r="W225" s="3">
        <f>MIN(W3:W222)</f>
        <v>19.149999999999999</v>
      </c>
      <c r="X225" s="3"/>
      <c r="Y225" s="3"/>
      <c r="Z225" s="3"/>
      <c r="AA225" s="3"/>
      <c r="AB225" s="3"/>
      <c r="AC225" s="3"/>
      <c r="AD225" s="3"/>
      <c r="AE225" s="3"/>
      <c r="AF225" s="3"/>
      <c r="AG225" s="3"/>
      <c r="AH225" s="3"/>
      <c r="AJ225" s="56"/>
    </row>
    <row r="226" spans="1:3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J226" s="56"/>
    </row>
    <row r="227" spans="1:36" ht="15.75" customHeight="1">
      <c r="A227" s="3"/>
      <c r="B227" s="3"/>
      <c r="C227" s="3"/>
      <c r="D227" s="3"/>
      <c r="E227" s="3"/>
      <c r="F227" s="3"/>
      <c r="G227" s="3"/>
      <c r="H227" s="3"/>
      <c r="I227" s="3"/>
      <c r="J227" s="3"/>
      <c r="K227" s="3" t="s">
        <v>149</v>
      </c>
      <c r="L227" s="3"/>
      <c r="M227" s="3"/>
      <c r="N227" s="3"/>
      <c r="O227" s="3"/>
      <c r="P227" s="3"/>
      <c r="Q227" s="3"/>
      <c r="R227" s="3"/>
      <c r="S227" s="3"/>
      <c r="T227" s="3"/>
      <c r="U227" s="3"/>
      <c r="V227" s="3"/>
      <c r="W227" s="3"/>
      <c r="X227" s="3"/>
      <c r="Y227" s="3"/>
      <c r="Z227" s="3"/>
      <c r="AA227" s="3"/>
      <c r="AB227" s="3"/>
      <c r="AC227" s="3"/>
      <c r="AD227" s="3"/>
      <c r="AE227" s="3"/>
      <c r="AF227" s="3"/>
      <c r="AG227" s="3"/>
      <c r="AH227" s="3"/>
      <c r="AJ227" s="56"/>
    </row>
    <row r="228" spans="1:36" ht="15.75" customHeight="1">
      <c r="A228" s="3"/>
      <c r="B228" s="3"/>
      <c r="C228" s="3"/>
      <c r="D228" s="3"/>
      <c r="E228" s="3"/>
      <c r="F228" s="3"/>
      <c r="G228" s="3"/>
      <c r="H228" s="3"/>
      <c r="I228" s="3"/>
      <c r="J228" s="3"/>
      <c r="K228" s="3" t="s">
        <v>150</v>
      </c>
      <c r="L228" s="3"/>
      <c r="M228" s="3"/>
      <c r="N228" s="3"/>
      <c r="O228" s="3"/>
      <c r="P228" s="3"/>
      <c r="Q228" s="3"/>
      <c r="R228" s="3"/>
      <c r="S228" s="3"/>
      <c r="T228" s="3"/>
      <c r="U228" s="3"/>
      <c r="V228" s="3"/>
      <c r="W228" s="3"/>
      <c r="X228" s="3"/>
      <c r="Y228" s="3"/>
      <c r="Z228" s="3"/>
      <c r="AA228" s="3"/>
      <c r="AB228" s="3" t="s">
        <v>151</v>
      </c>
      <c r="AC228" s="3" t="s">
        <v>48</v>
      </c>
      <c r="AD228" s="3"/>
      <c r="AE228" s="3"/>
      <c r="AF228" s="3"/>
      <c r="AG228" s="3" t="s">
        <v>49</v>
      </c>
      <c r="AH228" s="3"/>
      <c r="AI228" s="3" t="s">
        <v>50</v>
      </c>
      <c r="AJ228" s="56"/>
    </row>
    <row r="229" spans="1:36"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68" t="s">
        <v>149</v>
      </c>
      <c r="AD229" s="3"/>
      <c r="AE229" s="3"/>
      <c r="AF229" s="3"/>
      <c r="AG229" s="3" t="s">
        <v>152</v>
      </c>
      <c r="AH229" s="3"/>
      <c r="AI229" s="3" t="s">
        <v>153</v>
      </c>
      <c r="AJ229" s="56"/>
    </row>
    <row r="230" spans="1:36"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68" t="s">
        <v>154</v>
      </c>
      <c r="AD230" s="3"/>
      <c r="AE230" s="3"/>
      <c r="AF230" s="3"/>
      <c r="AG230" s="68" t="s">
        <v>155</v>
      </c>
      <c r="AH230" s="3"/>
      <c r="AI230" s="68" t="s">
        <v>156</v>
      </c>
      <c r="AJ230" s="56"/>
    </row>
    <row r="231" spans="1:36"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68" t="s">
        <v>157</v>
      </c>
      <c r="AD231" s="3"/>
      <c r="AE231" s="3"/>
      <c r="AF231" s="3"/>
      <c r="AG231" s="3"/>
      <c r="AH231" s="3"/>
      <c r="AJ231" s="56"/>
    </row>
    <row r="232" spans="1:36"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68" t="s">
        <v>158</v>
      </c>
      <c r="AD232" s="3"/>
      <c r="AE232" s="3"/>
      <c r="AF232" s="3"/>
      <c r="AG232" s="3"/>
      <c r="AH232" s="3"/>
      <c r="AJ232" s="56"/>
    </row>
  </sheetData>
  <mergeCells count="1">
    <mergeCell ref="E1:V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31"/>
  <sheetViews>
    <sheetView workbookViewId="0">
      <pane ySplit="2" topLeftCell="A3" activePane="bottomLeft" state="frozen"/>
      <selection pane="bottomLeft" activeCell="B4" sqref="B4"/>
    </sheetView>
  </sheetViews>
  <sheetFormatPr defaultColWidth="17.28515625" defaultRowHeight="15" customHeight="1"/>
  <cols>
    <col min="1" max="4" width="8.7109375" customWidth="1"/>
    <col min="5" max="5" width="13.140625" customWidth="1"/>
    <col min="6" max="6" width="9.140625" customWidth="1"/>
    <col min="7" max="7" width="8.7109375" customWidth="1"/>
    <col min="8" max="8" width="16.7109375" customWidth="1"/>
    <col min="9" max="9" width="9.140625" customWidth="1"/>
    <col min="10" max="10" width="8.7109375" customWidth="1"/>
    <col min="11" max="11" width="18.85546875" customWidth="1"/>
    <col min="12" max="12" width="9.140625" customWidth="1"/>
    <col min="13" max="13" width="17.28515625" customWidth="1"/>
  </cols>
  <sheetData>
    <row r="1" spans="1:13" ht="18" customHeight="1">
      <c r="A1" s="2"/>
      <c r="B1" s="2"/>
      <c r="C1" s="2"/>
      <c r="D1" s="2"/>
      <c r="E1" s="55" t="s">
        <v>80</v>
      </c>
      <c r="F1" s="2"/>
      <c r="G1" s="2"/>
      <c r="H1" s="55" t="s">
        <v>81</v>
      </c>
      <c r="I1" s="2"/>
      <c r="J1" s="2"/>
      <c r="K1" s="55" t="s">
        <v>82</v>
      </c>
      <c r="L1" s="2"/>
    </row>
    <row r="2" spans="1:13">
      <c r="A2" s="6" t="s">
        <v>51</v>
      </c>
      <c r="B2" s="6" t="s">
        <v>52</v>
      </c>
      <c r="C2" s="6" t="s">
        <v>53</v>
      </c>
      <c r="D2" s="6" t="s">
        <v>54</v>
      </c>
      <c r="E2" s="6" t="s">
        <v>75</v>
      </c>
      <c r="F2" s="2" t="s">
        <v>74</v>
      </c>
      <c r="G2" s="3"/>
      <c r="H2" s="6" t="s">
        <v>75</v>
      </c>
      <c r="I2" s="2" t="s">
        <v>74</v>
      </c>
      <c r="J2" s="3"/>
      <c r="K2" s="2" t="s">
        <v>75</v>
      </c>
      <c r="L2" s="2" t="s">
        <v>74</v>
      </c>
      <c r="M2" s="2" t="s">
        <v>77</v>
      </c>
    </row>
    <row r="3" spans="1:13">
      <c r="A3" s="2" t="s">
        <v>78</v>
      </c>
      <c r="B3" s="2" t="s">
        <v>79</v>
      </c>
      <c r="C3" s="2">
        <v>1</v>
      </c>
      <c r="D3" s="2" t="s">
        <v>83</v>
      </c>
      <c r="E3" s="2">
        <v>54.36</v>
      </c>
      <c r="F3" s="2"/>
      <c r="G3" s="3"/>
      <c r="H3" s="2">
        <v>4.97</v>
      </c>
      <c r="I3" s="2"/>
      <c r="J3" s="3"/>
      <c r="K3" s="2">
        <v>5.65</v>
      </c>
      <c r="L3" s="2"/>
      <c r="M3" s="56">
        <f t="shared" ref="M3:M37" si="0">SUM(E3,H3,K3)</f>
        <v>64.98</v>
      </c>
    </row>
    <row r="4" spans="1:13">
      <c r="A4" s="2"/>
      <c r="B4" s="2"/>
      <c r="C4" s="2">
        <v>1</v>
      </c>
      <c r="D4" s="2" t="s">
        <v>85</v>
      </c>
      <c r="E4" s="2">
        <v>47.63</v>
      </c>
      <c r="F4" s="2"/>
      <c r="G4" s="3"/>
      <c r="H4" s="2">
        <v>3.88</v>
      </c>
      <c r="I4" s="2"/>
      <c r="J4" s="3"/>
      <c r="K4" s="2">
        <v>6.26</v>
      </c>
      <c r="L4" s="2"/>
      <c r="M4" s="56">
        <f t="shared" si="0"/>
        <v>57.77</v>
      </c>
    </row>
    <row r="5" spans="1:13">
      <c r="A5" s="2"/>
      <c r="B5" s="2"/>
      <c r="C5" s="2">
        <v>1</v>
      </c>
      <c r="D5" s="2" t="s">
        <v>87</v>
      </c>
      <c r="E5" s="2">
        <v>66.8</v>
      </c>
      <c r="F5" s="2"/>
      <c r="G5" s="3"/>
      <c r="H5" s="28">
        <v>6.16</v>
      </c>
      <c r="I5" s="2"/>
      <c r="J5" s="3"/>
      <c r="K5" s="2">
        <v>4.67</v>
      </c>
      <c r="L5" s="2"/>
      <c r="M5" s="56">
        <f t="shared" si="0"/>
        <v>77.63</v>
      </c>
    </row>
    <row r="6" spans="1:13">
      <c r="A6" s="2"/>
      <c r="B6" s="2"/>
      <c r="C6" s="2">
        <v>1</v>
      </c>
      <c r="D6" s="2" t="s">
        <v>79</v>
      </c>
      <c r="E6" s="2">
        <v>75.14</v>
      </c>
      <c r="F6" s="2"/>
      <c r="G6" s="3"/>
      <c r="H6" s="28">
        <v>12.53</v>
      </c>
      <c r="I6" s="2"/>
      <c r="J6" s="3"/>
      <c r="K6" s="2">
        <v>7.52</v>
      </c>
      <c r="L6" s="2"/>
      <c r="M6" s="56">
        <f t="shared" si="0"/>
        <v>95.19</v>
      </c>
    </row>
    <row r="7" spans="1:13">
      <c r="A7" s="2"/>
      <c r="B7" s="2"/>
      <c r="C7" s="2">
        <v>1</v>
      </c>
      <c r="D7" s="2" t="s">
        <v>88</v>
      </c>
      <c r="E7" s="2">
        <v>61.9</v>
      </c>
      <c r="F7" s="2">
        <f>AVERAGE(E3:E7)</f>
        <v>61.165999999999997</v>
      </c>
      <c r="G7" s="3"/>
      <c r="H7" s="2">
        <v>5.3</v>
      </c>
      <c r="I7" s="2">
        <f>AVERAGE(H3:H7)</f>
        <v>6.5679999999999996</v>
      </c>
      <c r="J7" s="3"/>
      <c r="K7" s="2">
        <v>8.77</v>
      </c>
      <c r="L7" s="2">
        <f>AVERAGE(K3:K7)</f>
        <v>6.5739999999999998</v>
      </c>
      <c r="M7" s="56">
        <f t="shared" si="0"/>
        <v>75.97</v>
      </c>
    </row>
    <row r="8" spans="1:13">
      <c r="A8" s="2"/>
      <c r="B8" s="2"/>
      <c r="C8" s="2">
        <v>2</v>
      </c>
      <c r="D8" s="2" t="s">
        <v>83</v>
      </c>
      <c r="E8" s="2">
        <v>53.17</v>
      </c>
      <c r="F8" s="2"/>
      <c r="G8" s="3"/>
      <c r="H8" s="2">
        <v>5.7</v>
      </c>
      <c r="I8" s="2"/>
      <c r="J8" s="3"/>
      <c r="K8" s="2">
        <v>5.2</v>
      </c>
      <c r="L8" s="2"/>
      <c r="M8" s="56">
        <f t="shared" si="0"/>
        <v>64.070000000000007</v>
      </c>
    </row>
    <row r="9" spans="1:13">
      <c r="A9" s="2"/>
      <c r="B9" s="2"/>
      <c r="C9" s="2">
        <v>2</v>
      </c>
      <c r="D9" s="2" t="s">
        <v>85</v>
      </c>
      <c r="E9" s="2">
        <v>53.89</v>
      </c>
      <c r="F9" s="2"/>
      <c r="G9" s="3"/>
      <c r="H9" s="28">
        <v>8.58</v>
      </c>
      <c r="I9" s="2"/>
      <c r="J9" s="3"/>
      <c r="K9" s="2">
        <v>4.97</v>
      </c>
      <c r="L9" s="2"/>
      <c r="M9" s="56">
        <f t="shared" si="0"/>
        <v>67.44</v>
      </c>
    </row>
    <row r="10" spans="1:13">
      <c r="A10" s="2"/>
      <c r="B10" s="2"/>
      <c r="C10" s="2">
        <v>2</v>
      </c>
      <c r="D10" s="2" t="s">
        <v>87</v>
      </c>
      <c r="E10" s="2">
        <v>59.46</v>
      </c>
      <c r="F10" s="2"/>
      <c r="G10" s="3"/>
      <c r="H10" s="2">
        <v>3.1</v>
      </c>
      <c r="I10" s="2"/>
      <c r="J10" s="3"/>
      <c r="K10" s="2">
        <v>5.56</v>
      </c>
      <c r="L10" s="2"/>
      <c r="M10" s="56">
        <f t="shared" si="0"/>
        <v>68.12</v>
      </c>
    </row>
    <row r="11" spans="1:13">
      <c r="A11" s="2"/>
      <c r="B11" s="2"/>
      <c r="C11" s="2">
        <v>2</v>
      </c>
      <c r="D11" s="2" t="s">
        <v>79</v>
      </c>
      <c r="E11" s="2">
        <v>54.07</v>
      </c>
      <c r="F11" s="2"/>
      <c r="G11" s="3"/>
      <c r="H11" s="2">
        <v>4.0999999999999996</v>
      </c>
      <c r="I11" s="2"/>
      <c r="J11" s="3"/>
      <c r="K11" s="2">
        <v>6.73</v>
      </c>
      <c r="L11" s="2"/>
      <c r="M11" s="56">
        <f t="shared" si="0"/>
        <v>64.900000000000006</v>
      </c>
    </row>
    <row r="12" spans="1:13">
      <c r="A12" s="2"/>
      <c r="B12" s="2"/>
      <c r="C12" s="2">
        <v>2</v>
      </c>
      <c r="D12" s="2" t="s">
        <v>88</v>
      </c>
      <c r="E12" s="2">
        <v>54.5</v>
      </c>
      <c r="F12" s="2">
        <f>AVERAGE(E8:E12)</f>
        <v>55.018000000000008</v>
      </c>
      <c r="G12" s="3"/>
      <c r="H12" s="28">
        <v>5.99</v>
      </c>
      <c r="I12" s="2">
        <f>AVERAGE(H8:H12)</f>
        <v>5.4940000000000015</v>
      </c>
      <c r="J12" s="3"/>
      <c r="K12" s="2">
        <v>5.2</v>
      </c>
      <c r="L12" s="2">
        <f>AVERAGE(K8:K12)</f>
        <v>5.532</v>
      </c>
      <c r="M12" s="56">
        <f t="shared" si="0"/>
        <v>65.69</v>
      </c>
    </row>
    <row r="13" spans="1:13">
      <c r="A13" s="2"/>
      <c r="B13" s="2"/>
      <c r="C13" s="2">
        <v>3</v>
      </c>
      <c r="D13" s="2" t="s">
        <v>83</v>
      </c>
      <c r="E13" s="2">
        <v>59.7</v>
      </c>
      <c r="F13" s="2"/>
      <c r="G13" s="3"/>
      <c r="H13" s="28">
        <v>4.4000000000000004</v>
      </c>
      <c r="I13" s="2"/>
      <c r="J13" s="3"/>
      <c r="K13" s="2">
        <v>5.28</v>
      </c>
      <c r="L13" s="2"/>
      <c r="M13" s="56">
        <f t="shared" si="0"/>
        <v>69.38000000000001</v>
      </c>
    </row>
    <row r="14" spans="1:13">
      <c r="A14" s="2"/>
      <c r="B14" s="2"/>
      <c r="C14" s="2">
        <v>3</v>
      </c>
      <c r="D14" s="2" t="s">
        <v>85</v>
      </c>
      <c r="E14" s="2">
        <v>56.7</v>
      </c>
      <c r="F14" s="2"/>
      <c r="G14" s="3"/>
      <c r="H14" s="28">
        <v>3.95</v>
      </c>
      <c r="I14" s="2"/>
      <c r="J14" s="3"/>
      <c r="K14" s="2">
        <v>4.17</v>
      </c>
      <c r="L14" s="2"/>
      <c r="M14" s="56">
        <f t="shared" si="0"/>
        <v>64.820000000000007</v>
      </c>
    </row>
    <row r="15" spans="1:13">
      <c r="A15" s="2"/>
      <c r="B15" s="2"/>
      <c r="C15" s="2">
        <v>3</v>
      </c>
      <c r="D15" s="2" t="s">
        <v>87</v>
      </c>
      <c r="E15" s="2">
        <v>85.8</v>
      </c>
      <c r="F15" s="2"/>
      <c r="G15" s="3"/>
      <c r="H15" s="2">
        <v>28.8</v>
      </c>
      <c r="I15" s="2"/>
      <c r="J15" s="3"/>
      <c r="K15" s="2">
        <v>5.56</v>
      </c>
      <c r="L15" s="2"/>
      <c r="M15" s="56">
        <f t="shared" si="0"/>
        <v>120.16</v>
      </c>
    </row>
    <row r="16" spans="1:13">
      <c r="A16" s="2"/>
      <c r="B16" s="2"/>
      <c r="C16" s="2">
        <v>3</v>
      </c>
      <c r="D16" s="2" t="s">
        <v>79</v>
      </c>
      <c r="E16" s="2">
        <v>56.9</v>
      </c>
      <c r="F16" s="2"/>
      <c r="G16" s="3"/>
      <c r="H16" s="2">
        <f>4.2-0.33</f>
        <v>3.87</v>
      </c>
      <c r="I16" s="2"/>
      <c r="J16" s="3"/>
      <c r="K16" s="2">
        <v>11.27</v>
      </c>
      <c r="L16" s="2"/>
      <c r="M16" s="56">
        <f t="shared" si="0"/>
        <v>72.039999999999992</v>
      </c>
    </row>
    <row r="17" spans="1:13">
      <c r="A17" s="2"/>
      <c r="B17" s="2"/>
      <c r="C17" s="2">
        <v>3</v>
      </c>
      <c r="D17" s="2" t="s">
        <v>88</v>
      </c>
      <c r="E17" s="2">
        <v>57.9</v>
      </c>
      <c r="F17" s="2">
        <f>AVERAGE(E13:E17)</f>
        <v>63.399999999999991</v>
      </c>
      <c r="G17" s="3"/>
      <c r="H17" s="28">
        <v>7.38</v>
      </c>
      <c r="I17" s="2">
        <f>AVERAGE(H13:H17)</f>
        <v>9.6800000000000015</v>
      </c>
      <c r="J17" s="3"/>
      <c r="K17" s="2">
        <v>11.5</v>
      </c>
      <c r="L17" s="2">
        <f>AVERAGE(K13:K17)</f>
        <v>7.556</v>
      </c>
      <c r="M17" s="56">
        <f t="shared" si="0"/>
        <v>76.78</v>
      </c>
    </row>
    <row r="18" spans="1:13">
      <c r="A18" s="2"/>
      <c r="B18" s="2"/>
      <c r="C18" s="2">
        <v>4</v>
      </c>
      <c r="D18" s="2" t="s">
        <v>83</v>
      </c>
      <c r="E18" s="2">
        <v>63</v>
      </c>
      <c r="F18" s="2"/>
      <c r="G18" s="3"/>
      <c r="H18" s="28">
        <v>5.33</v>
      </c>
      <c r="I18" s="2"/>
      <c r="J18" s="3"/>
      <c r="K18" s="2">
        <v>6.33</v>
      </c>
      <c r="L18" s="2"/>
      <c r="M18" s="56">
        <f t="shared" si="0"/>
        <v>74.66</v>
      </c>
    </row>
    <row r="19" spans="1:13">
      <c r="A19" s="2"/>
      <c r="B19" s="2"/>
      <c r="C19" s="2">
        <v>4</v>
      </c>
      <c r="D19" s="2" t="s">
        <v>85</v>
      </c>
      <c r="E19" s="2">
        <v>53.1</v>
      </c>
      <c r="F19" s="2"/>
      <c r="G19" s="3"/>
      <c r="H19" s="28">
        <v>6.05</v>
      </c>
      <c r="I19" s="2"/>
      <c r="J19" s="3"/>
      <c r="K19" s="2">
        <v>4.5999999999999996</v>
      </c>
      <c r="L19" s="2"/>
      <c r="M19" s="56">
        <f t="shared" si="0"/>
        <v>63.75</v>
      </c>
    </row>
    <row r="20" spans="1:13">
      <c r="A20" s="2"/>
      <c r="B20" s="2"/>
      <c r="C20" s="2">
        <v>4</v>
      </c>
      <c r="D20" s="2" t="s">
        <v>87</v>
      </c>
      <c r="E20" s="2">
        <v>61.1</v>
      </c>
      <c r="F20" s="2"/>
      <c r="G20" s="3"/>
      <c r="H20" s="2">
        <f>9.1-0.32</f>
        <v>8.7799999999999994</v>
      </c>
      <c r="I20" s="2"/>
      <c r="J20" s="3"/>
      <c r="K20" s="2">
        <v>2.78</v>
      </c>
      <c r="L20" s="2"/>
      <c r="M20" s="56">
        <f t="shared" si="0"/>
        <v>72.66</v>
      </c>
    </row>
    <row r="21" spans="1:13">
      <c r="A21" s="2"/>
      <c r="B21" s="2"/>
      <c r="C21" s="2">
        <v>4</v>
      </c>
      <c r="D21" s="2" t="s">
        <v>79</v>
      </c>
      <c r="E21" s="2">
        <v>59.6</v>
      </c>
      <c r="F21" s="2"/>
      <c r="G21" s="3"/>
      <c r="H21" s="28">
        <v>5.76</v>
      </c>
      <c r="I21" s="2"/>
      <c r="J21" s="3"/>
      <c r="K21" s="2">
        <v>0.01</v>
      </c>
      <c r="L21" s="2"/>
      <c r="M21" s="56">
        <f t="shared" si="0"/>
        <v>65.37</v>
      </c>
    </row>
    <row r="22" spans="1:13">
      <c r="A22" s="2"/>
      <c r="B22" s="2"/>
      <c r="C22" s="2">
        <v>4</v>
      </c>
      <c r="D22" s="2" t="s">
        <v>88</v>
      </c>
      <c r="E22" s="2">
        <v>66.3</v>
      </c>
      <c r="F22" s="2">
        <f>AVERAGE(E18:E22)</f>
        <v>60.61999999999999</v>
      </c>
      <c r="G22" s="3"/>
      <c r="H22" s="28">
        <v>12.58</v>
      </c>
      <c r="I22" s="2">
        <f>AVERAGE(H18:H22)</f>
        <v>7.6999999999999984</v>
      </c>
      <c r="J22" s="3"/>
      <c r="K22" s="2">
        <v>0.21</v>
      </c>
      <c r="L22" s="2">
        <f>AVERAGE(K18:K22)</f>
        <v>2.786</v>
      </c>
      <c r="M22" s="56">
        <f t="shared" si="0"/>
        <v>79.089999999999989</v>
      </c>
    </row>
    <row r="23" spans="1:13">
      <c r="A23" s="2" t="s">
        <v>78</v>
      </c>
      <c r="B23" s="2" t="s">
        <v>94</v>
      </c>
      <c r="C23" s="2">
        <v>1</v>
      </c>
      <c r="D23" s="2" t="s">
        <v>83</v>
      </c>
      <c r="E23" s="2">
        <v>42.4</v>
      </c>
      <c r="F23" s="2"/>
      <c r="G23" s="3"/>
      <c r="H23" s="2">
        <v>26.33</v>
      </c>
      <c r="I23" s="2"/>
      <c r="J23" s="3"/>
      <c r="K23" s="2">
        <v>4.0999999999999996</v>
      </c>
      <c r="L23" s="2"/>
      <c r="M23" s="3">
        <f t="shared" si="0"/>
        <v>72.829999999999984</v>
      </c>
    </row>
    <row r="24" spans="1:13">
      <c r="A24" s="2"/>
      <c r="B24" s="2"/>
      <c r="C24" s="2">
        <v>1</v>
      </c>
      <c r="D24" s="2" t="s">
        <v>85</v>
      </c>
      <c r="E24" s="2">
        <v>86.7</v>
      </c>
      <c r="F24" s="2"/>
      <c r="G24" s="3"/>
      <c r="H24" s="4">
        <f>AVERAGE(H23,H26:H27)</f>
        <v>16.8</v>
      </c>
      <c r="I24" s="2"/>
      <c r="J24" s="3"/>
      <c r="K24" s="2">
        <v>3.24</v>
      </c>
      <c r="L24" s="2"/>
      <c r="M24" s="56">
        <f t="shared" si="0"/>
        <v>106.74</v>
      </c>
    </row>
    <row r="25" spans="1:13">
      <c r="A25" s="2"/>
      <c r="B25" s="2"/>
      <c r="C25" s="2">
        <v>1</v>
      </c>
      <c r="D25" s="2" t="s">
        <v>87</v>
      </c>
      <c r="E25" s="2">
        <v>53.7</v>
      </c>
      <c r="F25" s="2"/>
      <c r="G25" s="3"/>
      <c r="H25" s="4">
        <f>AVERAGE(H23,H26:H27)</f>
        <v>16.8</v>
      </c>
      <c r="I25" s="2"/>
      <c r="J25" s="3"/>
      <c r="K25" s="2">
        <v>3.47</v>
      </c>
      <c r="L25" s="2"/>
      <c r="M25" s="56">
        <f t="shared" si="0"/>
        <v>73.97</v>
      </c>
    </row>
    <row r="26" spans="1:13">
      <c r="A26" s="2"/>
      <c r="B26" s="2"/>
      <c r="C26" s="2">
        <v>1</v>
      </c>
      <c r="D26" s="28" t="s">
        <v>88</v>
      </c>
      <c r="E26" s="2">
        <v>86.7</v>
      </c>
      <c r="F26" s="2"/>
      <c r="G26" s="3"/>
      <c r="H26" s="2">
        <v>5.24</v>
      </c>
      <c r="I26" s="2"/>
      <c r="J26" s="3"/>
      <c r="K26" s="2">
        <v>1.53</v>
      </c>
      <c r="L26" s="2"/>
      <c r="M26" s="56">
        <f t="shared" si="0"/>
        <v>93.47</v>
      </c>
    </row>
    <row r="27" spans="1:13">
      <c r="A27" s="2"/>
      <c r="B27" s="2"/>
      <c r="C27" s="2">
        <v>1</v>
      </c>
      <c r="D27" s="2" t="s">
        <v>88</v>
      </c>
      <c r="E27" s="2">
        <v>92.8</v>
      </c>
      <c r="F27" s="2">
        <f>AVERAGE(E23:E27)</f>
        <v>72.460000000000008</v>
      </c>
      <c r="G27" s="3"/>
      <c r="H27" s="2">
        <v>18.829999999999998</v>
      </c>
      <c r="I27" s="2">
        <f>AVERAGE(H23:H27)</f>
        <v>16.799999999999997</v>
      </c>
      <c r="J27" s="3"/>
      <c r="K27" s="2">
        <v>3.69</v>
      </c>
      <c r="L27" s="2">
        <f>AVERAGE(K23:K27)</f>
        <v>3.2060000000000004</v>
      </c>
      <c r="M27" s="56">
        <f t="shared" si="0"/>
        <v>115.32</v>
      </c>
    </row>
    <row r="28" spans="1:13">
      <c r="A28" s="2"/>
      <c r="B28" s="2"/>
      <c r="C28" s="2">
        <v>2</v>
      </c>
      <c r="D28" s="2" t="s">
        <v>83</v>
      </c>
      <c r="E28" s="4"/>
      <c r="F28" s="2"/>
      <c r="G28" s="3"/>
      <c r="H28" s="4">
        <f>AVERAGE($H$29:$H$30)</f>
        <v>13.380000000000003</v>
      </c>
      <c r="I28" s="2"/>
      <c r="J28" s="3"/>
      <c r="K28" s="2">
        <v>4.4800000000000004</v>
      </c>
      <c r="L28" s="2"/>
      <c r="M28" s="56">
        <f t="shared" si="0"/>
        <v>17.860000000000003</v>
      </c>
    </row>
    <row r="29" spans="1:13">
      <c r="A29" s="2"/>
      <c r="B29" s="2"/>
      <c r="C29" s="2">
        <v>2</v>
      </c>
      <c r="D29" s="2" t="s">
        <v>85</v>
      </c>
      <c r="E29" s="2">
        <v>62.8</v>
      </c>
      <c r="F29" s="2"/>
      <c r="G29" s="3"/>
      <c r="H29" s="2">
        <f>18.01-0.83</f>
        <v>17.180000000000003</v>
      </c>
      <c r="I29" s="2"/>
      <c r="J29" s="3"/>
      <c r="K29" s="4">
        <f>AVERAGE(K28,K30:K32)</f>
        <v>3.6000000000000005</v>
      </c>
      <c r="L29" s="2"/>
      <c r="M29" s="56">
        <f t="shared" si="0"/>
        <v>83.58</v>
      </c>
    </row>
    <row r="30" spans="1:13">
      <c r="A30" s="2"/>
      <c r="B30" s="2"/>
      <c r="C30" s="2">
        <v>2</v>
      </c>
      <c r="D30" s="2" t="s">
        <v>87</v>
      </c>
      <c r="E30" s="2">
        <v>74.900000000000006</v>
      </c>
      <c r="F30" s="2"/>
      <c r="G30" s="3"/>
      <c r="H30" s="2">
        <f>9.97-0.39</f>
        <v>9.58</v>
      </c>
      <c r="I30" s="2"/>
      <c r="J30" s="3"/>
      <c r="K30" s="2">
        <v>2.4900000000000002</v>
      </c>
      <c r="L30" s="2"/>
      <c r="M30" s="56">
        <f t="shared" si="0"/>
        <v>86.97</v>
      </c>
    </row>
    <row r="31" spans="1:13">
      <c r="A31" s="2"/>
      <c r="B31" s="2"/>
      <c r="C31" s="2">
        <v>2</v>
      </c>
      <c r="D31" s="2" t="s">
        <v>79</v>
      </c>
      <c r="E31" s="60">
        <v>24</v>
      </c>
      <c r="F31" s="2"/>
      <c r="G31" s="3"/>
      <c r="H31" s="4">
        <f t="shared" ref="H31:H32" si="1">AVERAGE($H$29:$H$30)</f>
        <v>13.380000000000003</v>
      </c>
      <c r="I31" s="2"/>
      <c r="J31" s="3"/>
      <c r="K31" s="2">
        <v>4.79</v>
      </c>
      <c r="L31" s="2"/>
      <c r="M31" s="56">
        <f t="shared" si="0"/>
        <v>42.17</v>
      </c>
    </row>
    <row r="32" spans="1:13">
      <c r="A32" s="2"/>
      <c r="B32" s="2"/>
      <c r="C32" s="2">
        <v>2</v>
      </c>
      <c r="D32" s="2" t="s">
        <v>88</v>
      </c>
      <c r="E32" s="2">
        <v>41.5</v>
      </c>
      <c r="F32" s="2">
        <f>AVERAGE(E28:E32)</f>
        <v>50.8</v>
      </c>
      <c r="G32" s="3"/>
      <c r="H32" s="4">
        <f t="shared" si="1"/>
        <v>13.380000000000003</v>
      </c>
      <c r="I32" s="2">
        <f>AVERAGE(H28:H32)</f>
        <v>13.38</v>
      </c>
      <c r="J32" s="3"/>
      <c r="K32" s="2">
        <v>2.64</v>
      </c>
      <c r="L32" s="2">
        <f>AVERAGE(K28:K32)</f>
        <v>3.6000000000000005</v>
      </c>
      <c r="M32" s="56">
        <f t="shared" si="0"/>
        <v>57.52</v>
      </c>
    </row>
    <row r="33" spans="1:13">
      <c r="A33" s="2"/>
      <c r="B33" s="2"/>
      <c r="C33" s="2">
        <v>3</v>
      </c>
      <c r="D33" s="2" t="s">
        <v>83</v>
      </c>
      <c r="E33" s="2">
        <v>68.5</v>
      </c>
      <c r="F33" s="2"/>
      <c r="G33" s="3"/>
      <c r="H33" s="2">
        <f>22.93-0.86</f>
        <v>22.07</v>
      </c>
      <c r="I33" s="2"/>
      <c r="J33" s="3"/>
      <c r="K33" s="2">
        <v>3.67</v>
      </c>
      <c r="L33" s="2"/>
      <c r="M33" s="56">
        <f t="shared" si="0"/>
        <v>94.24</v>
      </c>
    </row>
    <row r="34" spans="1:13">
      <c r="A34" s="2"/>
      <c r="B34" s="2"/>
      <c r="C34" s="2">
        <v>3</v>
      </c>
      <c r="D34" s="2" t="s">
        <v>85</v>
      </c>
      <c r="E34" s="2">
        <v>41.9</v>
      </c>
      <c r="F34" s="2"/>
      <c r="G34" s="3"/>
      <c r="H34" s="2">
        <f>6.85-0.23</f>
        <v>6.6199999999999992</v>
      </c>
      <c r="I34" s="2"/>
      <c r="J34" s="3"/>
      <c r="K34" s="2">
        <v>2</v>
      </c>
      <c r="L34" s="2"/>
      <c r="M34" s="56">
        <f t="shared" si="0"/>
        <v>50.519999999999996</v>
      </c>
    </row>
    <row r="35" spans="1:13">
      <c r="A35" s="2"/>
      <c r="B35" s="2"/>
      <c r="C35" s="2">
        <v>3</v>
      </c>
      <c r="D35" s="2" t="s">
        <v>87</v>
      </c>
      <c r="E35" s="2">
        <v>54.5</v>
      </c>
      <c r="F35" s="2"/>
      <c r="G35" s="3"/>
      <c r="H35" s="2">
        <f>14.77-0.72</f>
        <v>14.049999999999999</v>
      </c>
      <c r="I35" s="2"/>
      <c r="J35" s="3"/>
      <c r="K35" s="2">
        <v>3.32</v>
      </c>
      <c r="L35" s="2"/>
      <c r="M35" s="56">
        <f t="shared" si="0"/>
        <v>71.86999999999999</v>
      </c>
    </row>
    <row r="36" spans="1:13">
      <c r="A36" s="2"/>
      <c r="B36" s="2"/>
      <c r="C36" s="2">
        <v>3</v>
      </c>
      <c r="D36" s="2" t="s">
        <v>79</v>
      </c>
      <c r="E36" s="2">
        <v>64.599999999999994</v>
      </c>
      <c r="F36" s="2"/>
      <c r="G36" s="3"/>
      <c r="H36" s="4">
        <f>AVERAGE(H33:H35,H37)</f>
        <v>14.702499999999999</v>
      </c>
      <c r="I36" s="2"/>
      <c r="J36" s="3"/>
      <c r="K36" s="2">
        <v>2.2999999999999998</v>
      </c>
      <c r="L36" s="2"/>
      <c r="M36" s="56">
        <f t="shared" si="0"/>
        <v>81.602499999999992</v>
      </c>
    </row>
    <row r="37" spans="1:13">
      <c r="A37" s="2"/>
      <c r="B37" s="2"/>
      <c r="C37" s="2">
        <v>3</v>
      </c>
      <c r="D37" s="2" t="s">
        <v>88</v>
      </c>
      <c r="E37" s="2">
        <v>64.3</v>
      </c>
      <c r="F37" s="2">
        <f>AVERAGE(E33:E37)</f>
        <v>58.760000000000005</v>
      </c>
      <c r="G37" s="3"/>
      <c r="H37" s="2">
        <v>16.07</v>
      </c>
      <c r="I37" s="2">
        <f>AVERAGE(H33:H37)</f>
        <v>14.702499999999997</v>
      </c>
      <c r="J37" s="3"/>
      <c r="K37" s="2">
        <v>2.27</v>
      </c>
      <c r="L37" s="2">
        <f>AVERAGE(K33:K37)</f>
        <v>2.7119999999999997</v>
      </c>
      <c r="M37" s="56">
        <f t="shared" si="0"/>
        <v>82.64</v>
      </c>
    </row>
    <row r="38" spans="1:13">
      <c r="A38" s="2"/>
      <c r="B38" s="2"/>
      <c r="C38" s="2">
        <v>4</v>
      </c>
      <c r="D38" s="2" t="s">
        <v>83</v>
      </c>
      <c r="E38" s="2">
        <v>57.6</v>
      </c>
      <c r="F38" s="2"/>
      <c r="G38" s="3"/>
      <c r="H38" s="4">
        <f>AVERAGE(H39:H42)</f>
        <v>20.192499999999999</v>
      </c>
      <c r="I38" s="2"/>
      <c r="J38" s="3"/>
      <c r="K38" s="5"/>
      <c r="L38" s="2"/>
      <c r="M38" s="56"/>
    </row>
    <row r="39" spans="1:13">
      <c r="A39" s="2"/>
      <c r="B39" s="2"/>
      <c r="C39" s="2">
        <v>4</v>
      </c>
      <c r="D39" s="2" t="s">
        <v>85</v>
      </c>
      <c r="E39" s="2">
        <v>50.1</v>
      </c>
      <c r="F39" s="2"/>
      <c r="G39" s="3"/>
      <c r="H39" s="2">
        <v>29.97</v>
      </c>
      <c r="I39" s="2"/>
      <c r="J39" s="3"/>
      <c r="K39" s="5"/>
      <c r="L39" s="2"/>
      <c r="M39" s="56"/>
    </row>
    <row r="40" spans="1:13">
      <c r="A40" s="2"/>
      <c r="B40" s="2"/>
      <c r="C40" s="2">
        <v>4</v>
      </c>
      <c r="D40" s="2" t="s">
        <v>87</v>
      </c>
      <c r="E40" s="2">
        <v>50.8</v>
      </c>
      <c r="F40" s="2"/>
      <c r="G40" s="3"/>
      <c r="H40" s="2">
        <f>16.8-0.25</f>
        <v>16.55</v>
      </c>
      <c r="I40" s="2"/>
      <c r="J40" s="3"/>
      <c r="K40" s="5"/>
      <c r="L40" s="2"/>
      <c r="M40" s="56"/>
    </row>
    <row r="41" spans="1:13">
      <c r="A41" s="2"/>
      <c r="B41" s="2"/>
      <c r="C41" s="2">
        <v>4</v>
      </c>
      <c r="D41" s="2" t="s">
        <v>79</v>
      </c>
      <c r="E41" s="2">
        <v>41.3</v>
      </c>
      <c r="F41" s="2"/>
      <c r="G41" s="3"/>
      <c r="H41" s="28">
        <v>12.39</v>
      </c>
      <c r="I41" s="2"/>
      <c r="J41" s="3"/>
      <c r="K41" s="5"/>
      <c r="L41" s="2"/>
      <c r="M41" s="56"/>
    </row>
    <row r="42" spans="1:13">
      <c r="A42" s="2"/>
      <c r="B42" s="2"/>
      <c r="C42" s="2">
        <v>4</v>
      </c>
      <c r="D42" s="2" t="s">
        <v>88</v>
      </c>
      <c r="E42" s="2">
        <v>52.4</v>
      </c>
      <c r="F42" s="2">
        <f>AVERAGE(E38:E42)</f>
        <v>50.440000000000005</v>
      </c>
      <c r="G42" s="3"/>
      <c r="H42" s="2">
        <f>23.12-1.26</f>
        <v>21.86</v>
      </c>
      <c r="I42" s="2">
        <f>AVERAGE(H38:H42)</f>
        <v>20.192499999999999</v>
      </c>
      <c r="J42" s="3"/>
      <c r="K42" s="5"/>
      <c r="L42" s="2" t="e">
        <f>AVERAGE(K38:K42)</f>
        <v>#DIV/0!</v>
      </c>
      <c r="M42" s="56"/>
    </row>
    <row r="43" spans="1:13">
      <c r="A43" s="2" t="s">
        <v>78</v>
      </c>
      <c r="B43" s="2" t="s">
        <v>95</v>
      </c>
      <c r="C43" s="2">
        <v>1</v>
      </c>
      <c r="D43" s="2" t="s">
        <v>83</v>
      </c>
      <c r="E43" s="2">
        <v>71.400000000000006</v>
      </c>
      <c r="F43" s="2"/>
      <c r="G43" s="3"/>
      <c r="H43" s="2">
        <v>8.0299999999999994</v>
      </c>
      <c r="I43" s="2"/>
      <c r="J43" s="3"/>
      <c r="K43" s="2">
        <v>1.25</v>
      </c>
      <c r="L43" s="2"/>
      <c r="M43" s="56">
        <f t="shared" ref="M43:M222" si="2">SUM(E43,H43,K43)</f>
        <v>80.680000000000007</v>
      </c>
    </row>
    <row r="44" spans="1:13">
      <c r="A44" s="2"/>
      <c r="B44" s="2"/>
      <c r="C44" s="2">
        <v>1</v>
      </c>
      <c r="D44" s="2" t="s">
        <v>85</v>
      </c>
      <c r="E44" s="2">
        <v>60.9</v>
      </c>
      <c r="F44" s="2"/>
      <c r="G44" s="3"/>
      <c r="H44" s="2">
        <v>15.55</v>
      </c>
      <c r="I44" s="2"/>
      <c r="J44" s="3"/>
      <c r="K44" s="2">
        <v>3.1</v>
      </c>
      <c r="L44" s="2"/>
      <c r="M44" s="56">
        <f t="shared" si="2"/>
        <v>79.55</v>
      </c>
    </row>
    <row r="45" spans="1:13">
      <c r="A45" s="2"/>
      <c r="B45" s="2"/>
      <c r="C45" s="2">
        <v>1</v>
      </c>
      <c r="D45" s="2" t="s">
        <v>87</v>
      </c>
      <c r="E45" s="2">
        <v>45.2</v>
      </c>
      <c r="F45" s="2"/>
      <c r="G45" s="3"/>
      <c r="H45" s="4">
        <f>AVERAGE(H43:H44,H46)</f>
        <v>13.579999999999998</v>
      </c>
      <c r="I45" s="2"/>
      <c r="J45" s="3"/>
      <c r="K45" s="2">
        <v>2.75</v>
      </c>
      <c r="L45" s="2"/>
      <c r="M45" s="56">
        <f t="shared" si="2"/>
        <v>61.53</v>
      </c>
    </row>
    <row r="46" spans="1:13">
      <c r="A46" s="2"/>
      <c r="B46" s="2"/>
      <c r="C46" s="2">
        <v>1</v>
      </c>
      <c r="D46" s="2" t="s">
        <v>79</v>
      </c>
      <c r="E46" s="2">
        <v>63.4</v>
      </c>
      <c r="F46" s="2"/>
      <c r="G46" s="3"/>
      <c r="H46" s="2">
        <v>17.16</v>
      </c>
      <c r="I46" s="2"/>
      <c r="J46" s="3"/>
      <c r="K46" s="2">
        <v>3.42</v>
      </c>
      <c r="L46" s="2"/>
      <c r="M46" s="56">
        <f t="shared" si="2"/>
        <v>83.98</v>
      </c>
    </row>
    <row r="47" spans="1:13">
      <c r="A47" s="2"/>
      <c r="B47" s="2"/>
      <c r="C47" s="2">
        <v>1</v>
      </c>
      <c r="D47" s="2" t="s">
        <v>88</v>
      </c>
      <c r="E47" s="2">
        <v>48.3</v>
      </c>
      <c r="F47" s="2">
        <f>AVERAGE(E43:E47)</f>
        <v>57.839999999999996</v>
      </c>
      <c r="G47" s="3"/>
      <c r="H47" s="4">
        <f>AVERAGE(H43:H44,H46)</f>
        <v>13.579999999999998</v>
      </c>
      <c r="I47" s="2">
        <f>AVERAGE(H43:H47)</f>
        <v>13.579999999999998</v>
      </c>
      <c r="J47" s="3"/>
      <c r="K47" s="2">
        <v>3.37</v>
      </c>
      <c r="L47" s="2">
        <f>AVERAGE(K43:K47)</f>
        <v>2.778</v>
      </c>
      <c r="M47" s="56">
        <f t="shared" si="2"/>
        <v>65.25</v>
      </c>
    </row>
    <row r="48" spans="1:13">
      <c r="A48" s="2"/>
      <c r="B48" s="2"/>
      <c r="C48" s="2">
        <v>2</v>
      </c>
      <c r="D48" s="2" t="s">
        <v>83</v>
      </c>
      <c r="E48" s="2">
        <v>54.2</v>
      </c>
      <c r="F48" s="2"/>
      <c r="G48" s="3"/>
      <c r="H48" s="2">
        <v>9.92</v>
      </c>
      <c r="I48" s="2"/>
      <c r="J48" s="3"/>
      <c r="K48" s="2">
        <v>0.84</v>
      </c>
      <c r="L48" s="2"/>
      <c r="M48" s="56">
        <f t="shared" si="2"/>
        <v>64.960000000000008</v>
      </c>
    </row>
    <row r="49" spans="1:13">
      <c r="A49" s="2"/>
      <c r="B49" s="2"/>
      <c r="C49" s="2">
        <v>2</v>
      </c>
      <c r="D49" s="2" t="s">
        <v>85</v>
      </c>
      <c r="E49" s="2">
        <v>64.2</v>
      </c>
      <c r="F49" s="2"/>
      <c r="G49" s="3"/>
      <c r="H49" s="2">
        <v>9.35</v>
      </c>
      <c r="I49" s="2"/>
      <c r="J49" s="3"/>
      <c r="K49" s="2">
        <v>1.08</v>
      </c>
      <c r="L49" s="2"/>
      <c r="M49" s="56">
        <f t="shared" si="2"/>
        <v>74.63</v>
      </c>
    </row>
    <row r="50" spans="1:13">
      <c r="A50" s="2"/>
      <c r="B50" s="2"/>
      <c r="C50" s="2">
        <v>2</v>
      </c>
      <c r="D50" s="2" t="s">
        <v>87</v>
      </c>
      <c r="E50" s="4"/>
      <c r="F50" s="2"/>
      <c r="G50" s="3"/>
      <c r="H50" s="4">
        <f>AVERAGE(H48:H49,H51:H52)</f>
        <v>8.4574999999999996</v>
      </c>
      <c r="I50" s="2"/>
      <c r="J50" s="3"/>
      <c r="K50" s="2">
        <v>1.27</v>
      </c>
      <c r="L50" s="2"/>
      <c r="M50" s="56">
        <f t="shared" si="2"/>
        <v>9.7274999999999991</v>
      </c>
    </row>
    <row r="51" spans="1:13">
      <c r="A51" s="2"/>
      <c r="B51" s="2"/>
      <c r="C51" s="2">
        <v>2</v>
      </c>
      <c r="D51" s="2" t="s">
        <v>79</v>
      </c>
      <c r="E51" s="2">
        <v>58.9</v>
      </c>
      <c r="F51" s="2"/>
      <c r="G51" s="3"/>
      <c r="H51" s="28">
        <f>0.98-0.5</f>
        <v>0.48</v>
      </c>
      <c r="I51" s="2"/>
      <c r="J51" s="3"/>
      <c r="K51" s="2">
        <v>2.09</v>
      </c>
      <c r="L51" s="2"/>
      <c r="M51" s="56">
        <f t="shared" si="2"/>
        <v>61.47</v>
      </c>
    </row>
    <row r="52" spans="1:13">
      <c r="A52" s="2"/>
      <c r="B52" s="2"/>
      <c r="C52" s="2">
        <v>2</v>
      </c>
      <c r="D52" s="2" t="s">
        <v>88</v>
      </c>
      <c r="E52" s="2">
        <v>69.8</v>
      </c>
      <c r="F52" s="2">
        <f>AVERAGE(E48:E52)</f>
        <v>61.775000000000006</v>
      </c>
      <c r="G52" s="3"/>
      <c r="H52" s="28">
        <v>14.08</v>
      </c>
      <c r="I52" s="2">
        <f>AVERAGE(H48:H52)</f>
        <v>8.4574999999999996</v>
      </c>
      <c r="J52" s="3"/>
      <c r="K52" s="2">
        <v>4.3099999999999996</v>
      </c>
      <c r="L52" s="2">
        <f>AVERAGE(K48:K52)</f>
        <v>1.9179999999999999</v>
      </c>
      <c r="M52" s="56">
        <f t="shared" si="2"/>
        <v>88.19</v>
      </c>
    </row>
    <row r="53" spans="1:13">
      <c r="A53" s="2"/>
      <c r="B53" s="2"/>
      <c r="C53" s="2">
        <v>3</v>
      </c>
      <c r="D53" s="2" t="s">
        <v>83</v>
      </c>
      <c r="E53" s="2">
        <v>55.2</v>
      </c>
      <c r="F53" s="2"/>
      <c r="G53" s="3"/>
      <c r="H53" s="2">
        <f>14.8-0.9</f>
        <v>13.9</v>
      </c>
      <c r="I53" s="2"/>
      <c r="J53" s="3"/>
      <c r="K53" s="2">
        <v>1.1100000000000001</v>
      </c>
      <c r="L53" s="2"/>
      <c r="M53" s="56">
        <f t="shared" si="2"/>
        <v>70.210000000000008</v>
      </c>
    </row>
    <row r="54" spans="1:13">
      <c r="A54" s="2"/>
      <c r="B54" s="2"/>
      <c r="C54" s="2">
        <v>3</v>
      </c>
      <c r="D54" s="2" t="s">
        <v>85</v>
      </c>
      <c r="E54" s="2">
        <v>57.9</v>
      </c>
      <c r="F54" s="2"/>
      <c r="G54" s="3"/>
      <c r="H54" s="4">
        <f>AVERAGE(H53,H55,H57)</f>
        <v>12.006666666666666</v>
      </c>
      <c r="I54" s="2"/>
      <c r="J54" s="3"/>
      <c r="K54" s="2">
        <v>1.7</v>
      </c>
      <c r="L54" s="2"/>
      <c r="M54" s="56">
        <f t="shared" si="2"/>
        <v>71.606666666666669</v>
      </c>
    </row>
    <row r="55" spans="1:13">
      <c r="A55" s="2"/>
      <c r="B55" s="2"/>
      <c r="C55" s="2">
        <v>3</v>
      </c>
      <c r="D55" s="2" t="s">
        <v>87</v>
      </c>
      <c r="E55" s="2">
        <v>42.2</v>
      </c>
      <c r="F55" s="2"/>
      <c r="G55" s="3"/>
      <c r="H55" s="2">
        <v>11.21</v>
      </c>
      <c r="I55" s="2"/>
      <c r="J55" s="3"/>
      <c r="K55" s="2">
        <v>1.49</v>
      </c>
      <c r="L55" s="2"/>
      <c r="M55" s="56">
        <f t="shared" si="2"/>
        <v>54.900000000000006</v>
      </c>
    </row>
    <row r="56" spans="1:13">
      <c r="A56" s="2"/>
      <c r="B56" s="2"/>
      <c r="C56" s="2">
        <v>3</v>
      </c>
      <c r="D56" s="2" t="s">
        <v>79</v>
      </c>
      <c r="E56" s="2">
        <v>42.7</v>
      </c>
      <c r="F56" s="2"/>
      <c r="G56" s="3"/>
      <c r="H56" s="4">
        <f>AVERAGE(H53,H55,H57)</f>
        <v>12.006666666666666</v>
      </c>
      <c r="I56" s="2"/>
      <c r="J56" s="3"/>
      <c r="K56" s="2">
        <v>1.33</v>
      </c>
      <c r="L56" s="2"/>
      <c r="M56" s="56">
        <f t="shared" si="2"/>
        <v>56.036666666666669</v>
      </c>
    </row>
    <row r="57" spans="1:13">
      <c r="A57" s="2"/>
      <c r="B57" s="2"/>
      <c r="C57" s="2">
        <v>3</v>
      </c>
      <c r="D57" s="2" t="s">
        <v>88</v>
      </c>
      <c r="E57" s="2">
        <v>52.5</v>
      </c>
      <c r="F57" s="2">
        <f>AVERAGE(E53:E57)</f>
        <v>50.1</v>
      </c>
      <c r="G57" s="3"/>
      <c r="H57" s="2">
        <v>10.91</v>
      </c>
      <c r="I57" s="2">
        <f>AVERAGE(H53:H57)</f>
        <v>12.006666666666666</v>
      </c>
      <c r="J57" s="3"/>
      <c r="K57" s="2">
        <v>1.24</v>
      </c>
      <c r="L57" s="2">
        <f>AVERAGE(K53:K57)</f>
        <v>1.3740000000000001</v>
      </c>
      <c r="M57" s="56">
        <f t="shared" si="2"/>
        <v>64.649999999999991</v>
      </c>
    </row>
    <row r="58" spans="1:13">
      <c r="A58" s="2"/>
      <c r="B58" s="2"/>
      <c r="C58" s="2">
        <v>4</v>
      </c>
      <c r="D58" s="2" t="s">
        <v>83</v>
      </c>
      <c r="E58" s="60">
        <v>4</v>
      </c>
      <c r="F58" s="2"/>
      <c r="G58" s="3"/>
      <c r="H58" s="4">
        <f t="shared" ref="H58:H59" si="3">AVERAGE($H$60:$H$61)</f>
        <v>10.54</v>
      </c>
      <c r="I58" s="2"/>
      <c r="J58" s="3"/>
      <c r="K58" s="2">
        <v>1.44</v>
      </c>
      <c r="L58" s="2"/>
      <c r="M58" s="56">
        <f t="shared" si="2"/>
        <v>15.979999999999999</v>
      </c>
    </row>
    <row r="59" spans="1:13">
      <c r="A59" s="2"/>
      <c r="B59" s="2"/>
      <c r="C59" s="2">
        <v>4</v>
      </c>
      <c r="D59" s="2" t="s">
        <v>85</v>
      </c>
      <c r="E59" s="60">
        <v>18.2</v>
      </c>
      <c r="F59" s="2"/>
      <c r="G59" s="3"/>
      <c r="H59" s="4">
        <f t="shared" si="3"/>
        <v>10.54</v>
      </c>
      <c r="I59" s="2"/>
      <c r="J59" s="3"/>
      <c r="K59" s="2">
        <v>1.68</v>
      </c>
      <c r="L59" s="2"/>
      <c r="M59" s="56">
        <f t="shared" si="2"/>
        <v>30.419999999999998</v>
      </c>
    </row>
    <row r="60" spans="1:13">
      <c r="A60" s="2"/>
      <c r="B60" s="2"/>
      <c r="C60" s="2">
        <v>4</v>
      </c>
      <c r="D60" s="2" t="s">
        <v>87</v>
      </c>
      <c r="E60" s="2">
        <v>72.7</v>
      </c>
      <c r="F60" s="2"/>
      <c r="G60" s="3"/>
      <c r="H60" s="2">
        <v>2.77</v>
      </c>
      <c r="I60" s="2"/>
      <c r="J60" s="3"/>
      <c r="K60" s="2">
        <v>1.21</v>
      </c>
      <c r="L60" s="2"/>
      <c r="M60" s="56">
        <f t="shared" si="2"/>
        <v>76.679999999999993</v>
      </c>
    </row>
    <row r="61" spans="1:13">
      <c r="A61" s="2"/>
      <c r="B61" s="2"/>
      <c r="C61" s="2">
        <v>4</v>
      </c>
      <c r="D61" s="2" t="s">
        <v>79</v>
      </c>
      <c r="E61" s="4"/>
      <c r="F61" s="2"/>
      <c r="G61" s="3"/>
      <c r="H61" s="2">
        <v>18.309999999999999</v>
      </c>
      <c r="I61" s="2"/>
      <c r="J61" s="3"/>
      <c r="K61" s="2">
        <v>1.2</v>
      </c>
      <c r="L61" s="2"/>
      <c r="M61" s="56">
        <f t="shared" si="2"/>
        <v>19.509999999999998</v>
      </c>
    </row>
    <row r="62" spans="1:13">
      <c r="A62" s="2"/>
      <c r="B62" s="2"/>
      <c r="C62" s="2">
        <v>4</v>
      </c>
      <c r="D62" s="2" t="s">
        <v>88</v>
      </c>
      <c r="E62" s="2">
        <v>63.8</v>
      </c>
      <c r="F62" s="2">
        <f>AVERAGE(E58:E62)</f>
        <v>39.674999999999997</v>
      </c>
      <c r="G62" s="3"/>
      <c r="H62" s="4">
        <f>AVERAGE($H$60:$H$61)</f>
        <v>10.54</v>
      </c>
      <c r="I62" s="2">
        <f>AVERAGE(H58:H62)</f>
        <v>10.54</v>
      </c>
      <c r="J62" s="3"/>
      <c r="K62" s="2">
        <v>1.44</v>
      </c>
      <c r="L62" s="2">
        <f>AVERAGE(K58:K62)</f>
        <v>1.3940000000000001</v>
      </c>
      <c r="M62" s="56">
        <f t="shared" si="2"/>
        <v>75.78</v>
      </c>
    </row>
    <row r="63" spans="1:13">
      <c r="A63" s="2" t="s">
        <v>78</v>
      </c>
      <c r="B63" s="2" t="s">
        <v>101</v>
      </c>
      <c r="C63" s="2">
        <v>1</v>
      </c>
      <c r="D63" s="2" t="s">
        <v>83</v>
      </c>
      <c r="E63" s="2">
        <v>62.1</v>
      </c>
      <c r="F63" s="2"/>
      <c r="G63" s="3"/>
      <c r="H63" s="2">
        <v>4.42</v>
      </c>
      <c r="I63" s="2"/>
      <c r="J63" s="3"/>
      <c r="K63" s="2">
        <v>2.83</v>
      </c>
      <c r="L63" s="2"/>
      <c r="M63" s="56">
        <f t="shared" si="2"/>
        <v>69.349999999999994</v>
      </c>
    </row>
    <row r="64" spans="1:13">
      <c r="A64" s="2"/>
      <c r="B64" s="2"/>
      <c r="C64" s="2">
        <v>1</v>
      </c>
      <c r="D64" s="2" t="s">
        <v>85</v>
      </c>
      <c r="E64" s="2">
        <v>69.8</v>
      </c>
      <c r="F64" s="2"/>
      <c r="G64" s="3"/>
      <c r="H64" s="2">
        <f>5.02-0.4</f>
        <v>4.6199999999999992</v>
      </c>
      <c r="I64" s="2"/>
      <c r="J64" s="3"/>
      <c r="K64" s="2">
        <v>3.3</v>
      </c>
      <c r="L64" s="2"/>
      <c r="M64" s="56">
        <f t="shared" si="2"/>
        <v>77.72</v>
      </c>
    </row>
    <row r="65" spans="1:13">
      <c r="A65" s="2"/>
      <c r="B65" s="2"/>
      <c r="C65" s="2">
        <v>1</v>
      </c>
      <c r="D65" s="2" t="s">
        <v>87</v>
      </c>
      <c r="E65" s="2">
        <v>75.400000000000006</v>
      </c>
      <c r="F65" s="2"/>
      <c r="G65" s="3"/>
      <c r="H65" s="2">
        <v>10.08</v>
      </c>
      <c r="I65" s="2"/>
      <c r="J65" s="3"/>
      <c r="K65" s="2">
        <v>1.93</v>
      </c>
      <c r="L65" s="2"/>
      <c r="M65" s="56">
        <f t="shared" si="2"/>
        <v>87.410000000000011</v>
      </c>
    </row>
    <row r="66" spans="1:13">
      <c r="A66" s="2"/>
      <c r="B66" s="2"/>
      <c r="C66" s="2">
        <v>1</v>
      </c>
      <c r="D66" s="2" t="s">
        <v>79</v>
      </c>
      <c r="E66" s="2">
        <v>67.400000000000006</v>
      </c>
      <c r="F66" s="2"/>
      <c r="G66" s="3"/>
      <c r="H66" s="2">
        <v>10.029999999999999</v>
      </c>
      <c r="I66" s="2"/>
      <c r="J66" s="3"/>
      <c r="K66" s="2">
        <v>4.3899999999999997</v>
      </c>
      <c r="L66" s="2"/>
      <c r="M66" s="56">
        <f t="shared" si="2"/>
        <v>81.820000000000007</v>
      </c>
    </row>
    <row r="67" spans="1:13">
      <c r="A67" s="2"/>
      <c r="B67" s="2"/>
      <c r="C67" s="2">
        <v>1</v>
      </c>
      <c r="D67" s="2" t="s">
        <v>88</v>
      </c>
      <c r="E67" s="2">
        <v>76.5</v>
      </c>
      <c r="F67" s="2">
        <f>AVERAGE(E63:E67)</f>
        <v>70.240000000000009</v>
      </c>
      <c r="G67" s="3"/>
      <c r="H67" s="2">
        <v>6.8</v>
      </c>
      <c r="I67" s="2">
        <f>AVERAGE(H63:H67)</f>
        <v>7.1899999999999995</v>
      </c>
      <c r="J67" s="3"/>
      <c r="K67" s="2">
        <v>2.2599999999999998</v>
      </c>
      <c r="L67" s="2">
        <f>AVERAGE(K63:K67)</f>
        <v>2.9419999999999997</v>
      </c>
      <c r="M67" s="56">
        <f t="shared" si="2"/>
        <v>85.56</v>
      </c>
    </row>
    <row r="68" spans="1:13">
      <c r="A68" s="2"/>
      <c r="B68" s="2"/>
      <c r="C68" s="2">
        <v>2</v>
      </c>
      <c r="D68" s="2" t="s">
        <v>83</v>
      </c>
      <c r="E68" s="2">
        <v>72.400000000000006</v>
      </c>
      <c r="F68" s="2"/>
      <c r="G68" s="3"/>
      <c r="H68" s="2">
        <v>8.36</v>
      </c>
      <c r="I68" s="2"/>
      <c r="J68" s="3"/>
      <c r="K68" s="2">
        <v>4.8499999999999996</v>
      </c>
      <c r="L68" s="2"/>
      <c r="M68" s="56">
        <f t="shared" si="2"/>
        <v>85.61</v>
      </c>
    </row>
    <row r="69" spans="1:13">
      <c r="A69" s="2"/>
      <c r="B69" s="2"/>
      <c r="C69" s="2">
        <v>2</v>
      </c>
      <c r="D69" s="2" t="s">
        <v>85</v>
      </c>
      <c r="E69" s="2">
        <v>71.8</v>
      </c>
      <c r="F69" s="2"/>
      <c r="G69" s="3"/>
      <c r="H69" s="2">
        <v>6.45</v>
      </c>
      <c r="I69" s="2"/>
      <c r="J69" s="3"/>
      <c r="K69" s="2">
        <v>2.16</v>
      </c>
      <c r="L69" s="2"/>
      <c r="M69" s="56">
        <f t="shared" si="2"/>
        <v>80.41</v>
      </c>
    </row>
    <row r="70" spans="1:13">
      <c r="A70" s="2"/>
      <c r="B70" s="2"/>
      <c r="C70" s="2">
        <v>2</v>
      </c>
      <c r="D70" s="2" t="s">
        <v>87</v>
      </c>
      <c r="E70" s="2">
        <v>76.8</v>
      </c>
      <c r="F70" s="2"/>
      <c r="G70" s="3"/>
      <c r="H70" s="2">
        <v>6.72</v>
      </c>
      <c r="I70" s="2"/>
      <c r="J70" s="3"/>
      <c r="K70" s="2">
        <v>2.98</v>
      </c>
      <c r="L70" s="2"/>
      <c r="M70" s="56">
        <f t="shared" si="2"/>
        <v>86.5</v>
      </c>
    </row>
    <row r="71" spans="1:13">
      <c r="A71" s="2"/>
      <c r="B71" s="2"/>
      <c r="C71" s="2">
        <v>2</v>
      </c>
      <c r="D71" s="2" t="s">
        <v>79</v>
      </c>
      <c r="E71" s="2">
        <v>63.9</v>
      </c>
      <c r="F71" s="2"/>
      <c r="G71" s="3"/>
      <c r="H71" s="2">
        <v>6.91</v>
      </c>
      <c r="I71" s="2"/>
      <c r="J71" s="3"/>
      <c r="K71" s="2">
        <v>2.54</v>
      </c>
      <c r="L71" s="2"/>
      <c r="M71" s="56">
        <f t="shared" si="2"/>
        <v>73.350000000000009</v>
      </c>
    </row>
    <row r="72" spans="1:13">
      <c r="A72" s="2"/>
      <c r="B72" s="2"/>
      <c r="C72" s="2">
        <v>2</v>
      </c>
      <c r="D72" s="2" t="s">
        <v>88</v>
      </c>
      <c r="E72" s="2">
        <v>83.7</v>
      </c>
      <c r="F72" s="2">
        <f>AVERAGE(E68:E72)</f>
        <v>73.72</v>
      </c>
      <c r="G72" s="3"/>
      <c r="H72" s="2">
        <v>15.75</v>
      </c>
      <c r="I72" s="2">
        <f>AVERAGE(H68:H72)</f>
        <v>8.8379999999999992</v>
      </c>
      <c r="J72" s="3"/>
      <c r="K72" s="2">
        <v>3.53</v>
      </c>
      <c r="L72" s="2">
        <f>AVERAGE(K68:K72)</f>
        <v>3.2120000000000006</v>
      </c>
      <c r="M72" s="56">
        <f t="shared" si="2"/>
        <v>102.98</v>
      </c>
    </row>
    <row r="73" spans="1:13">
      <c r="A73" s="2"/>
      <c r="B73" s="2"/>
      <c r="C73" s="2">
        <v>3</v>
      </c>
      <c r="D73" s="2" t="s">
        <v>83</v>
      </c>
      <c r="E73" s="2">
        <v>63.4</v>
      </c>
      <c r="F73" s="2"/>
      <c r="G73" s="3"/>
      <c r="H73" s="2">
        <f>8.46-7.43</f>
        <v>1.0300000000000011</v>
      </c>
      <c r="I73" s="2"/>
      <c r="J73" s="3"/>
      <c r="K73" s="2">
        <v>1.44</v>
      </c>
      <c r="L73" s="2"/>
      <c r="M73" s="56">
        <f t="shared" si="2"/>
        <v>65.87</v>
      </c>
    </row>
    <row r="74" spans="1:13">
      <c r="A74" s="2"/>
      <c r="B74" s="2"/>
      <c r="C74" s="2">
        <v>3</v>
      </c>
      <c r="D74" s="2" t="s">
        <v>85</v>
      </c>
      <c r="E74" s="2">
        <v>65</v>
      </c>
      <c r="F74" s="2"/>
      <c r="G74" s="3"/>
      <c r="H74" s="2">
        <v>13.35</v>
      </c>
      <c r="I74" s="2"/>
      <c r="J74" s="3"/>
      <c r="K74" s="4">
        <f>AVERAGE(K73,K75:K77)</f>
        <v>2.8325</v>
      </c>
      <c r="L74" s="2"/>
      <c r="M74" s="56">
        <f t="shared" si="2"/>
        <v>81.18249999999999</v>
      </c>
    </row>
    <row r="75" spans="1:13">
      <c r="A75" s="2"/>
      <c r="B75" s="2"/>
      <c r="C75" s="2">
        <v>3</v>
      </c>
      <c r="D75" s="2" t="s">
        <v>87</v>
      </c>
      <c r="E75" s="2">
        <v>60.1</v>
      </c>
      <c r="F75" s="2"/>
      <c r="G75" s="3"/>
      <c r="H75" s="2">
        <v>7.2</v>
      </c>
      <c r="I75" s="2"/>
      <c r="J75" s="3"/>
      <c r="K75" s="2">
        <v>2.7</v>
      </c>
      <c r="L75" s="2"/>
      <c r="M75" s="56">
        <f t="shared" si="2"/>
        <v>70</v>
      </c>
    </row>
    <row r="76" spans="1:13">
      <c r="A76" s="2"/>
      <c r="B76" s="2"/>
      <c r="C76" s="2">
        <v>3</v>
      </c>
      <c r="D76" s="2" t="s">
        <v>79</v>
      </c>
      <c r="E76" s="2">
        <v>64.7</v>
      </c>
      <c r="F76" s="2"/>
      <c r="G76" s="3"/>
      <c r="H76" s="2">
        <v>10.199999999999999</v>
      </c>
      <c r="I76" s="2"/>
      <c r="J76" s="3"/>
      <c r="K76" s="2">
        <v>2.94</v>
      </c>
      <c r="L76" s="2"/>
      <c r="M76" s="56">
        <f t="shared" si="2"/>
        <v>77.84</v>
      </c>
    </row>
    <row r="77" spans="1:13">
      <c r="A77" s="2"/>
      <c r="B77" s="2"/>
      <c r="C77" s="2">
        <v>3</v>
      </c>
      <c r="D77" s="2" t="s">
        <v>88</v>
      </c>
      <c r="E77" s="2">
        <v>72.099999999999994</v>
      </c>
      <c r="F77" s="2">
        <f>AVERAGE(E73:E77)</f>
        <v>65.059999999999988</v>
      </c>
      <c r="G77" s="3"/>
      <c r="H77" s="2">
        <v>14</v>
      </c>
      <c r="I77" s="2">
        <f>AVERAGE(H73:H77)</f>
        <v>9.1560000000000006</v>
      </c>
      <c r="J77" s="3"/>
      <c r="K77" s="2">
        <v>4.25</v>
      </c>
      <c r="L77" s="2">
        <f>AVERAGE(K73:K77)</f>
        <v>2.8325</v>
      </c>
      <c r="M77" s="56">
        <f t="shared" si="2"/>
        <v>90.35</v>
      </c>
    </row>
    <row r="78" spans="1:13">
      <c r="A78" s="2"/>
      <c r="B78" s="2"/>
      <c r="C78" s="2">
        <v>4</v>
      </c>
      <c r="D78" s="2" t="s">
        <v>83</v>
      </c>
      <c r="E78" s="2">
        <v>61.4</v>
      </c>
      <c r="F78" s="2"/>
      <c r="G78" s="3"/>
      <c r="H78" s="4">
        <f>AVERAGE(H79:H82)</f>
        <v>7.714999999999999</v>
      </c>
      <c r="I78" s="2"/>
      <c r="J78" s="3"/>
      <c r="K78" s="2">
        <v>1.67</v>
      </c>
      <c r="L78" s="2"/>
      <c r="M78" s="56">
        <f t="shared" si="2"/>
        <v>70.784999999999997</v>
      </c>
    </row>
    <row r="79" spans="1:13">
      <c r="A79" s="2"/>
      <c r="B79" s="2"/>
      <c r="C79" s="2">
        <v>4</v>
      </c>
      <c r="D79" s="2" t="s">
        <v>85</v>
      </c>
      <c r="E79" s="2">
        <v>57.9</v>
      </c>
      <c r="F79" s="2"/>
      <c r="G79" s="3"/>
      <c r="H79" s="2">
        <v>9.7899999999999991</v>
      </c>
      <c r="I79" s="2"/>
      <c r="J79" s="3"/>
      <c r="K79" s="2">
        <v>1.99</v>
      </c>
      <c r="L79" s="2"/>
      <c r="M79" s="56">
        <f t="shared" si="2"/>
        <v>69.679999999999993</v>
      </c>
    </row>
    <row r="80" spans="1:13">
      <c r="A80" s="2"/>
      <c r="B80" s="2"/>
      <c r="C80" s="2">
        <v>4</v>
      </c>
      <c r="D80" s="2" t="s">
        <v>87</v>
      </c>
      <c r="E80" s="2">
        <v>71.900000000000006</v>
      </c>
      <c r="F80" s="2"/>
      <c r="G80" s="3"/>
      <c r="H80" s="2">
        <v>7.33</v>
      </c>
      <c r="I80" s="2"/>
      <c r="J80" s="3"/>
      <c r="K80" s="2">
        <v>3.42</v>
      </c>
      <c r="L80" s="2"/>
      <c r="M80" s="56">
        <f t="shared" si="2"/>
        <v>82.65</v>
      </c>
    </row>
    <row r="81" spans="1:13">
      <c r="A81" s="2"/>
      <c r="B81" s="2"/>
      <c r="C81" s="2">
        <v>4</v>
      </c>
      <c r="D81" s="2" t="s">
        <v>79</v>
      </c>
      <c r="E81" s="2">
        <v>56.6</v>
      </c>
      <c r="F81" s="2"/>
      <c r="G81" s="2"/>
      <c r="H81" s="2">
        <v>4.04</v>
      </c>
      <c r="I81" s="2"/>
      <c r="J81" s="3"/>
      <c r="K81" s="2">
        <v>2.5299999999999998</v>
      </c>
      <c r="L81" s="2"/>
      <c r="M81" s="56">
        <f t="shared" si="2"/>
        <v>63.17</v>
      </c>
    </row>
    <row r="82" spans="1:13">
      <c r="A82" s="2"/>
      <c r="B82" s="2"/>
      <c r="C82" s="2">
        <v>4</v>
      </c>
      <c r="D82" s="2" t="s">
        <v>88</v>
      </c>
      <c r="E82" s="2">
        <v>82.8</v>
      </c>
      <c r="F82" s="2">
        <f>AVERAGE(E78:E82)</f>
        <v>66.11999999999999</v>
      </c>
      <c r="G82" s="3"/>
      <c r="H82" s="2">
        <v>9.6999999999999993</v>
      </c>
      <c r="I82" s="2">
        <f>AVERAGE(H78:H82)</f>
        <v>7.7150000000000007</v>
      </c>
      <c r="J82" s="3"/>
      <c r="K82" s="2">
        <v>3.77</v>
      </c>
      <c r="L82" s="2">
        <f>AVERAGE(K78:K82)</f>
        <v>2.6759999999999997</v>
      </c>
      <c r="M82" s="56">
        <f t="shared" si="2"/>
        <v>96.27</v>
      </c>
    </row>
    <row r="83" spans="1:13">
      <c r="A83" s="2" t="s">
        <v>78</v>
      </c>
      <c r="B83" s="2" t="s">
        <v>102</v>
      </c>
      <c r="C83" s="2">
        <v>1</v>
      </c>
      <c r="D83" s="2" t="s">
        <v>83</v>
      </c>
      <c r="E83" s="4"/>
      <c r="F83" s="2"/>
      <c r="G83" s="3"/>
      <c r="H83" s="2">
        <v>1.39</v>
      </c>
      <c r="I83" s="2"/>
      <c r="J83" s="3"/>
      <c r="K83" s="2">
        <v>1.2</v>
      </c>
      <c r="L83" s="2"/>
      <c r="M83" s="56">
        <f t="shared" si="2"/>
        <v>2.59</v>
      </c>
    </row>
    <row r="84" spans="1:13">
      <c r="A84" s="2"/>
      <c r="B84" s="2"/>
      <c r="C84" s="2">
        <v>1</v>
      </c>
      <c r="D84" s="2" t="s">
        <v>85</v>
      </c>
      <c r="E84" s="2">
        <v>66.900000000000006</v>
      </c>
      <c r="F84" s="2"/>
      <c r="G84" s="3"/>
      <c r="H84" s="2">
        <f>11.62</f>
        <v>11.62</v>
      </c>
      <c r="I84" s="2"/>
      <c r="J84" s="3"/>
      <c r="K84" s="2">
        <v>0.78</v>
      </c>
      <c r="L84" s="2"/>
      <c r="M84" s="56">
        <f t="shared" si="2"/>
        <v>79.300000000000011</v>
      </c>
    </row>
    <row r="85" spans="1:13">
      <c r="A85" s="2"/>
      <c r="B85" s="2"/>
      <c r="C85" s="2">
        <v>1</v>
      </c>
      <c r="D85" s="2" t="s">
        <v>87</v>
      </c>
      <c r="E85" s="4"/>
      <c r="F85" s="2"/>
      <c r="G85" s="3"/>
      <c r="H85" s="2">
        <f>18-0.14</f>
        <v>17.86</v>
      </c>
      <c r="I85" s="2"/>
      <c r="J85" s="3"/>
      <c r="K85" s="2">
        <v>1.51</v>
      </c>
      <c r="L85" s="2"/>
      <c r="M85" s="56">
        <f t="shared" si="2"/>
        <v>19.37</v>
      </c>
    </row>
    <row r="86" spans="1:13">
      <c r="A86" s="2"/>
      <c r="B86" s="2"/>
      <c r="C86" s="2">
        <v>1</v>
      </c>
      <c r="D86" s="2" t="s">
        <v>79</v>
      </c>
      <c r="E86" s="2">
        <v>62.3</v>
      </c>
      <c r="F86" s="2"/>
      <c r="G86" s="3"/>
      <c r="H86" s="2">
        <v>22.31</v>
      </c>
      <c r="I86" s="2"/>
      <c r="J86" s="3"/>
      <c r="K86" s="2">
        <v>0.54</v>
      </c>
      <c r="L86" s="2"/>
      <c r="M86" s="56">
        <f t="shared" si="2"/>
        <v>85.15</v>
      </c>
    </row>
    <row r="87" spans="1:13">
      <c r="A87" s="2"/>
      <c r="B87" s="2"/>
      <c r="C87" s="2">
        <v>1</v>
      </c>
      <c r="D87" s="2" t="s">
        <v>88</v>
      </c>
      <c r="E87" s="2">
        <v>70</v>
      </c>
      <c r="F87" s="2">
        <f>AVERAGEA(E83:E87)</f>
        <v>66.399999999999991</v>
      </c>
      <c r="G87" s="3"/>
      <c r="H87" s="2">
        <v>9</v>
      </c>
      <c r="I87" s="2">
        <f>AVERAGEA(H83:H87)</f>
        <v>12.435999999999998</v>
      </c>
      <c r="J87" s="3"/>
      <c r="K87" s="2">
        <v>1.78</v>
      </c>
      <c r="L87" s="2">
        <f>AVERAGEA(K83:K87)</f>
        <v>1.1620000000000001</v>
      </c>
      <c r="M87" s="56">
        <f t="shared" si="2"/>
        <v>80.78</v>
      </c>
    </row>
    <row r="88" spans="1:13">
      <c r="A88" s="2"/>
      <c r="B88" s="2"/>
      <c r="C88" s="2">
        <v>2</v>
      </c>
      <c r="D88" s="2" t="s">
        <v>83</v>
      </c>
      <c r="E88" s="4"/>
      <c r="F88" s="2"/>
      <c r="G88" s="3"/>
      <c r="H88" s="2">
        <v>18.690000000000001</v>
      </c>
      <c r="I88" s="2"/>
      <c r="J88" s="3"/>
      <c r="K88" s="2">
        <v>0.76</v>
      </c>
      <c r="L88" s="2"/>
      <c r="M88" s="56">
        <f t="shared" si="2"/>
        <v>19.450000000000003</v>
      </c>
    </row>
    <row r="89" spans="1:13">
      <c r="A89" s="2"/>
      <c r="B89" s="2"/>
      <c r="C89" s="2">
        <v>2</v>
      </c>
      <c r="D89" s="2" t="s">
        <v>85</v>
      </c>
      <c r="E89" s="2">
        <v>69.400000000000006</v>
      </c>
      <c r="F89" s="2"/>
      <c r="G89" s="3"/>
      <c r="H89" s="2">
        <f>17.3-0.31</f>
        <v>16.990000000000002</v>
      </c>
      <c r="I89" s="2"/>
      <c r="J89" s="3"/>
      <c r="K89" s="2">
        <v>1.53</v>
      </c>
      <c r="L89" s="2"/>
      <c r="M89" s="56">
        <f t="shared" si="2"/>
        <v>87.920000000000016</v>
      </c>
    </row>
    <row r="90" spans="1:13">
      <c r="A90" s="2"/>
      <c r="B90" s="2"/>
      <c r="C90" s="2">
        <v>2</v>
      </c>
      <c r="D90" s="2" t="s">
        <v>87</v>
      </c>
      <c r="E90" s="2">
        <v>58.4</v>
      </c>
      <c r="F90" s="2"/>
      <c r="G90" s="3"/>
      <c r="H90" s="2">
        <f>18.9-0.15</f>
        <v>18.75</v>
      </c>
      <c r="I90" s="2"/>
      <c r="J90" s="3"/>
      <c r="K90" s="2">
        <v>1.1599999999999999</v>
      </c>
      <c r="L90" s="2"/>
      <c r="M90" s="56">
        <f t="shared" si="2"/>
        <v>78.31</v>
      </c>
    </row>
    <row r="91" spans="1:13">
      <c r="A91" s="2"/>
      <c r="B91" s="2"/>
      <c r="C91" s="2">
        <v>2</v>
      </c>
      <c r="D91" s="2" t="s">
        <v>79</v>
      </c>
      <c r="E91" s="2">
        <v>72</v>
      </c>
      <c r="F91" s="2"/>
      <c r="G91" s="3"/>
      <c r="H91" s="2">
        <v>28.79</v>
      </c>
      <c r="I91" s="2"/>
      <c r="J91" s="3"/>
      <c r="K91" s="2">
        <v>2.13</v>
      </c>
      <c r="L91" s="2"/>
      <c r="M91" s="56">
        <f t="shared" si="2"/>
        <v>102.91999999999999</v>
      </c>
    </row>
    <row r="92" spans="1:13">
      <c r="A92" s="2"/>
      <c r="B92" s="2"/>
      <c r="C92" s="2">
        <v>2</v>
      </c>
      <c r="D92" s="2" t="s">
        <v>88</v>
      </c>
      <c r="E92" s="2">
        <v>65.5</v>
      </c>
      <c r="F92" s="2">
        <f>AVERAGEA(E88:E92)</f>
        <v>66.325000000000003</v>
      </c>
      <c r="G92" s="3"/>
      <c r="H92" s="2">
        <f>13.56-4.28</f>
        <v>9.2800000000000011</v>
      </c>
      <c r="I92" s="2">
        <f>AVERAGEA(H88:H92)</f>
        <v>18.5</v>
      </c>
      <c r="J92" s="3"/>
      <c r="K92" s="2">
        <v>1.65</v>
      </c>
      <c r="L92" s="2">
        <f>AVERAGEA(K88:K92)</f>
        <v>1.4460000000000002</v>
      </c>
      <c r="M92" s="56">
        <f t="shared" si="2"/>
        <v>76.430000000000007</v>
      </c>
    </row>
    <row r="93" spans="1:13">
      <c r="A93" s="2"/>
      <c r="B93" s="2"/>
      <c r="C93" s="2">
        <v>3</v>
      </c>
      <c r="D93" s="2" t="s">
        <v>83</v>
      </c>
      <c r="E93" s="2">
        <v>56.6</v>
      </c>
      <c r="F93" s="2"/>
      <c r="G93" s="3"/>
      <c r="H93" s="2">
        <v>19</v>
      </c>
      <c r="I93" s="2"/>
      <c r="J93" s="3"/>
      <c r="K93" s="2">
        <v>1.42</v>
      </c>
      <c r="L93" s="2"/>
      <c r="M93" s="56">
        <f t="shared" si="2"/>
        <v>77.02</v>
      </c>
    </row>
    <row r="94" spans="1:13">
      <c r="A94" s="2"/>
      <c r="B94" s="2"/>
      <c r="C94" s="2">
        <v>3</v>
      </c>
      <c r="D94" s="2" t="s">
        <v>85</v>
      </c>
      <c r="E94" s="2">
        <v>58.5</v>
      </c>
      <c r="F94" s="2"/>
      <c r="G94" s="3"/>
      <c r="H94" s="59">
        <v>36.49</v>
      </c>
      <c r="I94" s="2"/>
      <c r="J94" s="3"/>
      <c r="K94" s="2">
        <v>1.28</v>
      </c>
      <c r="L94" s="2"/>
      <c r="M94" s="56">
        <f t="shared" si="2"/>
        <v>96.27000000000001</v>
      </c>
    </row>
    <row r="95" spans="1:13">
      <c r="A95" s="2"/>
      <c r="B95" s="2"/>
      <c r="C95" s="2">
        <v>3</v>
      </c>
      <c r="D95" s="2" t="s">
        <v>87</v>
      </c>
      <c r="E95" s="2">
        <v>53.3</v>
      </c>
      <c r="F95" s="2"/>
      <c r="G95" s="3"/>
      <c r="H95" s="2">
        <f>19.65-0.63</f>
        <v>19.02</v>
      </c>
      <c r="I95" s="2"/>
      <c r="J95" s="3"/>
      <c r="K95" s="2">
        <v>1.06</v>
      </c>
      <c r="L95" s="2"/>
      <c r="M95" s="56">
        <f t="shared" si="2"/>
        <v>73.38</v>
      </c>
    </row>
    <row r="96" spans="1:13">
      <c r="A96" s="2"/>
      <c r="B96" s="2"/>
      <c r="C96" s="2">
        <v>3</v>
      </c>
      <c r="D96" s="2" t="s">
        <v>79</v>
      </c>
      <c r="E96" s="2">
        <v>71.900000000000006</v>
      </c>
      <c r="F96" s="2"/>
      <c r="G96" s="3"/>
      <c r="H96" s="59">
        <v>35.450000000000003</v>
      </c>
      <c r="I96" s="2"/>
      <c r="J96" s="3"/>
      <c r="K96" s="2">
        <v>3.05</v>
      </c>
      <c r="L96" s="2"/>
      <c r="M96" s="56">
        <f t="shared" si="2"/>
        <v>110.4</v>
      </c>
    </row>
    <row r="97" spans="1:13">
      <c r="A97" s="2"/>
      <c r="B97" s="2"/>
      <c r="C97" s="2">
        <v>3</v>
      </c>
      <c r="D97" s="2" t="s">
        <v>88</v>
      </c>
      <c r="E97" s="2">
        <v>53.7</v>
      </c>
      <c r="F97" s="2">
        <f>AVERAGEA(E93:E97)</f>
        <v>58.8</v>
      </c>
      <c r="G97" s="3"/>
      <c r="H97" s="2">
        <f>20.81-0.52</f>
        <v>20.29</v>
      </c>
      <c r="I97" s="2">
        <f>AVERAGEA(H93:H97)</f>
        <v>26.05</v>
      </c>
      <c r="J97" s="3"/>
      <c r="K97" s="2">
        <v>0.35</v>
      </c>
      <c r="L97" s="2">
        <f>AVERAGEA(K93:K97)</f>
        <v>1.4319999999999999</v>
      </c>
      <c r="M97" s="56">
        <f t="shared" si="2"/>
        <v>74.34</v>
      </c>
    </row>
    <row r="98" spans="1:13">
      <c r="A98" s="2"/>
      <c r="B98" s="2"/>
      <c r="C98" s="2">
        <v>4</v>
      </c>
      <c r="D98" s="2" t="s">
        <v>83</v>
      </c>
      <c r="E98" s="2">
        <v>76.7</v>
      </c>
      <c r="F98" s="2"/>
      <c r="G98" s="3"/>
      <c r="H98" s="28">
        <v>34.58</v>
      </c>
      <c r="I98" s="2"/>
      <c r="J98" s="3"/>
      <c r="K98" s="2">
        <v>1.87</v>
      </c>
      <c r="L98" s="2"/>
      <c r="M98" s="56">
        <f t="shared" si="2"/>
        <v>113.15</v>
      </c>
    </row>
    <row r="99" spans="1:13">
      <c r="A99" s="2"/>
      <c r="B99" s="2"/>
      <c r="C99" s="2">
        <v>4</v>
      </c>
      <c r="D99" s="2" t="s">
        <v>85</v>
      </c>
      <c r="E99" s="2">
        <v>64</v>
      </c>
      <c r="F99" s="2"/>
      <c r="G99" s="3"/>
      <c r="H99" s="2">
        <f>11.8-0.45</f>
        <v>11.350000000000001</v>
      </c>
      <c r="I99" s="2"/>
      <c r="J99" s="3"/>
      <c r="K99" s="2">
        <v>3.37</v>
      </c>
      <c r="L99" s="2"/>
      <c r="M99" s="56">
        <f t="shared" si="2"/>
        <v>78.72</v>
      </c>
    </row>
    <row r="100" spans="1:13">
      <c r="A100" s="2"/>
      <c r="B100" s="2"/>
      <c r="C100" s="2">
        <v>4</v>
      </c>
      <c r="D100" s="2" t="s">
        <v>87</v>
      </c>
      <c r="E100" s="2">
        <v>78.7</v>
      </c>
      <c r="F100" s="2"/>
      <c r="G100" s="3"/>
      <c r="H100" s="28">
        <v>11.55</v>
      </c>
      <c r="I100" s="2"/>
      <c r="J100" s="3"/>
      <c r="K100" s="4">
        <f>AVERAGE(K98:K99,K101:K102)</f>
        <v>1.8599999999999999</v>
      </c>
      <c r="L100" s="2"/>
      <c r="M100" s="56">
        <f t="shared" si="2"/>
        <v>92.11</v>
      </c>
    </row>
    <row r="101" spans="1:13">
      <c r="A101" s="2"/>
      <c r="B101" s="2"/>
      <c r="C101" s="2">
        <v>4</v>
      </c>
      <c r="D101" s="2" t="s">
        <v>79</v>
      </c>
      <c r="E101" s="2">
        <v>49.4</v>
      </c>
      <c r="F101" s="2"/>
      <c r="G101" s="3"/>
      <c r="H101" s="2">
        <v>9.1</v>
      </c>
      <c r="I101" s="2"/>
      <c r="J101" s="3"/>
      <c r="K101" s="2">
        <v>0.85</v>
      </c>
      <c r="L101" s="2"/>
      <c r="M101" s="56">
        <f t="shared" si="2"/>
        <v>59.35</v>
      </c>
    </row>
    <row r="102" spans="1:13">
      <c r="A102" s="2"/>
      <c r="B102" s="2"/>
      <c r="C102" s="2">
        <v>4</v>
      </c>
      <c r="D102" s="2" t="s">
        <v>88</v>
      </c>
      <c r="E102" s="2">
        <v>67</v>
      </c>
      <c r="F102" s="2">
        <f>AVERAGEA(E98:E102)</f>
        <v>67.16</v>
      </c>
      <c r="G102" s="3"/>
      <c r="H102" s="2">
        <v>9</v>
      </c>
      <c r="I102" s="2">
        <f>AVERAGEA(H98:H102)</f>
        <v>15.116</v>
      </c>
      <c r="J102" s="3"/>
      <c r="K102" s="2">
        <v>1.35</v>
      </c>
      <c r="L102" s="2">
        <f>AVERAGEA(K98:K102)</f>
        <v>1.8599999999999999</v>
      </c>
      <c r="M102" s="56">
        <f t="shared" si="2"/>
        <v>77.349999999999994</v>
      </c>
    </row>
    <row r="103" spans="1:13">
      <c r="A103" s="2" t="s">
        <v>78</v>
      </c>
      <c r="B103" s="2" t="s">
        <v>104</v>
      </c>
      <c r="C103" s="2">
        <v>1</v>
      </c>
      <c r="D103" s="2" t="s">
        <v>83</v>
      </c>
      <c r="E103" s="2">
        <v>57.6</v>
      </c>
      <c r="F103" s="2"/>
      <c r="G103" s="3"/>
      <c r="H103" s="2">
        <v>1.9</v>
      </c>
      <c r="I103" s="2"/>
      <c r="J103" s="3"/>
      <c r="K103" s="2">
        <v>1.54</v>
      </c>
      <c r="L103" s="2"/>
      <c r="M103" s="56">
        <f t="shared" si="2"/>
        <v>61.04</v>
      </c>
    </row>
    <row r="104" spans="1:13">
      <c r="A104" s="2"/>
      <c r="B104" s="2"/>
      <c r="C104" s="2">
        <v>1</v>
      </c>
      <c r="D104" s="2" t="s">
        <v>85</v>
      </c>
      <c r="E104" s="2">
        <v>74.599999999999994</v>
      </c>
      <c r="F104" s="2"/>
      <c r="G104" s="3"/>
      <c r="H104" s="2">
        <v>17.32</v>
      </c>
      <c r="I104" s="2"/>
      <c r="J104" s="3"/>
      <c r="K104" s="2">
        <v>2.5499999999999998</v>
      </c>
      <c r="L104" s="2"/>
      <c r="M104" s="56">
        <f t="shared" si="2"/>
        <v>94.469999999999985</v>
      </c>
    </row>
    <row r="105" spans="1:13">
      <c r="A105" s="2"/>
      <c r="B105" s="2"/>
      <c r="C105" s="2">
        <v>1</v>
      </c>
      <c r="D105" s="2" t="s">
        <v>87</v>
      </c>
      <c r="E105" s="2">
        <v>52.9</v>
      </c>
      <c r="F105" s="2"/>
      <c r="G105" s="3"/>
      <c r="H105" s="2">
        <v>5.38</v>
      </c>
      <c r="I105" s="2"/>
      <c r="J105" s="3"/>
      <c r="K105" s="2">
        <v>0.72</v>
      </c>
      <c r="L105" s="2"/>
      <c r="M105" s="56">
        <f t="shared" si="2"/>
        <v>59</v>
      </c>
    </row>
    <row r="106" spans="1:13">
      <c r="A106" s="2"/>
      <c r="B106" s="2"/>
      <c r="C106" s="2">
        <v>1</v>
      </c>
      <c r="D106" s="2" t="s">
        <v>79</v>
      </c>
      <c r="E106" s="2">
        <v>71.599999999999994</v>
      </c>
      <c r="F106" s="2"/>
      <c r="G106" s="3"/>
      <c r="H106" s="65">
        <v>44</v>
      </c>
      <c r="I106" s="2"/>
      <c r="J106" s="3"/>
      <c r="K106" s="2">
        <v>1.51</v>
      </c>
      <c r="L106" s="2"/>
      <c r="M106" s="56">
        <f t="shared" si="2"/>
        <v>117.11</v>
      </c>
    </row>
    <row r="107" spans="1:13">
      <c r="A107" s="2"/>
      <c r="B107" s="2"/>
      <c r="C107" s="2">
        <v>1</v>
      </c>
      <c r="D107" s="2" t="s">
        <v>88</v>
      </c>
      <c r="E107" s="2">
        <v>57.3</v>
      </c>
      <c r="F107" s="2">
        <f>AVERAGE(E103:E107)</f>
        <v>62.8</v>
      </c>
      <c r="G107" s="3"/>
      <c r="H107" s="2">
        <v>4.5</v>
      </c>
      <c r="I107" s="2">
        <f>AVERAGE(H103:H107)</f>
        <v>14.62</v>
      </c>
      <c r="J107" s="3"/>
      <c r="K107" s="2">
        <v>0.73</v>
      </c>
      <c r="L107" s="2">
        <f>AVERAGE(K103:K107)</f>
        <v>1.4099999999999997</v>
      </c>
      <c r="M107" s="56">
        <f t="shared" si="2"/>
        <v>62.529999999999994</v>
      </c>
    </row>
    <row r="108" spans="1:13">
      <c r="A108" s="2"/>
      <c r="B108" s="2"/>
      <c r="C108" s="2">
        <v>2</v>
      </c>
      <c r="D108" s="2" t="s">
        <v>83</v>
      </c>
      <c r="E108" s="2">
        <v>66.900000000000006</v>
      </c>
      <c r="F108" s="2"/>
      <c r="G108" s="3"/>
      <c r="H108" s="28">
        <v>38.01</v>
      </c>
      <c r="I108" s="2"/>
      <c r="J108" s="3"/>
      <c r="K108" s="2">
        <v>6.78</v>
      </c>
      <c r="L108" s="2"/>
      <c r="M108" s="56">
        <f t="shared" si="2"/>
        <v>111.69</v>
      </c>
    </row>
    <row r="109" spans="1:13">
      <c r="A109" s="2"/>
      <c r="B109" s="2"/>
      <c r="C109" s="2">
        <v>2</v>
      </c>
      <c r="D109" s="2" t="s">
        <v>85</v>
      </c>
      <c r="E109" s="2">
        <v>79.2</v>
      </c>
      <c r="F109" s="2"/>
      <c r="G109" s="3"/>
      <c r="H109" s="2">
        <v>26.6</v>
      </c>
      <c r="I109" s="2"/>
      <c r="J109" s="3"/>
      <c r="K109" s="2">
        <v>1.6</v>
      </c>
      <c r="L109" s="2"/>
      <c r="M109" s="56">
        <f t="shared" si="2"/>
        <v>107.4</v>
      </c>
    </row>
    <row r="110" spans="1:13">
      <c r="A110" s="2"/>
      <c r="B110" s="2"/>
      <c r="C110" s="2">
        <v>2</v>
      </c>
      <c r="D110" s="2" t="s">
        <v>87</v>
      </c>
      <c r="E110" s="2">
        <v>76.8</v>
      </c>
      <c r="F110" s="2"/>
      <c r="G110" s="3"/>
      <c r="H110" s="28">
        <v>11.24</v>
      </c>
      <c r="I110" s="2"/>
      <c r="J110" s="3"/>
      <c r="K110" s="2">
        <v>2.48</v>
      </c>
      <c r="L110" s="2"/>
      <c r="M110" s="56">
        <f t="shared" si="2"/>
        <v>90.52</v>
      </c>
    </row>
    <row r="111" spans="1:13">
      <c r="A111" s="2"/>
      <c r="B111" s="2"/>
      <c r="C111" s="2">
        <v>2</v>
      </c>
      <c r="D111" s="2" t="s">
        <v>79</v>
      </c>
      <c r="E111" s="2">
        <v>53.4</v>
      </c>
      <c r="F111" s="2"/>
      <c r="G111" s="3"/>
      <c r="H111" s="2">
        <v>11.2</v>
      </c>
      <c r="I111" s="2"/>
      <c r="J111" s="3"/>
      <c r="K111" s="2">
        <v>2.2400000000000002</v>
      </c>
      <c r="L111" s="2"/>
      <c r="M111" s="56">
        <f t="shared" si="2"/>
        <v>66.839999999999989</v>
      </c>
    </row>
    <row r="112" spans="1:13">
      <c r="A112" s="2"/>
      <c r="B112" s="2"/>
      <c r="C112" s="2">
        <v>2</v>
      </c>
      <c r="D112" s="2" t="s">
        <v>88</v>
      </c>
      <c r="E112" s="2">
        <v>69.3</v>
      </c>
      <c r="F112" s="2">
        <f>AVERAGE(E108:E112)</f>
        <v>69.12</v>
      </c>
      <c r="G112" s="3"/>
      <c r="H112" s="2">
        <v>14.8</v>
      </c>
      <c r="I112" s="2">
        <f>AVERAGE(H108:H112)</f>
        <v>20.369999999999997</v>
      </c>
      <c r="J112" s="3"/>
      <c r="K112" s="2">
        <v>1.27</v>
      </c>
      <c r="L112" s="2">
        <f>AVERAGE(K108:K112)</f>
        <v>2.8740000000000001</v>
      </c>
      <c r="M112" s="56">
        <f t="shared" si="2"/>
        <v>85.36999999999999</v>
      </c>
    </row>
    <row r="113" spans="1:13">
      <c r="A113" s="2"/>
      <c r="B113" s="2"/>
      <c r="C113" s="2">
        <v>3</v>
      </c>
      <c r="D113" s="2" t="s">
        <v>83</v>
      </c>
      <c r="E113" s="2">
        <v>55</v>
      </c>
      <c r="F113" s="2"/>
      <c r="G113" s="3"/>
      <c r="H113" s="2">
        <v>16.399999999999999</v>
      </c>
      <c r="I113" s="2"/>
      <c r="J113" s="3"/>
      <c r="K113" s="2">
        <v>3.48</v>
      </c>
      <c r="L113" s="2"/>
      <c r="M113" s="56">
        <f t="shared" si="2"/>
        <v>74.88000000000001</v>
      </c>
    </row>
    <row r="114" spans="1:13">
      <c r="A114" s="2"/>
      <c r="B114" s="2"/>
      <c r="C114" s="2">
        <v>3</v>
      </c>
      <c r="D114" s="2" t="s">
        <v>85</v>
      </c>
      <c r="E114" s="2">
        <v>55.3</v>
      </c>
      <c r="F114" s="2"/>
      <c r="G114" s="3"/>
      <c r="H114" s="2">
        <v>34.58</v>
      </c>
      <c r="I114" s="2"/>
      <c r="J114" s="3"/>
      <c r="K114" s="2">
        <v>2.4900000000000002</v>
      </c>
      <c r="L114" s="2"/>
      <c r="M114" s="56">
        <f t="shared" si="2"/>
        <v>92.36999999999999</v>
      </c>
    </row>
    <row r="115" spans="1:13">
      <c r="A115" s="2"/>
      <c r="B115" s="2"/>
      <c r="C115" s="2">
        <v>3</v>
      </c>
      <c r="D115" s="2" t="s">
        <v>87</v>
      </c>
      <c r="E115" s="2">
        <v>59.5</v>
      </c>
      <c r="F115" s="2"/>
      <c r="G115" s="3"/>
      <c r="H115" s="2">
        <v>12.12</v>
      </c>
      <c r="I115" s="2"/>
      <c r="J115" s="3"/>
      <c r="K115" s="2">
        <v>1.44</v>
      </c>
      <c r="L115" s="2"/>
      <c r="M115" s="56">
        <f t="shared" si="2"/>
        <v>73.06</v>
      </c>
    </row>
    <row r="116" spans="1:13">
      <c r="A116" s="2"/>
      <c r="B116" s="2"/>
      <c r="C116" s="2">
        <v>3</v>
      </c>
      <c r="D116" s="2" t="s">
        <v>79</v>
      </c>
      <c r="E116" s="2">
        <v>58.8</v>
      </c>
      <c r="F116" s="2"/>
      <c r="G116" s="3"/>
      <c r="H116" s="21">
        <v>8.75</v>
      </c>
      <c r="I116" s="2"/>
      <c r="J116" s="3"/>
      <c r="K116" s="2">
        <v>1.1599999999999999</v>
      </c>
      <c r="L116" s="2"/>
      <c r="M116" s="56">
        <f t="shared" si="2"/>
        <v>68.709999999999994</v>
      </c>
    </row>
    <row r="117" spans="1:13">
      <c r="A117" s="2"/>
      <c r="B117" s="2"/>
      <c r="C117" s="2">
        <v>3</v>
      </c>
      <c r="D117" s="2" t="s">
        <v>88</v>
      </c>
      <c r="E117" s="2">
        <v>65.099999999999994</v>
      </c>
      <c r="F117" s="2">
        <f>AVERAGE(E113:E117)</f>
        <v>58.740000000000009</v>
      </c>
      <c r="G117" s="3"/>
      <c r="H117" s="2">
        <f>6.9-0.31</f>
        <v>6.5900000000000007</v>
      </c>
      <c r="I117" s="2">
        <f>AVERAGE(H113:H117)</f>
        <v>15.687999999999999</v>
      </c>
      <c r="J117" s="3"/>
      <c r="K117" s="2">
        <v>2.4300000000000002</v>
      </c>
      <c r="L117" s="2">
        <f>AVERAGE(K113:K117)</f>
        <v>2.2000000000000002</v>
      </c>
      <c r="M117" s="56">
        <f t="shared" si="2"/>
        <v>74.12</v>
      </c>
    </row>
    <row r="118" spans="1:13">
      <c r="A118" s="2"/>
      <c r="B118" s="2"/>
      <c r="C118" s="2">
        <v>4</v>
      </c>
      <c r="D118" s="2" t="s">
        <v>83</v>
      </c>
      <c r="E118" s="2">
        <v>93.5</v>
      </c>
      <c r="F118" s="2"/>
      <c r="G118" s="3"/>
      <c r="H118" s="2">
        <f>19.15-0.18</f>
        <v>18.97</v>
      </c>
      <c r="I118" s="2"/>
      <c r="J118" s="3"/>
      <c r="K118" s="2">
        <v>1.35</v>
      </c>
      <c r="L118" s="2"/>
      <c r="M118" s="56">
        <f t="shared" si="2"/>
        <v>113.82</v>
      </c>
    </row>
    <row r="119" spans="1:13">
      <c r="A119" s="2"/>
      <c r="B119" s="2"/>
      <c r="C119" s="2">
        <v>4</v>
      </c>
      <c r="D119" s="2" t="s">
        <v>85</v>
      </c>
      <c r="E119" s="2">
        <v>40.4</v>
      </c>
      <c r="F119" s="2"/>
      <c r="G119" s="3"/>
      <c r="H119" s="2">
        <f>23.67-0.04</f>
        <v>23.630000000000003</v>
      </c>
      <c r="I119" s="2"/>
      <c r="J119" s="3"/>
      <c r="K119" s="2">
        <v>0.67</v>
      </c>
      <c r="L119" s="2"/>
      <c r="M119" s="56">
        <f t="shared" si="2"/>
        <v>64.7</v>
      </c>
    </row>
    <row r="120" spans="1:13">
      <c r="A120" s="2"/>
      <c r="B120" s="2"/>
      <c r="C120" s="2">
        <v>4</v>
      </c>
      <c r="D120" s="2" t="s">
        <v>87</v>
      </c>
      <c r="E120" s="2">
        <v>72.790000000000006</v>
      </c>
      <c r="F120" s="2"/>
      <c r="G120" s="3"/>
      <c r="H120" s="2">
        <v>9.5</v>
      </c>
      <c r="I120" s="2"/>
      <c r="J120" s="3"/>
      <c r="K120" s="2">
        <v>1.76</v>
      </c>
      <c r="L120" s="2"/>
      <c r="M120" s="56">
        <f t="shared" si="2"/>
        <v>84.050000000000011</v>
      </c>
    </row>
    <row r="121" spans="1:13">
      <c r="A121" s="2"/>
      <c r="B121" s="2"/>
      <c r="C121" s="2">
        <v>4</v>
      </c>
      <c r="D121" s="2" t="s">
        <v>79</v>
      </c>
      <c r="E121" s="2">
        <v>67.599999999999994</v>
      </c>
      <c r="F121" s="2"/>
      <c r="G121" s="3"/>
      <c r="H121" s="2">
        <v>3.2</v>
      </c>
      <c r="I121" s="2"/>
      <c r="J121" s="3"/>
      <c r="K121" s="2">
        <v>2.23</v>
      </c>
      <c r="L121" s="2"/>
      <c r="M121" s="56">
        <f t="shared" si="2"/>
        <v>73.03</v>
      </c>
    </row>
    <row r="122" spans="1:13">
      <c r="A122" s="2"/>
      <c r="B122" s="2"/>
      <c r="C122" s="2">
        <v>4</v>
      </c>
      <c r="D122" s="2" t="s">
        <v>88</v>
      </c>
      <c r="E122" s="2">
        <v>63.8</v>
      </c>
      <c r="F122" s="2">
        <f>AVERAGE(E118:E122)</f>
        <v>67.617999999999995</v>
      </c>
      <c r="G122" s="3"/>
      <c r="H122" s="2">
        <v>22.9</v>
      </c>
      <c r="I122" s="2">
        <f>AVERAGE(H118:H122)</f>
        <v>15.64</v>
      </c>
      <c r="J122" s="3"/>
      <c r="K122" s="2">
        <v>1.74</v>
      </c>
      <c r="L122" s="2">
        <f>AVERAGE(K118:K122)</f>
        <v>1.55</v>
      </c>
      <c r="M122" s="56">
        <f t="shared" si="2"/>
        <v>88.439999999999984</v>
      </c>
    </row>
    <row r="123" spans="1:13">
      <c r="A123" s="2" t="s">
        <v>78</v>
      </c>
      <c r="B123" s="2" t="s">
        <v>105</v>
      </c>
      <c r="C123" s="2">
        <v>1</v>
      </c>
      <c r="D123" s="2" t="s">
        <v>83</v>
      </c>
      <c r="E123" s="2">
        <v>77.7</v>
      </c>
      <c r="F123" s="2"/>
      <c r="G123" s="3"/>
      <c r="H123" s="2">
        <v>16.11</v>
      </c>
      <c r="I123" s="2"/>
      <c r="J123" s="3"/>
      <c r="K123" s="2">
        <v>4.8099999999999996</v>
      </c>
      <c r="L123" s="2"/>
      <c r="M123" s="56">
        <f t="shared" si="2"/>
        <v>98.62</v>
      </c>
    </row>
    <row r="124" spans="1:13">
      <c r="A124" s="2"/>
      <c r="B124" s="2"/>
      <c r="C124" s="2">
        <v>1</v>
      </c>
      <c r="D124" s="2" t="s">
        <v>85</v>
      </c>
      <c r="E124" s="2">
        <v>86.2</v>
      </c>
      <c r="F124" s="2"/>
      <c r="G124" s="3"/>
      <c r="H124" s="2">
        <v>5.63</v>
      </c>
      <c r="I124" s="2"/>
      <c r="J124" s="3"/>
      <c r="K124" s="2">
        <v>3.27</v>
      </c>
      <c r="L124" s="2"/>
      <c r="M124" s="56">
        <f t="shared" si="2"/>
        <v>95.1</v>
      </c>
    </row>
    <row r="125" spans="1:13">
      <c r="A125" s="2"/>
      <c r="B125" s="2"/>
      <c r="C125" s="2">
        <v>1</v>
      </c>
      <c r="D125" s="2" t="s">
        <v>87</v>
      </c>
      <c r="E125" s="2">
        <v>83</v>
      </c>
      <c r="F125" s="2"/>
      <c r="G125" s="3"/>
      <c r="H125" s="2">
        <v>19.46</v>
      </c>
      <c r="I125" s="2"/>
      <c r="J125" s="3"/>
      <c r="K125" s="2">
        <v>4.08</v>
      </c>
      <c r="L125" s="2"/>
      <c r="M125" s="56">
        <f t="shared" si="2"/>
        <v>106.54</v>
      </c>
    </row>
    <row r="126" spans="1:13">
      <c r="A126" s="2"/>
      <c r="B126" s="2"/>
      <c r="C126" s="2">
        <v>1</v>
      </c>
      <c r="D126" s="2" t="s">
        <v>79</v>
      </c>
      <c r="E126" s="2">
        <v>81.8</v>
      </c>
      <c r="F126" s="2"/>
      <c r="G126" s="3"/>
      <c r="H126" s="2">
        <v>13</v>
      </c>
      <c r="I126" s="2"/>
      <c r="J126" s="3"/>
      <c r="K126" s="2">
        <v>2.67</v>
      </c>
      <c r="L126" s="2"/>
      <c r="M126" s="56">
        <f t="shared" si="2"/>
        <v>97.47</v>
      </c>
    </row>
    <row r="127" spans="1:13">
      <c r="A127" s="2"/>
      <c r="B127" s="2"/>
      <c r="C127" s="2">
        <v>1</v>
      </c>
      <c r="D127" s="2" t="s">
        <v>88</v>
      </c>
      <c r="E127" s="2">
        <v>64</v>
      </c>
      <c r="F127" s="2">
        <f>AVERAGE(E123:E127)</f>
        <v>78.539999999999992</v>
      </c>
      <c r="G127" s="3"/>
      <c r="H127" s="2">
        <f>9.93-6.8</f>
        <v>3.13</v>
      </c>
      <c r="I127" s="2">
        <f>AVERAGE(H123:H127)</f>
        <v>11.466000000000001</v>
      </c>
      <c r="J127" s="3"/>
      <c r="K127" s="2">
        <v>3.14</v>
      </c>
      <c r="L127" s="2">
        <f>AVERAGE(K123:K127)</f>
        <v>3.5939999999999999</v>
      </c>
      <c r="M127" s="56">
        <f t="shared" si="2"/>
        <v>70.27</v>
      </c>
    </row>
    <row r="128" spans="1:13">
      <c r="A128" s="2"/>
      <c r="B128" s="2"/>
      <c r="C128" s="2">
        <v>2</v>
      </c>
      <c r="D128" s="2" t="s">
        <v>83</v>
      </c>
      <c r="E128" s="2">
        <v>58.9</v>
      </c>
      <c r="F128" s="2"/>
      <c r="G128" s="3"/>
      <c r="H128" s="2">
        <v>9.5</v>
      </c>
      <c r="I128" s="2"/>
      <c r="J128" s="3"/>
      <c r="K128" s="2">
        <v>4.53</v>
      </c>
      <c r="L128" s="2"/>
      <c r="M128" s="56">
        <f t="shared" si="2"/>
        <v>72.930000000000007</v>
      </c>
    </row>
    <row r="129" spans="1:13">
      <c r="A129" s="2"/>
      <c r="B129" s="2"/>
      <c r="C129" s="2">
        <v>2</v>
      </c>
      <c r="D129" s="2" t="s">
        <v>85</v>
      </c>
      <c r="E129" s="2">
        <v>70.599999999999994</v>
      </c>
      <c r="F129" s="2"/>
      <c r="G129" s="3"/>
      <c r="H129" s="2">
        <f>8.3-2.05</f>
        <v>6.2500000000000009</v>
      </c>
      <c r="I129" s="2"/>
      <c r="J129" s="3"/>
      <c r="K129" s="2">
        <v>4.08</v>
      </c>
      <c r="L129" s="2"/>
      <c r="M129" s="56">
        <f t="shared" si="2"/>
        <v>80.929999999999993</v>
      </c>
    </row>
    <row r="130" spans="1:13">
      <c r="A130" s="2"/>
      <c r="B130" s="2"/>
      <c r="C130" s="2">
        <v>2</v>
      </c>
      <c r="D130" s="2" t="s">
        <v>87</v>
      </c>
      <c r="E130" s="2">
        <v>77.900000000000006</v>
      </c>
      <c r="F130" s="2"/>
      <c r="G130" s="3"/>
      <c r="H130" s="2">
        <v>11.5</v>
      </c>
      <c r="I130" s="2"/>
      <c r="J130" s="3"/>
      <c r="K130" s="2">
        <v>3.57</v>
      </c>
      <c r="L130" s="2"/>
      <c r="M130" s="56">
        <f t="shared" si="2"/>
        <v>92.97</v>
      </c>
    </row>
    <row r="131" spans="1:13">
      <c r="A131" s="2"/>
      <c r="B131" s="2"/>
      <c r="C131" s="2">
        <v>2</v>
      </c>
      <c r="D131" s="2" t="s">
        <v>79</v>
      </c>
      <c r="E131" s="2">
        <v>65</v>
      </c>
      <c r="F131" s="2"/>
      <c r="G131" s="3"/>
      <c r="H131" s="2">
        <f>20.37-2.3</f>
        <v>18.07</v>
      </c>
      <c r="I131" s="2"/>
      <c r="J131" s="3"/>
      <c r="K131" s="2">
        <v>2.62</v>
      </c>
      <c r="L131" s="2"/>
      <c r="M131" s="56">
        <f t="shared" si="2"/>
        <v>85.69</v>
      </c>
    </row>
    <row r="132" spans="1:13">
      <c r="A132" s="2"/>
      <c r="B132" s="2"/>
      <c r="C132" s="2">
        <v>2</v>
      </c>
      <c r="D132" s="2" t="s">
        <v>88</v>
      </c>
      <c r="E132" s="2">
        <v>71</v>
      </c>
      <c r="F132" s="2">
        <f>AVERAGE(E128:E132)</f>
        <v>68.679999999999993</v>
      </c>
      <c r="G132" s="3"/>
      <c r="H132" s="2">
        <v>14.16</v>
      </c>
      <c r="I132" s="2">
        <f>AVERAGE(H128:H132)</f>
        <v>11.896000000000001</v>
      </c>
      <c r="J132" s="3"/>
      <c r="K132" s="2">
        <v>2.92</v>
      </c>
      <c r="L132" s="2">
        <f>AVERAGE(K128:K132)</f>
        <v>3.5439999999999996</v>
      </c>
      <c r="M132" s="56">
        <f t="shared" si="2"/>
        <v>88.08</v>
      </c>
    </row>
    <row r="133" spans="1:13">
      <c r="A133" s="2"/>
      <c r="B133" s="2"/>
      <c r="C133" s="2">
        <v>3</v>
      </c>
      <c r="D133" s="2" t="s">
        <v>83</v>
      </c>
      <c r="E133" s="2">
        <v>85.1</v>
      </c>
      <c r="F133" s="2"/>
      <c r="G133" s="3"/>
      <c r="H133" s="2">
        <v>8.75</v>
      </c>
      <c r="I133" s="2"/>
      <c r="J133" s="3"/>
      <c r="K133" s="2">
        <v>1.47</v>
      </c>
      <c r="L133" s="2"/>
      <c r="M133" s="56">
        <f t="shared" si="2"/>
        <v>95.32</v>
      </c>
    </row>
    <row r="134" spans="1:13">
      <c r="A134" s="2"/>
      <c r="B134" s="2"/>
      <c r="C134" s="2">
        <v>3</v>
      </c>
      <c r="D134" s="2" t="s">
        <v>85</v>
      </c>
      <c r="E134" s="2">
        <v>65</v>
      </c>
      <c r="F134" s="2"/>
      <c r="G134" s="3"/>
      <c r="H134" s="2">
        <v>21.02</v>
      </c>
      <c r="I134" s="2"/>
      <c r="J134" s="3"/>
      <c r="K134" s="2">
        <v>4.37</v>
      </c>
      <c r="L134" s="2"/>
      <c r="M134" s="56">
        <f t="shared" si="2"/>
        <v>90.39</v>
      </c>
    </row>
    <row r="135" spans="1:13">
      <c r="A135" s="2"/>
      <c r="B135" s="2"/>
      <c r="C135" s="2">
        <v>3</v>
      </c>
      <c r="D135" s="2" t="s">
        <v>87</v>
      </c>
      <c r="E135" s="2">
        <v>77.8</v>
      </c>
      <c r="F135" s="2"/>
      <c r="G135" s="3"/>
      <c r="H135" s="2">
        <v>7.53</v>
      </c>
      <c r="I135" s="2"/>
      <c r="J135" s="3"/>
      <c r="K135" s="2">
        <v>2.5299999999999998</v>
      </c>
      <c r="L135" s="2"/>
      <c r="M135" s="56">
        <f t="shared" si="2"/>
        <v>87.86</v>
      </c>
    </row>
    <row r="136" spans="1:13">
      <c r="A136" s="2"/>
      <c r="B136" s="2"/>
      <c r="C136" s="2">
        <v>3</v>
      </c>
      <c r="D136" s="2" t="s">
        <v>79</v>
      </c>
      <c r="E136" s="2">
        <v>66.900000000000006</v>
      </c>
      <c r="F136" s="2"/>
      <c r="G136" s="3"/>
      <c r="H136" s="2">
        <v>9.49</v>
      </c>
      <c r="I136" s="2"/>
      <c r="J136" s="3"/>
      <c r="K136" s="2">
        <v>2.0299999999999998</v>
      </c>
      <c r="L136" s="2"/>
      <c r="M136" s="56">
        <f t="shared" si="2"/>
        <v>78.42</v>
      </c>
    </row>
    <row r="137" spans="1:13">
      <c r="A137" s="2"/>
      <c r="B137" s="2"/>
      <c r="C137" s="2">
        <v>3</v>
      </c>
      <c r="D137" s="2" t="s">
        <v>88</v>
      </c>
      <c r="E137" s="2">
        <v>64.2</v>
      </c>
      <c r="F137" s="2">
        <f>AVERAGE(E133:E137)</f>
        <v>71.799999999999983</v>
      </c>
      <c r="G137" s="3"/>
      <c r="H137" s="2">
        <v>12.7</v>
      </c>
      <c r="I137" s="2">
        <f>AVERAGE(H133:H137)</f>
        <v>11.898</v>
      </c>
      <c r="J137" s="3"/>
      <c r="K137" s="2">
        <v>3.83</v>
      </c>
      <c r="L137" s="2">
        <f>AVERAGE(K133:K137)</f>
        <v>2.8459999999999996</v>
      </c>
      <c r="M137" s="56">
        <f t="shared" si="2"/>
        <v>80.73</v>
      </c>
    </row>
    <row r="138" spans="1:13">
      <c r="A138" s="2"/>
      <c r="B138" s="2"/>
      <c r="C138" s="2">
        <v>4</v>
      </c>
      <c r="D138" s="2" t="s">
        <v>83</v>
      </c>
      <c r="E138" s="2">
        <v>77.400000000000006</v>
      </c>
      <c r="F138" s="2"/>
      <c r="G138" s="3"/>
      <c r="H138" s="2">
        <v>10.41</v>
      </c>
      <c r="I138" s="2"/>
      <c r="J138" s="3"/>
      <c r="K138" s="2">
        <v>2.4</v>
      </c>
      <c r="L138" s="2"/>
      <c r="M138" s="56">
        <f t="shared" si="2"/>
        <v>90.210000000000008</v>
      </c>
    </row>
    <row r="139" spans="1:13">
      <c r="A139" s="2"/>
      <c r="B139" s="2"/>
      <c r="C139" s="2">
        <v>4</v>
      </c>
      <c r="D139" s="2" t="s">
        <v>85</v>
      </c>
      <c r="E139" s="2">
        <v>69.599999999999994</v>
      </c>
      <c r="F139" s="2"/>
      <c r="G139" s="3"/>
      <c r="H139" s="2">
        <v>7.52</v>
      </c>
      <c r="I139" s="2"/>
      <c r="J139" s="3"/>
      <c r="K139" s="2">
        <v>3.08</v>
      </c>
      <c r="L139" s="2"/>
      <c r="M139" s="56">
        <f t="shared" si="2"/>
        <v>80.199999999999989</v>
      </c>
    </row>
    <row r="140" spans="1:13">
      <c r="A140" s="2"/>
      <c r="B140" s="2"/>
      <c r="C140" s="2">
        <v>4</v>
      </c>
      <c r="D140" s="2" t="s">
        <v>87</v>
      </c>
      <c r="E140" s="2">
        <v>76</v>
      </c>
      <c r="F140" s="2"/>
      <c r="G140" s="3"/>
      <c r="H140" s="2">
        <v>9.4</v>
      </c>
      <c r="I140" s="2"/>
      <c r="J140" s="3"/>
      <c r="K140" s="2">
        <v>2.21</v>
      </c>
      <c r="L140" s="2"/>
      <c r="M140" s="56">
        <f t="shared" si="2"/>
        <v>87.61</v>
      </c>
    </row>
    <row r="141" spans="1:13">
      <c r="A141" s="2"/>
      <c r="B141" s="2"/>
      <c r="C141" s="2">
        <v>4</v>
      </c>
      <c r="D141" s="2" t="s">
        <v>79</v>
      </c>
      <c r="E141" s="2">
        <v>66.400000000000006</v>
      </c>
      <c r="F141" s="2"/>
      <c r="G141" s="3"/>
      <c r="H141" s="28">
        <v>8</v>
      </c>
      <c r="I141" s="2"/>
      <c r="J141" s="3"/>
      <c r="K141" s="2">
        <v>4.8099999999999996</v>
      </c>
      <c r="L141" s="2"/>
      <c r="M141" s="56">
        <f t="shared" si="2"/>
        <v>79.210000000000008</v>
      </c>
    </row>
    <row r="142" spans="1:13">
      <c r="A142" s="2"/>
      <c r="B142" s="2"/>
      <c r="C142" s="2">
        <v>4</v>
      </c>
      <c r="D142" s="2" t="s">
        <v>88</v>
      </c>
      <c r="E142" s="2">
        <v>94.3</v>
      </c>
      <c r="F142" s="2">
        <f>AVERAGE(E138:E142)</f>
        <v>76.739999999999995</v>
      </c>
      <c r="G142" s="3"/>
      <c r="H142" s="2">
        <v>16.93</v>
      </c>
      <c r="I142" s="2">
        <f>AVERAGE(H138:H142)</f>
        <v>10.452</v>
      </c>
      <c r="J142" s="3"/>
      <c r="K142" s="2">
        <v>3.61</v>
      </c>
      <c r="L142" s="2">
        <f>AVERAGE(K138:K142)</f>
        <v>3.222</v>
      </c>
      <c r="M142" s="56">
        <f t="shared" si="2"/>
        <v>114.83999999999999</v>
      </c>
    </row>
    <row r="143" spans="1:13">
      <c r="A143" s="2" t="s">
        <v>106</v>
      </c>
      <c r="B143" s="2" t="s">
        <v>107</v>
      </c>
      <c r="C143" s="2">
        <v>1</v>
      </c>
      <c r="D143" s="2" t="s">
        <v>83</v>
      </c>
      <c r="E143" s="2">
        <v>64.55</v>
      </c>
      <c r="F143" s="2"/>
      <c r="G143" s="3"/>
      <c r="H143" s="4">
        <f>AVERAGE(H144:H147)</f>
        <v>9.4749999999999996</v>
      </c>
      <c r="I143" s="2"/>
      <c r="J143" s="3"/>
      <c r="K143" s="2">
        <v>3.75</v>
      </c>
      <c r="L143" s="2"/>
      <c r="M143" s="56">
        <f t="shared" si="2"/>
        <v>77.774999999999991</v>
      </c>
    </row>
    <row r="144" spans="1:13">
      <c r="A144" s="2"/>
      <c r="B144" s="2"/>
      <c r="C144" s="2">
        <v>1</v>
      </c>
      <c r="D144" s="2" t="s">
        <v>108</v>
      </c>
      <c r="E144" s="2">
        <v>70.17</v>
      </c>
      <c r="F144" s="2"/>
      <c r="G144" s="3"/>
      <c r="H144" s="2">
        <v>4.2</v>
      </c>
      <c r="I144" s="2"/>
      <c r="J144" s="3"/>
      <c r="K144" s="28">
        <f>6.12-0.25</f>
        <v>5.87</v>
      </c>
      <c r="L144" s="2"/>
      <c r="M144" s="56">
        <f t="shared" si="2"/>
        <v>80.240000000000009</v>
      </c>
    </row>
    <row r="145" spans="1:13">
      <c r="A145" s="2"/>
      <c r="B145" s="2"/>
      <c r="C145" s="2">
        <v>1</v>
      </c>
      <c r="D145" s="2" t="s">
        <v>109</v>
      </c>
      <c r="E145" s="2">
        <v>83.8</v>
      </c>
      <c r="F145" s="2"/>
      <c r="G145" s="3"/>
      <c r="H145" s="2">
        <v>9.4</v>
      </c>
      <c r="I145" s="2"/>
      <c r="J145" s="3"/>
      <c r="K145" s="2">
        <v>11.37</v>
      </c>
      <c r="L145" s="2"/>
      <c r="M145" s="56">
        <f t="shared" si="2"/>
        <v>104.57000000000001</v>
      </c>
    </row>
    <row r="146" spans="1:13">
      <c r="A146" s="2"/>
      <c r="B146" s="2"/>
      <c r="C146" s="2">
        <v>1</v>
      </c>
      <c r="D146" s="2" t="s">
        <v>87</v>
      </c>
      <c r="E146" s="60">
        <v>106.4</v>
      </c>
      <c r="F146" s="2"/>
      <c r="G146" s="3"/>
      <c r="H146" s="2">
        <v>21.9</v>
      </c>
      <c r="I146" s="2"/>
      <c r="J146" s="3"/>
      <c r="K146" s="2">
        <f>10.57-0.53</f>
        <v>10.040000000000001</v>
      </c>
      <c r="L146" s="2"/>
      <c r="M146" s="56">
        <f t="shared" si="2"/>
        <v>138.34</v>
      </c>
    </row>
    <row r="147" spans="1:13">
      <c r="A147" s="2"/>
      <c r="B147" s="2"/>
      <c r="C147" s="2">
        <v>1</v>
      </c>
      <c r="D147" s="2" t="s">
        <v>79</v>
      </c>
      <c r="E147" s="2">
        <v>75.75</v>
      </c>
      <c r="F147" s="2">
        <f>AVERAGE(E143:E147)</f>
        <v>80.133999999999986</v>
      </c>
      <c r="G147" s="3"/>
      <c r="H147" s="2">
        <v>2.4</v>
      </c>
      <c r="I147" s="2">
        <f>AVERAGE(H143:H147)</f>
        <v>9.4749999999999996</v>
      </c>
      <c r="J147" s="3"/>
      <c r="K147" s="4">
        <f>AVERAGE(K143:K146)</f>
        <v>7.7575000000000003</v>
      </c>
      <c r="L147" s="2">
        <f>AVERAGE(K143:K147)</f>
        <v>7.7575000000000003</v>
      </c>
      <c r="M147" s="56">
        <f t="shared" si="2"/>
        <v>85.907499999999999</v>
      </c>
    </row>
    <row r="148" spans="1:13">
      <c r="A148" s="2"/>
      <c r="B148" s="2"/>
      <c r="C148" s="2">
        <v>2</v>
      </c>
      <c r="D148" s="2" t="s">
        <v>83</v>
      </c>
      <c r="E148" s="4"/>
      <c r="F148" s="2"/>
      <c r="G148" s="3"/>
      <c r="H148" s="2">
        <v>5</v>
      </c>
      <c r="I148" s="2"/>
      <c r="J148" s="3"/>
      <c r="K148" s="2">
        <v>2.7</v>
      </c>
      <c r="L148" s="2"/>
      <c r="M148" s="56">
        <f t="shared" si="2"/>
        <v>7.7</v>
      </c>
    </row>
    <row r="149" spans="1:13">
      <c r="A149" s="2"/>
      <c r="B149" s="2"/>
      <c r="C149" s="2">
        <v>2</v>
      </c>
      <c r="D149" s="2" t="s">
        <v>108</v>
      </c>
      <c r="E149" s="2">
        <v>70.7</v>
      </c>
      <c r="F149" s="2"/>
      <c r="G149" s="3"/>
      <c r="H149" s="2">
        <v>7.8</v>
      </c>
      <c r="I149" s="2"/>
      <c r="J149" s="3"/>
      <c r="K149" s="2">
        <v>2.5</v>
      </c>
      <c r="L149" s="2"/>
      <c r="M149" s="56">
        <f t="shared" si="2"/>
        <v>81</v>
      </c>
    </row>
    <row r="150" spans="1:13">
      <c r="A150" s="2"/>
      <c r="B150" s="2"/>
      <c r="C150" s="2">
        <v>2</v>
      </c>
      <c r="D150" s="2" t="s">
        <v>109</v>
      </c>
      <c r="E150" s="2">
        <v>71.599999999999994</v>
      </c>
      <c r="F150" s="2"/>
      <c r="G150" s="3"/>
      <c r="H150" s="2">
        <v>2.7</v>
      </c>
      <c r="I150" s="2"/>
      <c r="J150" s="3"/>
      <c r="K150" s="4">
        <f>AVERAGE(K148:K149,K151)</f>
        <v>2.97</v>
      </c>
      <c r="L150" s="2"/>
      <c r="M150" s="56">
        <f t="shared" si="2"/>
        <v>77.27</v>
      </c>
    </row>
    <row r="151" spans="1:13">
      <c r="A151" s="2"/>
      <c r="B151" s="2"/>
      <c r="C151" s="2">
        <v>2</v>
      </c>
      <c r="D151" s="2" t="s">
        <v>87</v>
      </c>
      <c r="E151" s="2">
        <v>64.2</v>
      </c>
      <c r="F151" s="2"/>
      <c r="G151" s="3"/>
      <c r="H151" s="2">
        <v>2.2000000000000002</v>
      </c>
      <c r="I151" s="2"/>
      <c r="J151" s="3"/>
      <c r="K151" s="28">
        <v>3.71</v>
      </c>
      <c r="L151" s="2"/>
      <c r="M151" s="56">
        <f t="shared" si="2"/>
        <v>70.11</v>
      </c>
    </row>
    <row r="152" spans="1:13">
      <c r="A152" s="2"/>
      <c r="B152" s="2"/>
      <c r="C152" s="2">
        <v>2</v>
      </c>
      <c r="D152" s="2" t="s">
        <v>79</v>
      </c>
      <c r="E152" s="2">
        <v>74.7</v>
      </c>
      <c r="F152" s="2">
        <f>AVERAGE(E148:E152)</f>
        <v>70.3</v>
      </c>
      <c r="G152" s="3"/>
      <c r="H152" s="2">
        <v>4.5</v>
      </c>
      <c r="I152" s="2">
        <f>AVERAGE(H148:H152)</f>
        <v>4.4399999999999995</v>
      </c>
      <c r="J152" s="3"/>
      <c r="K152" s="4">
        <f>AVERAGE(K148:K149,K151)</f>
        <v>2.97</v>
      </c>
      <c r="L152" s="2">
        <f>AVERAGE(K148:K152)</f>
        <v>2.9699999999999998</v>
      </c>
      <c r="M152" s="56">
        <f t="shared" si="2"/>
        <v>82.17</v>
      </c>
    </row>
    <row r="153" spans="1:13">
      <c r="A153" s="2"/>
      <c r="B153" s="2"/>
      <c r="C153" s="2">
        <v>3</v>
      </c>
      <c r="D153" s="2" t="s">
        <v>83</v>
      </c>
      <c r="E153" s="4"/>
      <c r="F153" s="2"/>
      <c r="G153" s="3"/>
      <c r="H153" s="2">
        <v>4.9000000000000004</v>
      </c>
      <c r="I153" s="2"/>
      <c r="J153" s="3"/>
      <c r="K153" s="4">
        <f>AVERAGE(K154:K156)</f>
        <v>10.453333333333333</v>
      </c>
      <c r="L153" s="2"/>
      <c r="M153" s="56">
        <f t="shared" si="2"/>
        <v>15.353333333333333</v>
      </c>
    </row>
    <row r="154" spans="1:13">
      <c r="A154" s="2"/>
      <c r="B154" s="2"/>
      <c r="C154" s="2">
        <v>3</v>
      </c>
      <c r="D154" s="2" t="s">
        <v>108</v>
      </c>
      <c r="E154" s="2">
        <v>82.71</v>
      </c>
      <c r="F154" s="2"/>
      <c r="G154" s="3"/>
      <c r="H154" s="2">
        <v>3.1</v>
      </c>
      <c r="I154" s="2"/>
      <c r="J154" s="3"/>
      <c r="K154" s="2">
        <f>2.52-0.34</f>
        <v>2.1800000000000002</v>
      </c>
      <c r="L154" s="2"/>
      <c r="M154" s="56">
        <f t="shared" si="2"/>
        <v>87.99</v>
      </c>
    </row>
    <row r="155" spans="1:13">
      <c r="A155" s="2"/>
      <c r="B155" s="2"/>
      <c r="C155" s="2">
        <v>3</v>
      </c>
      <c r="D155" s="2" t="s">
        <v>109</v>
      </c>
      <c r="E155" s="4"/>
      <c r="F155" s="2"/>
      <c r="G155" s="3"/>
      <c r="H155" s="2">
        <v>5.4</v>
      </c>
      <c r="I155" s="2"/>
      <c r="J155" s="3"/>
      <c r="K155" s="2">
        <v>16.940000000000001</v>
      </c>
      <c r="L155" s="2"/>
      <c r="M155" s="56">
        <f t="shared" si="2"/>
        <v>22.340000000000003</v>
      </c>
    </row>
    <row r="156" spans="1:13">
      <c r="A156" s="2"/>
      <c r="B156" s="2"/>
      <c r="C156" s="2">
        <v>3</v>
      </c>
      <c r="D156" s="2" t="s">
        <v>87</v>
      </c>
      <c r="E156" s="2">
        <v>69.5</v>
      </c>
      <c r="F156" s="2"/>
      <c r="G156" s="3"/>
      <c r="H156" s="2">
        <v>5.2</v>
      </c>
      <c r="I156" s="2"/>
      <c r="J156" s="3"/>
      <c r="K156" s="2">
        <v>12.24</v>
      </c>
      <c r="L156" s="2"/>
      <c r="M156" s="56">
        <f t="shared" si="2"/>
        <v>86.94</v>
      </c>
    </row>
    <row r="157" spans="1:13">
      <c r="A157" s="2"/>
      <c r="B157" s="2"/>
      <c r="C157" s="2">
        <v>3</v>
      </c>
      <c r="D157" s="2" t="s">
        <v>79</v>
      </c>
      <c r="E157" s="2">
        <v>72.36</v>
      </c>
      <c r="F157" s="2">
        <f>AVERAGE(E153:E157)</f>
        <v>74.856666666666669</v>
      </c>
      <c r="G157" s="3"/>
      <c r="H157" s="2">
        <v>2</v>
      </c>
      <c r="I157" s="2">
        <f>AVERAGE(H153:H157)</f>
        <v>4.12</v>
      </c>
      <c r="J157" s="3"/>
      <c r="K157" s="4">
        <f>AVERAGE(K154:K156)</f>
        <v>10.453333333333333</v>
      </c>
      <c r="L157" s="2">
        <f>AVERAGE(K153:K157)</f>
        <v>10.453333333333333</v>
      </c>
      <c r="M157" s="56">
        <f t="shared" si="2"/>
        <v>84.813333333333333</v>
      </c>
    </row>
    <row r="158" spans="1:13">
      <c r="A158" s="2"/>
      <c r="B158" s="2"/>
      <c r="C158" s="2">
        <v>4</v>
      </c>
      <c r="D158" s="2" t="s">
        <v>83</v>
      </c>
      <c r="E158" s="2">
        <v>74.400000000000006</v>
      </c>
      <c r="F158" s="2"/>
      <c r="G158" s="3"/>
      <c r="H158" s="2">
        <v>1.6</v>
      </c>
      <c r="I158" s="2"/>
      <c r="J158" s="3"/>
      <c r="K158" s="2">
        <f>5.61-0.65</f>
        <v>4.96</v>
      </c>
      <c r="L158" s="2"/>
      <c r="M158" s="56">
        <f t="shared" si="2"/>
        <v>80.959999999999994</v>
      </c>
    </row>
    <row r="159" spans="1:13">
      <c r="A159" s="2"/>
      <c r="B159" s="2"/>
      <c r="C159" s="2">
        <v>4</v>
      </c>
      <c r="D159" s="2" t="s">
        <v>108</v>
      </c>
      <c r="E159" s="2">
        <v>74.2</v>
      </c>
      <c r="F159" s="2"/>
      <c r="G159" s="3"/>
      <c r="H159" s="2">
        <v>7.8</v>
      </c>
      <c r="I159" s="2"/>
      <c r="J159" s="3"/>
      <c r="K159" s="2">
        <f>3.96-0.65</f>
        <v>3.31</v>
      </c>
      <c r="L159" s="2"/>
      <c r="M159" s="56">
        <f t="shared" si="2"/>
        <v>85.31</v>
      </c>
    </row>
    <row r="160" spans="1:13">
      <c r="A160" s="2"/>
      <c r="B160" s="2"/>
      <c r="C160" s="2">
        <v>4</v>
      </c>
      <c r="D160" s="2" t="s">
        <v>109</v>
      </c>
      <c r="E160" s="4"/>
      <c r="F160" s="2"/>
      <c r="G160" s="3"/>
      <c r="H160" s="2">
        <v>5</v>
      </c>
      <c r="I160" s="2"/>
      <c r="J160" s="3"/>
      <c r="K160" s="4">
        <f>AVERAGE(K158:K159,K161)</f>
        <v>3.3833333333333329</v>
      </c>
      <c r="L160" s="2"/>
      <c r="M160" s="56">
        <f t="shared" si="2"/>
        <v>8.3833333333333329</v>
      </c>
    </row>
    <row r="161" spans="1:13">
      <c r="A161" s="2"/>
      <c r="B161" s="2"/>
      <c r="C161" s="2">
        <v>4</v>
      </c>
      <c r="D161" s="2" t="s">
        <v>87</v>
      </c>
      <c r="E161" s="2">
        <v>76.400000000000006</v>
      </c>
      <c r="F161" s="2"/>
      <c r="G161" s="3"/>
      <c r="H161" s="2">
        <v>9.9</v>
      </c>
      <c r="I161" s="2"/>
      <c r="J161" s="3"/>
      <c r="K161" s="2">
        <v>1.88</v>
      </c>
      <c r="L161" s="2"/>
      <c r="M161" s="56">
        <f t="shared" si="2"/>
        <v>88.18</v>
      </c>
    </row>
    <row r="162" spans="1:13">
      <c r="A162" s="2"/>
      <c r="B162" s="2"/>
      <c r="C162" s="2">
        <v>4</v>
      </c>
      <c r="D162" s="2" t="s">
        <v>79</v>
      </c>
      <c r="E162" s="2">
        <v>70.13</v>
      </c>
      <c r="F162" s="2">
        <f>AVERAGE(E158:E162)</f>
        <v>73.782499999999999</v>
      </c>
      <c r="G162" s="3"/>
      <c r="H162" s="2">
        <v>5.5</v>
      </c>
      <c r="I162" s="2">
        <f>AVERAGE(H158:H162)</f>
        <v>5.96</v>
      </c>
      <c r="J162" s="3"/>
      <c r="K162" s="4">
        <f>AVERAGE(K161,K158:K159)</f>
        <v>3.3833333333333333</v>
      </c>
      <c r="L162" s="2">
        <f>AVERAGE(K158:K162)</f>
        <v>3.3833333333333329</v>
      </c>
      <c r="M162" s="56">
        <f t="shared" si="2"/>
        <v>79.013333333333335</v>
      </c>
    </row>
    <row r="163" spans="1:13">
      <c r="A163" s="2" t="s">
        <v>106</v>
      </c>
      <c r="B163" s="2" t="s">
        <v>110</v>
      </c>
      <c r="C163" s="2">
        <v>1</v>
      </c>
      <c r="D163" s="2" t="s">
        <v>83</v>
      </c>
      <c r="E163" s="2">
        <v>49.5</v>
      </c>
      <c r="F163" s="2"/>
      <c r="G163" s="3"/>
      <c r="H163" s="2">
        <v>17.7</v>
      </c>
      <c r="I163" s="2"/>
      <c r="J163" s="3"/>
      <c r="K163" s="4">
        <f>AVERAGE(K164:K167)</f>
        <v>1.5050000000000001</v>
      </c>
      <c r="L163" s="2"/>
      <c r="M163" s="56">
        <f t="shared" si="2"/>
        <v>68.704999999999998</v>
      </c>
    </row>
    <row r="164" spans="1:13">
      <c r="A164" s="2"/>
      <c r="B164" s="2"/>
      <c r="C164" s="2">
        <v>1</v>
      </c>
      <c r="D164" s="2" t="s">
        <v>85</v>
      </c>
      <c r="E164" s="2">
        <v>52.68</v>
      </c>
      <c r="F164" s="2"/>
      <c r="G164" s="3"/>
      <c r="H164" s="2">
        <v>9.6999999999999993</v>
      </c>
      <c r="I164" s="2"/>
      <c r="J164" s="3"/>
      <c r="K164" s="28">
        <v>1.63</v>
      </c>
      <c r="L164" s="2"/>
      <c r="M164" s="56">
        <f t="shared" si="2"/>
        <v>64.009999999999991</v>
      </c>
    </row>
    <row r="165" spans="1:13">
      <c r="A165" s="2"/>
      <c r="B165" s="2"/>
      <c r="C165" s="2">
        <v>1</v>
      </c>
      <c r="D165" s="2" t="s">
        <v>109</v>
      </c>
      <c r="E165" s="4"/>
      <c r="F165" s="2"/>
      <c r="G165" s="3"/>
      <c r="H165" s="2">
        <v>12.4</v>
      </c>
      <c r="I165" s="2"/>
      <c r="J165" s="3"/>
      <c r="K165" s="2">
        <v>1.1100000000000001</v>
      </c>
      <c r="L165" s="2"/>
      <c r="M165" s="56">
        <f t="shared" si="2"/>
        <v>13.51</v>
      </c>
    </row>
    <row r="166" spans="1:13">
      <c r="A166" s="2"/>
      <c r="B166" s="2"/>
      <c r="C166" s="2">
        <v>1</v>
      </c>
      <c r="D166" s="2" t="s">
        <v>111</v>
      </c>
      <c r="E166" s="4"/>
      <c r="F166" s="2"/>
      <c r="G166" s="3"/>
      <c r="H166" s="2">
        <v>5.8</v>
      </c>
      <c r="I166" s="2"/>
      <c r="J166" s="3"/>
      <c r="K166" s="2">
        <v>1.56</v>
      </c>
      <c r="L166" s="2"/>
      <c r="M166" s="56">
        <f t="shared" si="2"/>
        <v>7.3599999999999994</v>
      </c>
    </row>
    <row r="167" spans="1:13">
      <c r="A167" s="2"/>
      <c r="B167" s="2"/>
      <c r="C167" s="2">
        <v>1</v>
      </c>
      <c r="D167" s="2" t="s">
        <v>79</v>
      </c>
      <c r="E167" s="2">
        <v>64.760000000000005</v>
      </c>
      <c r="F167" s="2">
        <f>AVERAGE(E163:E167)</f>
        <v>55.646666666666668</v>
      </c>
      <c r="G167" s="3"/>
      <c r="H167" s="2">
        <v>8.3000000000000007</v>
      </c>
      <c r="I167" s="2">
        <f>AVERAGE(H163:H167)</f>
        <v>10.779999999999998</v>
      </c>
      <c r="J167" s="3"/>
      <c r="K167" s="2">
        <v>1.72</v>
      </c>
      <c r="L167" s="2">
        <f>AVERAGE(K163:K167)</f>
        <v>1.5049999999999999</v>
      </c>
      <c r="M167" s="56">
        <f t="shared" si="2"/>
        <v>74.78</v>
      </c>
    </row>
    <row r="168" spans="1:13">
      <c r="A168" s="2"/>
      <c r="B168" s="2"/>
      <c r="C168" s="2">
        <v>2</v>
      </c>
      <c r="D168" s="2" t="s">
        <v>83</v>
      </c>
      <c r="E168" s="2">
        <v>79.61</v>
      </c>
      <c r="F168" s="2"/>
      <c r="G168" s="3"/>
      <c r="H168" s="2">
        <v>15.8</v>
      </c>
      <c r="I168" s="2"/>
      <c r="J168" s="3"/>
      <c r="K168" s="4">
        <f>AVERAGE(K169:K172)</f>
        <v>3.0724999999999998</v>
      </c>
      <c r="L168" s="2"/>
      <c r="M168" s="56">
        <f t="shared" si="2"/>
        <v>98.482500000000002</v>
      </c>
    </row>
    <row r="169" spans="1:13">
      <c r="A169" s="2"/>
      <c r="B169" s="2"/>
      <c r="C169" s="2">
        <v>2</v>
      </c>
      <c r="D169" s="2" t="s">
        <v>85</v>
      </c>
      <c r="E169" s="4"/>
      <c r="F169" s="2"/>
      <c r="G169" s="3"/>
      <c r="H169" s="2">
        <v>9.9</v>
      </c>
      <c r="I169" s="2"/>
      <c r="J169" s="3"/>
      <c r="K169" s="2">
        <f>2.06-0.49</f>
        <v>1.57</v>
      </c>
      <c r="L169" s="2"/>
      <c r="M169" s="56">
        <f t="shared" si="2"/>
        <v>11.47</v>
      </c>
    </row>
    <row r="170" spans="1:13">
      <c r="A170" s="2"/>
      <c r="B170" s="2"/>
      <c r="C170" s="2">
        <v>2</v>
      </c>
      <c r="D170" s="2" t="s">
        <v>111</v>
      </c>
      <c r="E170" s="2">
        <v>80.72</v>
      </c>
      <c r="F170" s="2"/>
      <c r="G170" s="3"/>
      <c r="H170" s="2">
        <v>12.8</v>
      </c>
      <c r="I170" s="2"/>
      <c r="J170" s="3"/>
      <c r="K170" s="28">
        <v>3.59</v>
      </c>
      <c r="L170" s="2"/>
      <c r="M170" s="56">
        <f t="shared" si="2"/>
        <v>97.11</v>
      </c>
    </row>
    <row r="171" spans="1:13">
      <c r="A171" s="2"/>
      <c r="B171" s="2"/>
      <c r="C171" s="2">
        <v>2</v>
      </c>
      <c r="D171" s="2" t="s">
        <v>79</v>
      </c>
      <c r="E171" s="2">
        <v>63.88</v>
      </c>
      <c r="F171" s="2"/>
      <c r="G171" s="3"/>
      <c r="H171" s="2">
        <v>20.6</v>
      </c>
      <c r="I171" s="2"/>
      <c r="J171" s="3"/>
      <c r="K171" s="2">
        <v>3.94</v>
      </c>
      <c r="L171" s="2"/>
      <c r="M171" s="56">
        <f t="shared" si="2"/>
        <v>88.42</v>
      </c>
    </row>
    <row r="172" spans="1:13">
      <c r="A172" s="2"/>
      <c r="B172" s="2"/>
      <c r="C172" s="2">
        <v>2</v>
      </c>
      <c r="D172" s="2" t="s">
        <v>88</v>
      </c>
      <c r="E172" s="2">
        <v>68.83</v>
      </c>
      <c r="F172" s="2">
        <f>AVERAGE(E168:E172)</f>
        <v>73.259999999999991</v>
      </c>
      <c r="G172" s="3"/>
      <c r="H172" s="2">
        <v>16.5</v>
      </c>
      <c r="I172" s="2">
        <f>AVERAGE(H168:H172)</f>
        <v>15.12</v>
      </c>
      <c r="J172" s="3"/>
      <c r="K172" s="2">
        <v>3.19</v>
      </c>
      <c r="L172" s="2">
        <f>AVERAGE(K168:K172)</f>
        <v>3.0724999999999998</v>
      </c>
      <c r="M172" s="56">
        <f t="shared" si="2"/>
        <v>88.52</v>
      </c>
    </row>
    <row r="173" spans="1:13">
      <c r="A173" s="2"/>
      <c r="B173" s="2"/>
      <c r="C173" s="2">
        <v>3</v>
      </c>
      <c r="D173" s="2" t="s">
        <v>83</v>
      </c>
      <c r="E173" s="2">
        <v>61.73</v>
      </c>
      <c r="F173" s="2"/>
      <c r="G173" s="3"/>
      <c r="H173" s="2">
        <v>11.7</v>
      </c>
      <c r="I173" s="2"/>
      <c r="J173" s="3"/>
      <c r="K173" s="28">
        <v>1.74</v>
      </c>
      <c r="L173" s="2"/>
      <c r="M173" s="56">
        <f t="shared" si="2"/>
        <v>75.169999999999987</v>
      </c>
    </row>
    <row r="174" spans="1:13">
      <c r="A174" s="2"/>
      <c r="B174" s="2"/>
      <c r="C174" s="2">
        <v>3</v>
      </c>
      <c r="D174" s="2" t="s">
        <v>85</v>
      </c>
      <c r="E174" s="2">
        <v>54.1</v>
      </c>
      <c r="F174" s="2"/>
      <c r="G174" s="3"/>
      <c r="H174" s="2">
        <v>8</v>
      </c>
      <c r="I174" s="2"/>
      <c r="J174" s="3"/>
      <c r="K174" s="4">
        <f>AVERAGE($K$175,$K$173)</f>
        <v>2.34</v>
      </c>
      <c r="L174" s="2"/>
      <c r="M174" s="56">
        <f t="shared" si="2"/>
        <v>64.44</v>
      </c>
    </row>
    <row r="175" spans="1:13">
      <c r="A175" s="2"/>
      <c r="B175" s="2"/>
      <c r="C175" s="2">
        <v>3</v>
      </c>
      <c r="D175" s="28" t="s">
        <v>109</v>
      </c>
      <c r="E175" s="4"/>
      <c r="F175" s="2"/>
      <c r="G175" s="3"/>
      <c r="H175" s="2">
        <v>19.600000000000001</v>
      </c>
      <c r="I175" s="2"/>
      <c r="J175" s="3"/>
      <c r="K175" s="2">
        <f>3.6-0.66</f>
        <v>2.94</v>
      </c>
      <c r="L175" s="2"/>
      <c r="M175" s="56">
        <f t="shared" si="2"/>
        <v>22.540000000000003</v>
      </c>
    </row>
    <row r="176" spans="1:13">
      <c r="A176" s="2"/>
      <c r="B176" s="2"/>
      <c r="C176" s="2">
        <v>3</v>
      </c>
      <c r="D176" s="2" t="s">
        <v>79</v>
      </c>
      <c r="E176" s="4"/>
      <c r="F176" s="2"/>
      <c r="G176" s="3"/>
      <c r="H176" s="2">
        <v>12.1</v>
      </c>
      <c r="I176" s="2"/>
      <c r="J176" s="3"/>
      <c r="K176" s="4">
        <f t="shared" ref="K176:K177" si="4">AVERAGE($K$175,$K$173)</f>
        <v>2.34</v>
      </c>
      <c r="L176" s="2"/>
      <c r="M176" s="56">
        <f t="shared" si="2"/>
        <v>14.44</v>
      </c>
    </row>
    <row r="177" spans="1:13">
      <c r="A177" s="2"/>
      <c r="B177" s="2"/>
      <c r="C177" s="2">
        <v>3</v>
      </c>
      <c r="D177" s="2" t="s">
        <v>88</v>
      </c>
      <c r="E177" s="2">
        <v>54.5</v>
      </c>
      <c r="F177" s="2">
        <f>AVERAGE(E173:E177)</f>
        <v>56.776666666666664</v>
      </c>
      <c r="G177" s="3"/>
      <c r="H177" s="2">
        <v>7</v>
      </c>
      <c r="I177" s="2">
        <f>AVERAGE(H173:H177)</f>
        <v>11.68</v>
      </c>
      <c r="J177" s="3"/>
      <c r="K177" s="4">
        <f t="shared" si="4"/>
        <v>2.34</v>
      </c>
      <c r="L177" s="2">
        <f>AVERAGE(K173:K177)</f>
        <v>2.34</v>
      </c>
      <c r="M177" s="56">
        <f t="shared" si="2"/>
        <v>63.84</v>
      </c>
    </row>
    <row r="178" spans="1:13">
      <c r="A178" s="2"/>
      <c r="B178" s="2"/>
      <c r="C178" s="2">
        <v>4</v>
      </c>
      <c r="D178" s="2" t="s">
        <v>83</v>
      </c>
      <c r="E178" s="2">
        <v>60.6</v>
      </c>
      <c r="F178" s="2"/>
      <c r="G178" s="3"/>
      <c r="H178" s="2">
        <v>12.7</v>
      </c>
      <c r="I178" s="2"/>
      <c r="J178" s="3"/>
      <c r="K178" s="2">
        <f>4.42-0.69</f>
        <v>3.73</v>
      </c>
      <c r="L178" s="2"/>
      <c r="M178" s="56">
        <f t="shared" si="2"/>
        <v>77.03</v>
      </c>
    </row>
    <row r="179" spans="1:13">
      <c r="A179" s="2"/>
      <c r="B179" s="2"/>
      <c r="C179" s="2">
        <v>4</v>
      </c>
      <c r="D179" s="2" t="s">
        <v>85</v>
      </c>
      <c r="E179" s="2">
        <v>87.26</v>
      </c>
      <c r="F179" s="2"/>
      <c r="G179" s="3"/>
      <c r="H179" s="2">
        <v>13.6</v>
      </c>
      <c r="I179" s="2"/>
      <c r="J179" s="3"/>
      <c r="K179" s="28">
        <f>5.86-1.7</f>
        <v>4.16</v>
      </c>
      <c r="L179" s="2"/>
      <c r="M179" s="56">
        <f t="shared" si="2"/>
        <v>105.02</v>
      </c>
    </row>
    <row r="180" spans="1:13">
      <c r="A180" s="2"/>
      <c r="B180" s="2"/>
      <c r="C180" s="2">
        <v>4</v>
      </c>
      <c r="D180" s="2" t="s">
        <v>87</v>
      </c>
      <c r="E180" s="2">
        <v>85.66</v>
      </c>
      <c r="F180" s="2"/>
      <c r="G180" s="3"/>
      <c r="H180" s="2">
        <v>22.7</v>
      </c>
      <c r="I180" s="2"/>
      <c r="J180" s="3"/>
      <c r="K180" s="2">
        <f>6.16-0.74</f>
        <v>5.42</v>
      </c>
      <c r="L180" s="2"/>
      <c r="M180" s="56">
        <f t="shared" si="2"/>
        <v>113.78</v>
      </c>
    </row>
    <row r="181" spans="1:13">
      <c r="A181" s="2"/>
      <c r="B181" s="2"/>
      <c r="C181" s="2">
        <v>4</v>
      </c>
      <c r="D181" s="2" t="s">
        <v>79</v>
      </c>
      <c r="E181" s="4"/>
      <c r="F181" s="2"/>
      <c r="G181" s="3"/>
      <c r="H181" s="2">
        <v>20.3</v>
      </c>
      <c r="I181" s="2"/>
      <c r="J181" s="3"/>
      <c r="K181" s="2">
        <v>2.4500000000000002</v>
      </c>
      <c r="L181" s="2"/>
      <c r="M181" s="56">
        <f t="shared" si="2"/>
        <v>22.75</v>
      </c>
    </row>
    <row r="182" spans="1:13">
      <c r="A182" s="2"/>
      <c r="B182" s="2"/>
      <c r="C182" s="2">
        <v>4</v>
      </c>
      <c r="D182" s="2" t="s">
        <v>88</v>
      </c>
      <c r="E182" s="4"/>
      <c r="F182" s="2">
        <f>AVERAGE(E178:E182)</f>
        <v>77.84</v>
      </c>
      <c r="G182" s="3"/>
      <c r="H182" s="2">
        <v>26.2</v>
      </c>
      <c r="I182" s="2">
        <f>AVERAGE(H178:H182)</f>
        <v>19.100000000000001</v>
      </c>
      <c r="J182" s="3"/>
      <c r="K182" s="2">
        <v>2.79</v>
      </c>
      <c r="L182" s="2">
        <f>AVERAGE(K178:K182)</f>
        <v>3.71</v>
      </c>
      <c r="M182" s="56">
        <f t="shared" si="2"/>
        <v>28.99</v>
      </c>
    </row>
    <row r="183" spans="1:13">
      <c r="A183" s="2" t="s">
        <v>112</v>
      </c>
      <c r="B183" s="2" t="s">
        <v>113</v>
      </c>
      <c r="C183" s="2">
        <v>1</v>
      </c>
      <c r="D183" s="2" t="s">
        <v>83</v>
      </c>
      <c r="E183" s="2">
        <v>62.4</v>
      </c>
      <c r="F183" s="2"/>
      <c r="G183" s="3"/>
      <c r="H183" s="2">
        <v>4.2</v>
      </c>
      <c r="I183" s="2"/>
      <c r="J183" s="3"/>
      <c r="K183" s="28">
        <f>2.6-0.17</f>
        <v>2.4300000000000002</v>
      </c>
      <c r="L183" s="2"/>
      <c r="M183" s="56">
        <f t="shared" si="2"/>
        <v>69.03</v>
      </c>
    </row>
    <row r="184" spans="1:13">
      <c r="A184" s="2"/>
      <c r="B184" s="2"/>
      <c r="C184" s="2">
        <v>1</v>
      </c>
      <c r="D184" s="2" t="s">
        <v>108</v>
      </c>
      <c r="E184" s="2">
        <v>50.72</v>
      </c>
      <c r="F184" s="2"/>
      <c r="G184" s="3"/>
      <c r="H184" s="2">
        <v>1.5</v>
      </c>
      <c r="I184" s="2"/>
      <c r="J184" s="3"/>
      <c r="K184" s="2">
        <v>2.78</v>
      </c>
      <c r="L184" s="2"/>
      <c r="M184" s="56">
        <f t="shared" si="2"/>
        <v>55</v>
      </c>
    </row>
    <row r="185" spans="1:13">
      <c r="A185" s="2"/>
      <c r="B185" s="2"/>
      <c r="C185" s="2">
        <v>1</v>
      </c>
      <c r="D185" s="2" t="s">
        <v>109</v>
      </c>
      <c r="E185" s="2">
        <v>52.88</v>
      </c>
      <c r="F185" s="2"/>
      <c r="G185" s="3"/>
      <c r="H185" s="2">
        <v>3.5</v>
      </c>
      <c r="I185" s="2"/>
      <c r="J185" s="3"/>
      <c r="K185" s="2">
        <v>2.2400000000000002</v>
      </c>
      <c r="L185" s="2"/>
      <c r="M185" s="56">
        <f t="shared" si="2"/>
        <v>58.620000000000005</v>
      </c>
    </row>
    <row r="186" spans="1:13">
      <c r="A186" s="2"/>
      <c r="B186" s="2"/>
      <c r="C186" s="2">
        <v>1</v>
      </c>
      <c r="D186" s="2" t="s">
        <v>87</v>
      </c>
      <c r="E186" s="2">
        <v>49.12</v>
      </c>
      <c r="F186" s="2"/>
      <c r="G186" s="3"/>
      <c r="H186" s="2">
        <v>2.6</v>
      </c>
      <c r="I186" s="2"/>
      <c r="J186" s="3"/>
      <c r="K186" s="2">
        <v>2.12</v>
      </c>
      <c r="L186" s="2"/>
      <c r="M186" s="56">
        <f t="shared" si="2"/>
        <v>53.839999999999996</v>
      </c>
    </row>
    <row r="187" spans="1:13">
      <c r="A187" s="2"/>
      <c r="B187" s="2"/>
      <c r="C187" s="2">
        <v>1</v>
      </c>
      <c r="D187" s="28" t="s">
        <v>114</v>
      </c>
      <c r="E187" s="2">
        <v>52.04</v>
      </c>
      <c r="F187" s="2">
        <f>AVERAGE(E183:E187)</f>
        <v>53.432000000000002</v>
      </c>
      <c r="G187" s="3"/>
      <c r="H187" s="28">
        <v>2.21</v>
      </c>
      <c r="I187" s="2">
        <f>AVERAGE(H183:H187)</f>
        <v>2.8019999999999996</v>
      </c>
      <c r="J187" s="3"/>
      <c r="K187" s="2">
        <v>2.16</v>
      </c>
      <c r="L187" s="2">
        <f>AVERAGE(K183:K187)</f>
        <v>2.3460000000000001</v>
      </c>
      <c r="M187" s="56">
        <f t="shared" si="2"/>
        <v>56.41</v>
      </c>
    </row>
    <row r="188" spans="1:13">
      <c r="A188" s="2"/>
      <c r="B188" s="2"/>
      <c r="C188" s="2">
        <v>2</v>
      </c>
      <c r="D188" s="2" t="s">
        <v>83</v>
      </c>
      <c r="E188" s="2">
        <v>60.92</v>
      </c>
      <c r="F188" s="2"/>
      <c r="G188" s="3"/>
      <c r="H188" s="2">
        <v>3.8</v>
      </c>
      <c r="I188" s="2"/>
      <c r="J188" s="3"/>
      <c r="K188" s="2">
        <f>7.85-1.06</f>
        <v>6.7899999999999991</v>
      </c>
      <c r="L188" s="2"/>
      <c r="M188" s="56">
        <f t="shared" si="2"/>
        <v>71.509999999999991</v>
      </c>
    </row>
    <row r="189" spans="1:13">
      <c r="A189" s="2"/>
      <c r="B189" s="2"/>
      <c r="C189" s="2">
        <v>2</v>
      </c>
      <c r="D189" s="2" t="s">
        <v>108</v>
      </c>
      <c r="E189" s="2">
        <v>61.49</v>
      </c>
      <c r="F189" s="2"/>
      <c r="G189" s="3"/>
      <c r="H189" s="2">
        <v>2.6</v>
      </c>
      <c r="I189" s="2"/>
      <c r="J189" s="3"/>
      <c r="K189" s="2">
        <v>3.98</v>
      </c>
      <c r="L189" s="2"/>
      <c r="M189" s="56">
        <f t="shared" si="2"/>
        <v>68.070000000000007</v>
      </c>
    </row>
    <row r="190" spans="1:13">
      <c r="A190" s="2"/>
      <c r="B190" s="2"/>
      <c r="C190" s="2">
        <v>2</v>
      </c>
      <c r="D190" s="2" t="s">
        <v>109</v>
      </c>
      <c r="E190" s="2">
        <v>59.24</v>
      </c>
      <c r="F190" s="2"/>
      <c r="G190" s="3"/>
      <c r="H190" s="2">
        <v>1.65</v>
      </c>
      <c r="I190" s="2"/>
      <c r="J190" s="3"/>
      <c r="K190" s="28">
        <v>4.2300000000000004</v>
      </c>
      <c r="L190" s="2"/>
      <c r="M190" s="56">
        <f t="shared" si="2"/>
        <v>65.12</v>
      </c>
    </row>
    <row r="191" spans="1:13">
      <c r="A191" s="2"/>
      <c r="B191" s="2"/>
      <c r="C191" s="2">
        <v>2</v>
      </c>
      <c r="D191" s="2" t="s">
        <v>87</v>
      </c>
      <c r="E191" s="2">
        <v>37.89</v>
      </c>
      <c r="F191" s="2"/>
      <c r="G191" s="3"/>
      <c r="H191" s="2">
        <v>3.07</v>
      </c>
      <c r="I191" s="2"/>
      <c r="J191" s="3"/>
      <c r="K191" s="2">
        <f>4.73-0.1</f>
        <v>4.6300000000000008</v>
      </c>
      <c r="L191" s="2"/>
      <c r="M191" s="56">
        <f t="shared" si="2"/>
        <v>45.59</v>
      </c>
    </row>
    <row r="192" spans="1:13">
      <c r="A192" s="2"/>
      <c r="B192" s="2"/>
      <c r="C192" s="2">
        <v>2</v>
      </c>
      <c r="D192" s="28" t="s">
        <v>114</v>
      </c>
      <c r="E192" s="2">
        <v>60.32</v>
      </c>
      <c r="F192" s="2">
        <f>AVERAGE(E188:E192)</f>
        <v>55.972000000000001</v>
      </c>
      <c r="G192" s="3"/>
      <c r="H192" s="2">
        <v>2.1</v>
      </c>
      <c r="I192" s="2">
        <f>AVERAGE(H188:H192)</f>
        <v>2.6440000000000001</v>
      </c>
      <c r="J192" s="3"/>
      <c r="K192" s="2">
        <v>8.0299999999999994</v>
      </c>
      <c r="L192" s="2">
        <f>AVERAGE(K188:K192)</f>
        <v>5.5320000000000009</v>
      </c>
      <c r="M192" s="56">
        <f t="shared" si="2"/>
        <v>70.45</v>
      </c>
    </row>
    <row r="193" spans="1:13">
      <c r="A193" s="2"/>
      <c r="B193" s="2"/>
      <c r="C193" s="2">
        <v>3</v>
      </c>
      <c r="D193" s="2" t="s">
        <v>83</v>
      </c>
      <c r="E193" s="2">
        <v>66.040000000000006</v>
      </c>
      <c r="F193" s="2"/>
      <c r="G193" s="3"/>
      <c r="H193" s="2">
        <v>1.88</v>
      </c>
      <c r="I193" s="2"/>
      <c r="J193" s="3"/>
      <c r="K193" s="2">
        <v>3.34</v>
      </c>
      <c r="L193" s="2"/>
      <c r="M193" s="56">
        <f t="shared" si="2"/>
        <v>71.260000000000005</v>
      </c>
    </row>
    <row r="194" spans="1:13">
      <c r="A194" s="2"/>
      <c r="B194" s="2"/>
      <c r="C194" s="2">
        <v>3</v>
      </c>
      <c r="D194" s="2" t="s">
        <v>108</v>
      </c>
      <c r="E194" s="2">
        <v>70.510000000000005</v>
      </c>
      <c r="F194" s="2"/>
      <c r="G194" s="3"/>
      <c r="H194" s="28">
        <v>2.5299999999999998</v>
      </c>
      <c r="I194" s="2"/>
      <c r="J194" s="3"/>
      <c r="K194" s="2">
        <v>2.1</v>
      </c>
      <c r="L194" s="2"/>
      <c r="M194" s="56">
        <f t="shared" si="2"/>
        <v>75.14</v>
      </c>
    </row>
    <row r="195" spans="1:13">
      <c r="A195" s="2"/>
      <c r="B195" s="2"/>
      <c r="C195" s="2">
        <v>3</v>
      </c>
      <c r="D195" s="2" t="s">
        <v>109</v>
      </c>
      <c r="E195" s="2">
        <v>56.55</v>
      </c>
      <c r="F195" s="2"/>
      <c r="G195" s="3"/>
      <c r="H195" s="28">
        <v>1.81</v>
      </c>
      <c r="I195" s="2"/>
      <c r="J195" s="3"/>
      <c r="K195" s="2">
        <f>3.02-0.17</f>
        <v>2.85</v>
      </c>
      <c r="L195" s="2"/>
      <c r="M195" s="56">
        <f t="shared" si="2"/>
        <v>61.21</v>
      </c>
    </row>
    <row r="196" spans="1:13">
      <c r="A196" s="2"/>
      <c r="B196" s="2"/>
      <c r="C196" s="2">
        <v>3</v>
      </c>
      <c r="D196" s="2" t="s">
        <v>87</v>
      </c>
      <c r="E196" s="2">
        <v>68.55</v>
      </c>
      <c r="F196" s="2"/>
      <c r="G196" s="3"/>
      <c r="H196" s="2">
        <v>2.9</v>
      </c>
      <c r="I196" s="2"/>
      <c r="J196" s="3"/>
      <c r="K196" s="28">
        <v>1.21</v>
      </c>
      <c r="L196" s="2"/>
      <c r="M196" s="56">
        <f t="shared" si="2"/>
        <v>72.66</v>
      </c>
    </row>
    <row r="197" spans="1:13">
      <c r="A197" s="2"/>
      <c r="B197" s="2"/>
      <c r="C197" s="2">
        <v>3</v>
      </c>
      <c r="D197" s="2" t="s">
        <v>79</v>
      </c>
      <c r="E197" s="2">
        <v>66.040000000000006</v>
      </c>
      <c r="F197" s="2">
        <f>AVERAGE(E193:E197)</f>
        <v>65.538000000000011</v>
      </c>
      <c r="G197" s="3"/>
      <c r="H197" s="2">
        <v>2.14</v>
      </c>
      <c r="I197" s="2">
        <f>AVERAGE(H193:H197)</f>
        <v>2.2520000000000002</v>
      </c>
      <c r="J197" s="3"/>
      <c r="K197" s="28">
        <v>1.51</v>
      </c>
      <c r="L197" s="2">
        <f>AVERAGE(K193:K197)</f>
        <v>2.202</v>
      </c>
      <c r="M197" s="56">
        <f t="shared" si="2"/>
        <v>69.690000000000012</v>
      </c>
    </row>
    <row r="198" spans="1:13">
      <c r="A198" s="2"/>
      <c r="B198" s="2"/>
      <c r="C198" s="2">
        <v>4</v>
      </c>
      <c r="D198" s="2" t="s">
        <v>83</v>
      </c>
      <c r="E198" s="2">
        <v>30.71</v>
      </c>
      <c r="F198" s="2"/>
      <c r="G198" s="3"/>
      <c r="H198" s="2">
        <v>3</v>
      </c>
      <c r="I198" s="2"/>
      <c r="J198" s="3"/>
      <c r="K198" s="2">
        <v>2.46</v>
      </c>
      <c r="L198" s="2"/>
      <c r="M198" s="56">
        <f t="shared" si="2"/>
        <v>36.17</v>
      </c>
    </row>
    <row r="199" spans="1:13">
      <c r="A199" s="2"/>
      <c r="B199" s="2"/>
      <c r="C199" s="2">
        <v>4</v>
      </c>
      <c r="D199" s="2" t="s">
        <v>108</v>
      </c>
      <c r="E199" s="2">
        <v>49.17</v>
      </c>
      <c r="F199" s="2"/>
      <c r="G199" s="3"/>
      <c r="H199" s="2">
        <v>2.2599999999999998</v>
      </c>
      <c r="I199" s="2"/>
      <c r="J199" s="3"/>
      <c r="K199" s="2">
        <v>2.63</v>
      </c>
      <c r="L199" s="2"/>
      <c r="M199" s="56">
        <f t="shared" si="2"/>
        <v>54.06</v>
      </c>
    </row>
    <row r="200" spans="1:13">
      <c r="A200" s="2"/>
      <c r="B200" s="2"/>
      <c r="C200" s="2">
        <v>4</v>
      </c>
      <c r="D200" s="2" t="s">
        <v>109</v>
      </c>
      <c r="E200" s="2">
        <v>56.48</v>
      </c>
      <c r="F200" s="2"/>
      <c r="G200" s="3"/>
      <c r="H200" s="2">
        <v>5.0999999999999996</v>
      </c>
      <c r="I200" s="2"/>
      <c r="J200" s="3"/>
      <c r="K200" s="2">
        <v>2.1800000000000002</v>
      </c>
      <c r="L200" s="2"/>
      <c r="M200" s="56">
        <f t="shared" si="2"/>
        <v>63.76</v>
      </c>
    </row>
    <row r="201" spans="1:13">
      <c r="A201" s="2"/>
      <c r="B201" s="2"/>
      <c r="C201" s="2">
        <v>4</v>
      </c>
      <c r="D201" s="2" t="s">
        <v>87</v>
      </c>
      <c r="E201" s="2">
        <v>65.52</v>
      </c>
      <c r="F201" s="2"/>
      <c r="G201" s="3"/>
      <c r="H201" s="2">
        <v>3.3</v>
      </c>
      <c r="I201" s="2"/>
      <c r="J201" s="3"/>
      <c r="K201" s="2">
        <v>1.78</v>
      </c>
      <c r="L201" s="2"/>
      <c r="M201" s="56">
        <f t="shared" si="2"/>
        <v>70.599999999999994</v>
      </c>
    </row>
    <row r="202" spans="1:13">
      <c r="A202" s="2"/>
      <c r="B202" s="2"/>
      <c r="C202" s="2">
        <v>4</v>
      </c>
      <c r="D202" s="28" t="s">
        <v>114</v>
      </c>
      <c r="E202" s="2">
        <v>60.25</v>
      </c>
      <c r="F202" s="2">
        <f>AVERAGE(E198:E202)</f>
        <v>52.426000000000002</v>
      </c>
      <c r="G202" s="3"/>
      <c r="H202" s="2">
        <v>2.37</v>
      </c>
      <c r="I202" s="2">
        <f>AVERAGE(H198:H202)</f>
        <v>3.2060000000000004</v>
      </c>
      <c r="J202" s="3"/>
      <c r="K202" s="2">
        <v>1.57</v>
      </c>
      <c r="L202" s="2">
        <f>AVERAGE(K198:K202)</f>
        <v>2.1239999999999997</v>
      </c>
      <c r="M202" s="56">
        <f t="shared" si="2"/>
        <v>64.19</v>
      </c>
    </row>
    <row r="203" spans="1:13">
      <c r="A203" s="2" t="s">
        <v>112</v>
      </c>
      <c r="B203" s="2" t="s">
        <v>115</v>
      </c>
      <c r="C203" s="2">
        <v>1</v>
      </c>
      <c r="D203" s="2" t="s">
        <v>83</v>
      </c>
      <c r="E203" s="2">
        <v>73.78</v>
      </c>
      <c r="F203" s="2"/>
      <c r="G203" s="3"/>
      <c r="H203" s="2">
        <v>2.9</v>
      </c>
      <c r="I203" s="2"/>
      <c r="J203" s="3"/>
      <c r="K203" s="2">
        <v>0.89</v>
      </c>
      <c r="L203" s="2"/>
      <c r="M203" s="56">
        <f t="shared" si="2"/>
        <v>77.570000000000007</v>
      </c>
    </row>
    <row r="204" spans="1:13">
      <c r="A204" s="2"/>
      <c r="B204" s="2"/>
      <c r="C204" s="2">
        <v>1</v>
      </c>
      <c r="D204" s="2" t="s">
        <v>85</v>
      </c>
      <c r="E204" s="2">
        <v>72.67</v>
      </c>
      <c r="F204" s="2"/>
      <c r="G204" s="3"/>
      <c r="H204" s="4">
        <f>AVERAGE(H203,H205:H207)</f>
        <v>3.45</v>
      </c>
      <c r="I204" s="2"/>
      <c r="J204" s="3"/>
      <c r="K204" s="2">
        <v>1.3</v>
      </c>
      <c r="L204" s="2"/>
      <c r="M204" s="56">
        <f t="shared" si="2"/>
        <v>77.42</v>
      </c>
    </row>
    <row r="205" spans="1:13">
      <c r="A205" s="2"/>
      <c r="B205" s="2"/>
      <c r="C205" s="2">
        <v>1</v>
      </c>
      <c r="D205" s="2" t="s">
        <v>87</v>
      </c>
      <c r="E205" s="2">
        <v>58.87</v>
      </c>
      <c r="F205" s="2"/>
      <c r="G205" s="3"/>
      <c r="H205" s="2">
        <v>5.0999999999999996</v>
      </c>
      <c r="I205" s="2"/>
      <c r="J205" s="3"/>
      <c r="K205" s="2">
        <v>1.39</v>
      </c>
      <c r="L205" s="2"/>
      <c r="M205" s="56">
        <f t="shared" si="2"/>
        <v>65.36</v>
      </c>
    </row>
    <row r="206" spans="1:13">
      <c r="A206" s="2"/>
      <c r="B206" s="2"/>
      <c r="C206" s="2">
        <v>1</v>
      </c>
      <c r="D206" s="2" t="s">
        <v>79</v>
      </c>
      <c r="E206" s="2">
        <v>58.88</v>
      </c>
      <c r="F206" s="2"/>
      <c r="G206" s="3"/>
      <c r="H206" s="2">
        <v>3.1</v>
      </c>
      <c r="I206" s="2"/>
      <c r="J206" s="3"/>
      <c r="K206" s="2">
        <v>1.05</v>
      </c>
      <c r="L206" s="2"/>
      <c r="M206" s="56">
        <f t="shared" si="2"/>
        <v>63.03</v>
      </c>
    </row>
    <row r="207" spans="1:13">
      <c r="A207" s="2"/>
      <c r="B207" s="2"/>
      <c r="C207" s="2">
        <v>1</v>
      </c>
      <c r="D207" s="2" t="s">
        <v>88</v>
      </c>
      <c r="E207" s="2">
        <v>71.069999999999993</v>
      </c>
      <c r="F207" s="2">
        <f>AVERAGE(E203:E207)</f>
        <v>67.054000000000002</v>
      </c>
      <c r="G207" s="3"/>
      <c r="H207" s="2">
        <v>2.7</v>
      </c>
      <c r="I207" s="2">
        <f>AVERAGE(H203:H207)</f>
        <v>3.45</v>
      </c>
      <c r="J207" s="3"/>
      <c r="K207" s="28">
        <v>2.64</v>
      </c>
      <c r="L207" s="2">
        <f>AVERAGE(K203:K207)</f>
        <v>1.454</v>
      </c>
      <c r="M207" s="56">
        <f t="shared" si="2"/>
        <v>76.41</v>
      </c>
    </row>
    <row r="208" spans="1:13">
      <c r="A208" s="2"/>
      <c r="B208" s="2"/>
      <c r="C208" s="2">
        <v>2</v>
      </c>
      <c r="D208" s="2" t="s">
        <v>83</v>
      </c>
      <c r="E208" s="2">
        <v>67.290000000000006</v>
      </c>
      <c r="F208" s="2"/>
      <c r="G208" s="3"/>
      <c r="H208" s="2">
        <v>2.1</v>
      </c>
      <c r="I208" s="2"/>
      <c r="J208" s="3"/>
      <c r="K208" s="28">
        <v>1.4</v>
      </c>
      <c r="L208" s="2"/>
      <c r="M208" s="56">
        <f t="shared" si="2"/>
        <v>70.790000000000006</v>
      </c>
    </row>
    <row r="209" spans="1:13">
      <c r="A209" s="2"/>
      <c r="B209" s="2"/>
      <c r="C209" s="2">
        <v>2</v>
      </c>
      <c r="D209" s="2" t="s">
        <v>85</v>
      </c>
      <c r="E209" s="2">
        <v>68.38</v>
      </c>
      <c r="F209" s="2"/>
      <c r="G209" s="3"/>
      <c r="H209" s="2">
        <v>2.6</v>
      </c>
      <c r="I209" s="2"/>
      <c r="J209" s="3"/>
      <c r="K209" s="2">
        <v>1.28</v>
      </c>
      <c r="L209" s="2"/>
      <c r="M209" s="56">
        <f t="shared" si="2"/>
        <v>72.259999999999991</v>
      </c>
    </row>
    <row r="210" spans="1:13">
      <c r="A210" s="2"/>
      <c r="B210" s="2"/>
      <c r="C210" s="2">
        <v>2</v>
      </c>
      <c r="D210" s="2" t="s">
        <v>87</v>
      </c>
      <c r="E210" s="2">
        <v>93.24</v>
      </c>
      <c r="F210" s="2"/>
      <c r="G210" s="3"/>
      <c r="H210" s="2">
        <v>4.5</v>
      </c>
      <c r="I210" s="2"/>
      <c r="J210" s="3"/>
      <c r="K210" s="2">
        <v>1.1399999999999999</v>
      </c>
      <c r="L210" s="2"/>
      <c r="M210" s="56">
        <f t="shared" si="2"/>
        <v>98.88</v>
      </c>
    </row>
    <row r="211" spans="1:13">
      <c r="A211" s="2"/>
      <c r="B211" s="2"/>
      <c r="C211" s="2">
        <v>2</v>
      </c>
      <c r="D211" s="2" t="s">
        <v>79</v>
      </c>
      <c r="E211" s="2">
        <v>61.23</v>
      </c>
      <c r="F211" s="2"/>
      <c r="G211" s="3"/>
      <c r="H211" s="2">
        <v>1.8</v>
      </c>
      <c r="I211" s="2"/>
      <c r="J211" s="3"/>
      <c r="K211" s="28">
        <v>1.53</v>
      </c>
      <c r="L211" s="2"/>
      <c r="M211" s="56">
        <f t="shared" si="2"/>
        <v>64.559999999999988</v>
      </c>
    </row>
    <row r="212" spans="1:13">
      <c r="A212" s="2"/>
      <c r="B212" s="2"/>
      <c r="C212" s="2">
        <v>2</v>
      </c>
      <c r="D212" s="2" t="s">
        <v>88</v>
      </c>
      <c r="E212" s="2">
        <v>62.17</v>
      </c>
      <c r="F212" s="2">
        <f>AVERAGE(E208:E212)</f>
        <v>70.462000000000018</v>
      </c>
      <c r="G212" s="3"/>
      <c r="H212" s="2">
        <v>6.5</v>
      </c>
      <c r="I212" s="2">
        <f>AVERAGE(H208:H212)</f>
        <v>3.5</v>
      </c>
      <c r="J212" s="3"/>
      <c r="K212" s="2">
        <v>1.91</v>
      </c>
      <c r="L212" s="2">
        <f>AVERAGE(K208:K212)</f>
        <v>1.452</v>
      </c>
      <c r="M212" s="56">
        <f t="shared" si="2"/>
        <v>70.58</v>
      </c>
    </row>
    <row r="213" spans="1:13">
      <c r="A213" s="2"/>
      <c r="B213" s="2"/>
      <c r="C213" s="2">
        <v>3</v>
      </c>
      <c r="D213" s="2" t="s">
        <v>83</v>
      </c>
      <c r="E213" s="2">
        <v>59.64</v>
      </c>
      <c r="F213" s="2"/>
      <c r="G213" s="3"/>
      <c r="H213" s="2">
        <v>8.6999999999999993</v>
      </c>
      <c r="I213" s="2"/>
      <c r="J213" s="3"/>
      <c r="K213" s="2">
        <v>2.74</v>
      </c>
      <c r="L213" s="2"/>
      <c r="M213" s="56">
        <f t="shared" si="2"/>
        <v>71.08</v>
      </c>
    </row>
    <row r="214" spans="1:13">
      <c r="A214" s="2"/>
      <c r="B214" s="2"/>
      <c r="C214" s="2">
        <v>3</v>
      </c>
      <c r="D214" s="2" t="s">
        <v>85</v>
      </c>
      <c r="E214" s="2">
        <v>80.040000000000006</v>
      </c>
      <c r="F214" s="2"/>
      <c r="G214" s="3"/>
      <c r="H214" s="2">
        <v>8.3000000000000007</v>
      </c>
      <c r="I214" s="2"/>
      <c r="J214" s="3"/>
      <c r="K214" s="2">
        <v>2.14</v>
      </c>
      <c r="L214" s="2"/>
      <c r="M214" s="56">
        <f t="shared" si="2"/>
        <v>90.48</v>
      </c>
    </row>
    <row r="215" spans="1:13">
      <c r="A215" s="2"/>
      <c r="B215" s="2"/>
      <c r="C215" s="2">
        <v>3</v>
      </c>
      <c r="D215" s="2" t="s">
        <v>87</v>
      </c>
      <c r="E215" s="2">
        <v>56.13</v>
      </c>
      <c r="F215" s="2"/>
      <c r="G215" s="3"/>
      <c r="H215" s="2">
        <v>5.4</v>
      </c>
      <c r="I215" s="2"/>
      <c r="J215" s="3"/>
      <c r="K215" s="28">
        <v>2.87</v>
      </c>
      <c r="L215" s="2"/>
      <c r="M215" s="56">
        <f t="shared" si="2"/>
        <v>64.400000000000006</v>
      </c>
    </row>
    <row r="216" spans="1:13">
      <c r="A216" s="2"/>
      <c r="B216" s="2"/>
      <c r="C216" s="2">
        <v>3</v>
      </c>
      <c r="D216" s="2" t="s">
        <v>79</v>
      </c>
      <c r="E216" s="2">
        <v>69.819999999999993</v>
      </c>
      <c r="F216" s="2"/>
      <c r="G216" s="3"/>
      <c r="H216" s="2">
        <v>5.3</v>
      </c>
      <c r="I216" s="2"/>
      <c r="J216" s="3"/>
      <c r="K216" s="28">
        <v>1</v>
      </c>
      <c r="L216" s="2"/>
      <c r="M216" s="56">
        <f t="shared" si="2"/>
        <v>76.11999999999999</v>
      </c>
    </row>
    <row r="217" spans="1:13">
      <c r="A217" s="2"/>
      <c r="B217" s="2"/>
      <c r="C217" s="2">
        <v>3</v>
      </c>
      <c r="D217" s="2" t="s">
        <v>88</v>
      </c>
      <c r="E217" s="2">
        <v>62.53</v>
      </c>
      <c r="F217" s="2">
        <f>AVERAGE(E213:E217)</f>
        <v>65.631999999999991</v>
      </c>
      <c r="G217" s="3"/>
      <c r="H217" s="2">
        <v>4.7</v>
      </c>
      <c r="I217" s="2">
        <f>AVERAGE(H213:H217)</f>
        <v>6.4799999999999995</v>
      </c>
      <c r="J217" s="3"/>
      <c r="K217" s="2">
        <v>1.49</v>
      </c>
      <c r="L217" s="2">
        <f>AVERAGE(K213:K217)</f>
        <v>2.048</v>
      </c>
      <c r="M217" s="56">
        <f t="shared" si="2"/>
        <v>68.72</v>
      </c>
    </row>
    <row r="218" spans="1:13">
      <c r="A218" s="2"/>
      <c r="B218" s="2"/>
      <c r="C218" s="2">
        <v>4</v>
      </c>
      <c r="D218" s="2" t="s">
        <v>83</v>
      </c>
      <c r="E218" s="2">
        <v>64.56</v>
      </c>
      <c r="F218" s="2"/>
      <c r="G218" s="3"/>
      <c r="H218" s="2">
        <v>2.5</v>
      </c>
      <c r="I218" s="2"/>
      <c r="J218" s="3"/>
      <c r="K218" s="2">
        <v>0.88</v>
      </c>
      <c r="L218" s="2"/>
      <c r="M218" s="56">
        <f t="shared" si="2"/>
        <v>67.94</v>
      </c>
    </row>
    <row r="219" spans="1:13">
      <c r="A219" s="2"/>
      <c r="B219" s="2"/>
      <c r="C219" s="2">
        <v>4</v>
      </c>
      <c r="D219" s="2" t="s">
        <v>85</v>
      </c>
      <c r="E219" s="2">
        <v>32.159999999999997</v>
      </c>
      <c r="F219" s="2"/>
      <c r="G219" s="3"/>
      <c r="H219" s="2">
        <v>3.2</v>
      </c>
      <c r="I219" s="2"/>
      <c r="J219" s="3"/>
      <c r="K219" s="2">
        <v>2.11</v>
      </c>
      <c r="L219" s="2"/>
      <c r="M219" s="56">
        <f t="shared" si="2"/>
        <v>37.47</v>
      </c>
    </row>
    <row r="220" spans="1:13">
      <c r="A220" s="2"/>
      <c r="B220" s="2"/>
      <c r="C220" s="2">
        <v>4</v>
      </c>
      <c r="D220" s="2" t="s">
        <v>87</v>
      </c>
      <c r="E220" s="2">
        <v>69.67</v>
      </c>
      <c r="F220" s="2"/>
      <c r="G220" s="3"/>
      <c r="H220" s="2">
        <v>4.3</v>
      </c>
      <c r="I220" s="2"/>
      <c r="J220" s="3"/>
      <c r="K220" s="2">
        <v>2.54</v>
      </c>
      <c r="L220" s="2"/>
      <c r="M220" s="56">
        <f t="shared" si="2"/>
        <v>76.510000000000005</v>
      </c>
    </row>
    <row r="221" spans="1:13">
      <c r="A221" s="2"/>
      <c r="B221" s="2"/>
      <c r="C221" s="2">
        <v>4</v>
      </c>
      <c r="D221" s="2" t="s">
        <v>79</v>
      </c>
      <c r="E221" s="2">
        <v>63.8</v>
      </c>
      <c r="F221" s="2"/>
      <c r="G221" s="3"/>
      <c r="H221" s="2">
        <v>5</v>
      </c>
      <c r="I221" s="2"/>
      <c r="J221" s="3"/>
      <c r="K221" s="2">
        <v>1.98</v>
      </c>
      <c r="L221" s="2"/>
      <c r="M221" s="56">
        <f t="shared" si="2"/>
        <v>70.78</v>
      </c>
    </row>
    <row r="222" spans="1:13">
      <c r="A222" s="2"/>
      <c r="B222" s="2"/>
      <c r="C222" s="2">
        <v>4</v>
      </c>
      <c r="D222" s="2" t="s">
        <v>88</v>
      </c>
      <c r="E222" s="2">
        <v>67.27</v>
      </c>
      <c r="F222" s="2">
        <f>AVERAGE(E218:E222)</f>
        <v>59.491999999999997</v>
      </c>
      <c r="G222" s="3"/>
      <c r="H222" s="2">
        <v>4</v>
      </c>
      <c r="I222" s="2">
        <f>AVERAGE(H218:H222)</f>
        <v>3.8</v>
      </c>
      <c r="J222" s="3"/>
      <c r="K222" s="2">
        <v>6.84</v>
      </c>
      <c r="L222" s="2">
        <f>AVERAGE(K218:K222)</f>
        <v>2.87</v>
      </c>
      <c r="M222" s="56">
        <f t="shared" si="2"/>
        <v>78.11</v>
      </c>
    </row>
    <row r="223" spans="1:13" ht="15.75" customHeight="1">
      <c r="A223" s="3"/>
      <c r="B223" s="3"/>
      <c r="C223" s="3"/>
      <c r="D223" s="3"/>
      <c r="E223" s="3"/>
      <c r="F223" s="3"/>
      <c r="G223" s="3"/>
      <c r="H223" s="3"/>
      <c r="I223" s="3"/>
      <c r="J223" s="3"/>
      <c r="K223" s="3"/>
      <c r="L223" s="3"/>
    </row>
    <row r="224" spans="1:13" ht="15.75" customHeight="1">
      <c r="A224" s="3"/>
      <c r="B224" s="3"/>
      <c r="C224" s="3"/>
      <c r="D224" s="3"/>
      <c r="E224" s="56">
        <f>MAX(E3:E222)</f>
        <v>106.4</v>
      </c>
      <c r="F224" s="3"/>
      <c r="G224" s="3"/>
      <c r="H224" s="56">
        <f>MAX(H3:H222)</f>
        <v>44</v>
      </c>
      <c r="I224" s="3"/>
      <c r="J224" s="3"/>
      <c r="K224" s="56">
        <f>MAX(K3:K222)</f>
        <v>16.940000000000001</v>
      </c>
      <c r="L224" s="3"/>
    </row>
    <row r="225" spans="1:12" ht="15.75" customHeight="1">
      <c r="A225" s="3"/>
      <c r="B225" s="3"/>
      <c r="C225" s="3"/>
      <c r="D225" s="3"/>
      <c r="E225" s="3"/>
      <c r="F225" s="3"/>
      <c r="G225" s="3"/>
      <c r="H225" s="3"/>
      <c r="I225" s="3"/>
      <c r="J225" s="3"/>
      <c r="K225" s="3"/>
      <c r="L225" s="3"/>
    </row>
    <row r="226" spans="1:12" ht="15.75" customHeight="1">
      <c r="A226" s="3"/>
      <c r="B226" s="3"/>
      <c r="C226" s="3"/>
      <c r="D226" s="3"/>
      <c r="E226" s="3"/>
      <c r="F226" s="3"/>
      <c r="G226" s="3"/>
      <c r="H226" s="3"/>
      <c r="I226" s="3"/>
      <c r="J226" s="3"/>
      <c r="K226" s="3"/>
      <c r="L226" s="3"/>
    </row>
    <row r="227" spans="1:12" ht="15.75" customHeight="1">
      <c r="A227" s="3"/>
      <c r="B227" s="3"/>
      <c r="C227" s="3"/>
      <c r="D227" s="3"/>
      <c r="E227" s="3"/>
      <c r="F227" s="3"/>
      <c r="G227" s="3" t="s">
        <v>81</v>
      </c>
      <c r="H227" s="3"/>
      <c r="I227" s="3"/>
      <c r="J227" s="3" t="s">
        <v>116</v>
      </c>
      <c r="K227" s="3"/>
      <c r="L227" s="3"/>
    </row>
    <row r="228" spans="1:12" ht="15.75" customHeight="1">
      <c r="A228" s="3"/>
      <c r="B228" s="3"/>
      <c r="C228" s="3"/>
      <c r="D228" s="3"/>
      <c r="E228" s="3" t="s">
        <v>80</v>
      </c>
      <c r="F228" s="3"/>
      <c r="G228" s="68" t="s">
        <v>117</v>
      </c>
      <c r="H228" s="3"/>
      <c r="I228" s="3"/>
      <c r="J228" s="3"/>
      <c r="K228" s="3"/>
      <c r="L228" s="3"/>
    </row>
    <row r="229" spans="1:12" ht="15.75" customHeight="1">
      <c r="A229" s="3"/>
      <c r="B229" s="3"/>
      <c r="C229" s="3"/>
      <c r="D229" s="3"/>
      <c r="E229" s="3" t="s">
        <v>118</v>
      </c>
      <c r="F229" s="3"/>
      <c r="G229" s="68" t="s">
        <v>119</v>
      </c>
      <c r="H229" s="3"/>
      <c r="I229" s="3"/>
      <c r="J229" s="3"/>
      <c r="K229" s="3"/>
      <c r="L229" s="3"/>
    </row>
    <row r="230" spans="1:12" ht="15.75" customHeight="1">
      <c r="A230" s="3"/>
      <c r="B230" s="3"/>
      <c r="C230" s="3"/>
      <c r="D230" s="3"/>
      <c r="E230" s="3" t="s">
        <v>120</v>
      </c>
      <c r="F230" s="3"/>
      <c r="G230" s="68" t="s">
        <v>121</v>
      </c>
      <c r="H230" s="3"/>
      <c r="I230" s="3"/>
      <c r="J230" s="3"/>
      <c r="K230" s="3"/>
      <c r="L230" s="3"/>
    </row>
    <row r="231" spans="1:12" ht="15.75" customHeight="1">
      <c r="A231" s="3"/>
      <c r="B231" s="3"/>
      <c r="C231" s="3"/>
      <c r="D231" s="3"/>
      <c r="E231" s="3" t="s">
        <v>122</v>
      </c>
      <c r="F231" s="3"/>
      <c r="G231" s="3"/>
      <c r="H231" s="3"/>
      <c r="I231" s="3"/>
      <c r="J231" s="3"/>
      <c r="K231" s="3"/>
      <c r="L231" s="3"/>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256"/>
  <sheetViews>
    <sheetView workbookViewId="0"/>
  </sheetViews>
  <sheetFormatPr defaultColWidth="17.28515625" defaultRowHeight="15" customHeight="1"/>
  <sheetData>
    <row r="1" spans="1:13">
      <c r="A1" s="69" t="s">
        <v>123</v>
      </c>
      <c r="B1" s="1"/>
      <c r="C1" s="2"/>
      <c r="D1" s="2"/>
      <c r="E1" s="2"/>
      <c r="F1" s="7"/>
      <c r="G1" s="8"/>
      <c r="H1" s="3"/>
    </row>
    <row r="2" spans="1:13">
      <c r="A2" s="2" t="s">
        <v>124</v>
      </c>
      <c r="B2" s="2"/>
      <c r="C2" s="2"/>
      <c r="D2" s="3"/>
      <c r="E2" s="3"/>
      <c r="F2" s="2"/>
      <c r="G2" s="2"/>
      <c r="H2" s="3"/>
      <c r="J2" s="4"/>
      <c r="K2" s="2" t="s">
        <v>2</v>
      </c>
      <c r="L2" s="3"/>
      <c r="M2" s="3"/>
    </row>
    <row r="3" spans="1:13">
      <c r="A3" s="2" t="s">
        <v>51</v>
      </c>
      <c r="B3" s="2" t="s">
        <v>53</v>
      </c>
      <c r="C3" s="2" t="s">
        <v>54</v>
      </c>
      <c r="D3" s="9">
        <v>41539</v>
      </c>
      <c r="E3" s="9">
        <v>41549</v>
      </c>
      <c r="F3" s="9">
        <v>41559</v>
      </c>
      <c r="G3" s="9">
        <v>41580</v>
      </c>
      <c r="H3" s="10" t="s">
        <v>11</v>
      </c>
      <c r="J3" s="5"/>
      <c r="K3" s="2" t="s">
        <v>4</v>
      </c>
      <c r="L3" s="3"/>
      <c r="M3" s="3"/>
    </row>
    <row r="4" spans="1:13">
      <c r="A4" s="2" t="s">
        <v>79</v>
      </c>
      <c r="B4" s="2">
        <v>1</v>
      </c>
      <c r="C4" s="2" t="s">
        <v>87</v>
      </c>
      <c r="D4" s="2">
        <v>9.5</v>
      </c>
      <c r="E4" s="2">
        <v>9.9</v>
      </c>
      <c r="F4" s="12">
        <f>AVERAGE(F5:F8)</f>
        <v>18.799999999999997</v>
      </c>
      <c r="G4" s="2">
        <v>26.2</v>
      </c>
      <c r="H4" s="10">
        <f t="shared" ref="H4:H8" si="0">SUM(D4:G4)</f>
        <v>64.399999999999991</v>
      </c>
    </row>
    <row r="5" spans="1:13">
      <c r="A5" s="2" t="s">
        <v>79</v>
      </c>
      <c r="B5" s="2">
        <v>1</v>
      </c>
      <c r="C5" s="2" t="s">
        <v>79</v>
      </c>
      <c r="D5" s="2">
        <v>17.5</v>
      </c>
      <c r="E5" s="2">
        <v>6.9</v>
      </c>
      <c r="F5" s="2">
        <v>21.4</v>
      </c>
      <c r="G5" s="2">
        <v>30.8</v>
      </c>
      <c r="H5" s="10">
        <f t="shared" si="0"/>
        <v>76.599999999999994</v>
      </c>
    </row>
    <row r="6" spans="1:13">
      <c r="A6" s="2" t="s">
        <v>79</v>
      </c>
      <c r="B6" s="2">
        <v>1</v>
      </c>
      <c r="C6" s="2" t="s">
        <v>88</v>
      </c>
      <c r="D6" s="2">
        <v>14.3</v>
      </c>
      <c r="E6" s="2">
        <v>8.1</v>
      </c>
      <c r="F6" s="2">
        <v>26.7</v>
      </c>
      <c r="G6" s="2">
        <v>21</v>
      </c>
      <c r="H6" s="10">
        <f t="shared" si="0"/>
        <v>70.099999999999994</v>
      </c>
    </row>
    <row r="7" spans="1:13">
      <c r="A7" s="2" t="s">
        <v>79</v>
      </c>
      <c r="B7" s="2">
        <v>1</v>
      </c>
      <c r="C7" s="2" t="s">
        <v>85</v>
      </c>
      <c r="D7" s="2">
        <v>5.7</v>
      </c>
      <c r="E7" s="2">
        <v>2.5</v>
      </c>
      <c r="F7" s="2">
        <v>13</v>
      </c>
      <c r="G7" s="2">
        <v>27.3</v>
      </c>
      <c r="H7" s="10">
        <f t="shared" si="0"/>
        <v>48.5</v>
      </c>
    </row>
    <row r="8" spans="1:13">
      <c r="A8" s="2" t="s">
        <v>79</v>
      </c>
      <c r="B8" s="2">
        <v>1</v>
      </c>
      <c r="C8" s="2" t="s">
        <v>83</v>
      </c>
      <c r="D8" s="2">
        <v>13.6</v>
      </c>
      <c r="E8" s="2">
        <v>6.5</v>
      </c>
      <c r="F8" s="2">
        <v>14.1</v>
      </c>
      <c r="G8" s="2">
        <v>25.6</v>
      </c>
      <c r="H8" s="10">
        <f t="shared" si="0"/>
        <v>59.800000000000004</v>
      </c>
    </row>
    <row r="9" spans="1:13">
      <c r="A9" s="2"/>
      <c r="B9" s="2"/>
      <c r="C9" s="2"/>
      <c r="D9" s="2"/>
      <c r="E9" s="9">
        <v>41551</v>
      </c>
      <c r="F9" s="9">
        <v>41560</v>
      </c>
      <c r="G9" s="9">
        <v>41576</v>
      </c>
      <c r="H9" s="10"/>
    </row>
    <row r="10" spans="1:13">
      <c r="A10" s="2" t="s">
        <v>107</v>
      </c>
      <c r="B10" s="2">
        <v>4</v>
      </c>
      <c r="C10" s="2" t="s">
        <v>83</v>
      </c>
      <c r="D10" s="12">
        <f>AVERAGE(D11,D13,D14)</f>
        <v>9.3666666666666654</v>
      </c>
      <c r="E10" s="2">
        <v>7.7</v>
      </c>
      <c r="F10" s="2">
        <v>34.299999999999997</v>
      </c>
      <c r="G10" s="2">
        <v>16</v>
      </c>
      <c r="H10" s="10">
        <f t="shared" ref="H10:H14" si="1">SUM(D10:G10)</f>
        <v>67.36666666666666</v>
      </c>
    </row>
    <row r="11" spans="1:13">
      <c r="A11" s="2" t="s">
        <v>107</v>
      </c>
      <c r="B11" s="2">
        <v>4</v>
      </c>
      <c r="C11" s="2" t="s">
        <v>108</v>
      </c>
      <c r="D11" s="2">
        <v>8.8000000000000007</v>
      </c>
      <c r="E11" s="2">
        <v>10</v>
      </c>
      <c r="F11" s="2">
        <v>48.3</v>
      </c>
      <c r="G11" s="2">
        <v>13.4</v>
      </c>
      <c r="H11" s="10">
        <f t="shared" si="1"/>
        <v>80.5</v>
      </c>
    </row>
    <row r="12" spans="1:13">
      <c r="A12" s="2" t="s">
        <v>107</v>
      </c>
      <c r="B12" s="2">
        <v>4</v>
      </c>
      <c r="C12" s="2" t="s">
        <v>109</v>
      </c>
      <c r="D12" s="12">
        <f>AVERAGE(D11,D13,D14)</f>
        <v>9.3666666666666654</v>
      </c>
      <c r="E12" s="2">
        <v>7.2</v>
      </c>
      <c r="F12" s="2">
        <v>36.200000000000003</v>
      </c>
      <c r="G12" s="2">
        <v>22.6</v>
      </c>
      <c r="H12" s="10">
        <f t="shared" si="1"/>
        <v>75.366666666666674</v>
      </c>
    </row>
    <row r="13" spans="1:13">
      <c r="A13" s="2" t="s">
        <v>107</v>
      </c>
      <c r="B13" s="2">
        <v>4</v>
      </c>
      <c r="C13" s="2" t="s">
        <v>87</v>
      </c>
      <c r="D13" s="2">
        <v>7.6</v>
      </c>
      <c r="E13" s="2">
        <v>6.3</v>
      </c>
      <c r="F13" s="2">
        <v>43.2</v>
      </c>
      <c r="G13" s="2">
        <v>25.3</v>
      </c>
      <c r="H13" s="10">
        <f t="shared" si="1"/>
        <v>82.4</v>
      </c>
    </row>
    <row r="14" spans="1:13">
      <c r="A14" s="2" t="s">
        <v>107</v>
      </c>
      <c r="B14" s="2">
        <v>4</v>
      </c>
      <c r="C14" s="2" t="s">
        <v>114</v>
      </c>
      <c r="D14" s="2">
        <v>11.7</v>
      </c>
      <c r="E14" s="2">
        <v>12.1</v>
      </c>
      <c r="F14" s="2">
        <v>46.4</v>
      </c>
      <c r="G14" s="2">
        <v>14.5</v>
      </c>
      <c r="H14" s="10">
        <f t="shared" si="1"/>
        <v>84.699999999999989</v>
      </c>
    </row>
    <row r="15" spans="1:13">
      <c r="A15" s="2"/>
      <c r="B15" s="2"/>
      <c r="C15" s="2"/>
      <c r="D15" s="2"/>
      <c r="E15" s="2"/>
      <c r="F15" s="2"/>
      <c r="G15" s="2"/>
      <c r="H15" s="10"/>
    </row>
    <row r="16" spans="1:13">
      <c r="A16" s="2"/>
      <c r="B16" s="2"/>
      <c r="C16" s="2"/>
      <c r="D16" s="9">
        <v>41538</v>
      </c>
      <c r="E16" s="9">
        <v>41548</v>
      </c>
      <c r="F16" s="9">
        <v>41560</v>
      </c>
      <c r="G16" s="9">
        <v>41580</v>
      </c>
      <c r="H16" s="10"/>
    </row>
    <row r="17" spans="1:8">
      <c r="A17" s="2" t="s">
        <v>113</v>
      </c>
      <c r="B17" s="2">
        <v>3</v>
      </c>
      <c r="C17" s="2" t="s">
        <v>83</v>
      </c>
      <c r="D17" s="2">
        <v>10</v>
      </c>
      <c r="E17" s="2">
        <v>7.9</v>
      </c>
      <c r="F17" s="2">
        <v>52.2</v>
      </c>
      <c r="G17" s="2">
        <v>4.2</v>
      </c>
      <c r="H17" s="10">
        <f t="shared" ref="H17:H21" si="2">SUM(D17:G17)</f>
        <v>74.3</v>
      </c>
    </row>
    <row r="18" spans="1:8">
      <c r="A18" s="2" t="s">
        <v>113</v>
      </c>
      <c r="B18" s="2">
        <v>3</v>
      </c>
      <c r="C18" s="2" t="s">
        <v>108</v>
      </c>
      <c r="D18" s="2">
        <v>10.8</v>
      </c>
      <c r="E18" s="2">
        <v>10.1</v>
      </c>
      <c r="F18" s="2">
        <v>63.2</v>
      </c>
      <c r="G18" s="2">
        <v>5.2</v>
      </c>
      <c r="H18" s="10">
        <f t="shared" si="2"/>
        <v>89.3</v>
      </c>
    </row>
    <row r="19" spans="1:8">
      <c r="A19" s="2" t="s">
        <v>113</v>
      </c>
      <c r="B19" s="2">
        <v>3</v>
      </c>
      <c r="C19" s="2" t="s">
        <v>109</v>
      </c>
      <c r="D19" s="2">
        <v>10.199999999999999</v>
      </c>
      <c r="E19" s="2">
        <v>7</v>
      </c>
      <c r="F19" s="2">
        <v>41.4</v>
      </c>
      <c r="G19" s="2">
        <v>3.5</v>
      </c>
      <c r="H19" s="10">
        <f t="shared" si="2"/>
        <v>62.099999999999994</v>
      </c>
    </row>
    <row r="20" spans="1:8">
      <c r="A20" s="2" t="s">
        <v>113</v>
      </c>
      <c r="B20" s="2">
        <v>3</v>
      </c>
      <c r="C20" s="2" t="s">
        <v>87</v>
      </c>
      <c r="D20" s="12">
        <f>AVERAGE(D17:D19,D21)</f>
        <v>10.875</v>
      </c>
      <c r="E20" s="2">
        <v>12.8</v>
      </c>
      <c r="F20" s="2">
        <v>58.7</v>
      </c>
      <c r="G20" s="2">
        <v>6.6</v>
      </c>
      <c r="H20" s="10">
        <f t="shared" si="2"/>
        <v>88.974999999999994</v>
      </c>
    </row>
    <row r="21" spans="1:8">
      <c r="A21" s="2" t="s">
        <v>113</v>
      </c>
      <c r="B21" s="2">
        <v>3</v>
      </c>
      <c r="C21" s="2" t="s">
        <v>114</v>
      </c>
      <c r="D21" s="2">
        <v>12.5</v>
      </c>
      <c r="E21" s="2">
        <v>8.1999999999999993</v>
      </c>
      <c r="F21" s="2">
        <v>63.3</v>
      </c>
      <c r="G21" s="2">
        <v>6.8</v>
      </c>
      <c r="H21" s="10">
        <f t="shared" si="2"/>
        <v>90.8</v>
      </c>
    </row>
    <row r="22" spans="1:8">
      <c r="A22" s="2"/>
      <c r="B22" s="2"/>
      <c r="C22" s="2"/>
      <c r="D22" s="2"/>
      <c r="E22" s="2"/>
      <c r="F22" s="2"/>
      <c r="G22" s="2"/>
      <c r="H22" s="10"/>
    </row>
    <row r="23" spans="1:8">
      <c r="A23" s="2"/>
      <c r="B23" s="2"/>
      <c r="C23" s="2"/>
      <c r="D23" s="9">
        <v>41538</v>
      </c>
      <c r="E23" s="9">
        <v>41548</v>
      </c>
      <c r="F23" s="9">
        <v>41560</v>
      </c>
      <c r="G23" s="9">
        <v>41578</v>
      </c>
      <c r="H23" s="10"/>
    </row>
    <row r="24" spans="1:8">
      <c r="A24" s="2" t="s">
        <v>113</v>
      </c>
      <c r="B24" s="2">
        <v>4</v>
      </c>
      <c r="C24" s="2" t="s">
        <v>83</v>
      </c>
      <c r="D24" s="2">
        <v>18.8</v>
      </c>
      <c r="E24" s="2">
        <v>6.8</v>
      </c>
      <c r="F24" s="2">
        <v>41.3</v>
      </c>
      <c r="G24" s="2">
        <v>2.5</v>
      </c>
      <c r="H24" s="10">
        <f t="shared" ref="H24:H28" si="3">SUM(D24:G24)</f>
        <v>69.400000000000006</v>
      </c>
    </row>
    <row r="25" spans="1:8">
      <c r="A25" s="2" t="s">
        <v>113</v>
      </c>
      <c r="B25" s="2">
        <v>4</v>
      </c>
      <c r="C25" s="2" t="s">
        <v>108</v>
      </c>
      <c r="D25" s="2">
        <v>12.6</v>
      </c>
      <c r="E25" s="2">
        <v>8.3000000000000007</v>
      </c>
      <c r="F25" s="2">
        <v>48.4</v>
      </c>
      <c r="G25" s="2">
        <v>4.4000000000000004</v>
      </c>
      <c r="H25" s="10">
        <f t="shared" si="3"/>
        <v>73.7</v>
      </c>
    </row>
    <row r="26" spans="1:8">
      <c r="A26" s="2" t="s">
        <v>113</v>
      </c>
      <c r="B26" s="2">
        <v>4</v>
      </c>
      <c r="C26" s="2" t="s">
        <v>109</v>
      </c>
      <c r="D26" s="2">
        <v>7.2</v>
      </c>
      <c r="E26" s="2">
        <v>9.1</v>
      </c>
      <c r="F26" s="2">
        <v>49.1</v>
      </c>
      <c r="G26" s="2">
        <v>3.9</v>
      </c>
      <c r="H26" s="10">
        <f t="shared" si="3"/>
        <v>69.300000000000011</v>
      </c>
    </row>
    <row r="27" spans="1:8">
      <c r="A27" s="2" t="s">
        <v>113</v>
      </c>
      <c r="B27" s="2">
        <v>4</v>
      </c>
      <c r="C27" s="2" t="s">
        <v>87</v>
      </c>
      <c r="D27" s="2">
        <v>16.8</v>
      </c>
      <c r="E27" s="2">
        <v>9.4</v>
      </c>
      <c r="F27" s="2">
        <v>50</v>
      </c>
      <c r="G27" s="2">
        <v>4.3</v>
      </c>
      <c r="H27" s="10">
        <f t="shared" si="3"/>
        <v>80.5</v>
      </c>
    </row>
    <row r="28" spans="1:8">
      <c r="A28" s="2" t="s">
        <v>113</v>
      </c>
      <c r="B28" s="2">
        <v>4</v>
      </c>
      <c r="C28" s="2" t="s">
        <v>114</v>
      </c>
      <c r="D28" s="2">
        <v>6.1</v>
      </c>
      <c r="E28" s="12">
        <f>AVERAGE(E24:E27)</f>
        <v>8.4</v>
      </c>
      <c r="F28" s="2">
        <v>53.1</v>
      </c>
      <c r="G28" s="2">
        <v>5.0999999999999996</v>
      </c>
      <c r="H28" s="10">
        <f t="shared" si="3"/>
        <v>72.699999999999989</v>
      </c>
    </row>
    <row r="29" spans="1:8">
      <c r="A29" s="2"/>
      <c r="B29" s="2"/>
      <c r="C29" s="2"/>
      <c r="D29" s="3"/>
      <c r="E29" s="3"/>
      <c r="F29" s="2"/>
      <c r="G29" s="2"/>
      <c r="H29" s="3"/>
    </row>
    <row r="30" spans="1:8">
      <c r="A30" s="2" t="s">
        <v>126</v>
      </c>
      <c r="B30" s="2"/>
      <c r="C30" s="2"/>
      <c r="D30" s="3"/>
      <c r="E30" s="3"/>
      <c r="F30" s="2"/>
      <c r="G30" s="2"/>
      <c r="H30" s="3"/>
    </row>
    <row r="31" spans="1:8">
      <c r="A31" s="2" t="s">
        <v>127</v>
      </c>
      <c r="B31" s="2"/>
      <c r="C31" s="2"/>
      <c r="D31" s="3"/>
      <c r="E31" s="3"/>
      <c r="F31" s="2"/>
      <c r="G31" s="2"/>
      <c r="H31" s="3"/>
    </row>
    <row r="32" spans="1:8">
      <c r="A32" s="2"/>
      <c r="B32" s="2"/>
      <c r="C32" s="2"/>
      <c r="D32" s="3"/>
      <c r="E32" s="3"/>
      <c r="F32" s="2"/>
      <c r="G32" s="2"/>
      <c r="H32" s="3"/>
    </row>
    <row r="33" spans="1:8">
      <c r="A33" s="2"/>
      <c r="B33" s="2"/>
      <c r="C33" s="2"/>
      <c r="D33" s="3"/>
      <c r="E33" s="3"/>
      <c r="F33" s="2"/>
      <c r="G33" s="2"/>
      <c r="H33" s="3"/>
    </row>
    <row r="34" spans="1:8">
      <c r="A34" s="1" t="s">
        <v>128</v>
      </c>
      <c r="B34" s="1"/>
      <c r="C34" s="1"/>
      <c r="D34" s="3"/>
      <c r="E34" s="3"/>
      <c r="F34" s="2"/>
      <c r="G34" s="2"/>
      <c r="H34" s="3"/>
    </row>
    <row r="35" spans="1:8">
      <c r="A35" s="1" t="s">
        <v>129</v>
      </c>
      <c r="B35" s="1"/>
      <c r="C35" s="1"/>
      <c r="D35" s="2"/>
      <c r="E35" s="2"/>
      <c r="F35" s="2"/>
      <c r="G35" s="2"/>
      <c r="H35" s="2"/>
    </row>
    <row r="36" spans="1:8">
      <c r="A36" s="2" t="s">
        <v>52</v>
      </c>
      <c r="B36" s="2" t="s">
        <v>53</v>
      </c>
      <c r="C36" s="2" t="s">
        <v>130</v>
      </c>
      <c r="D36" s="2" t="s">
        <v>131</v>
      </c>
      <c r="E36" s="3"/>
      <c r="F36" s="2"/>
      <c r="G36" s="2"/>
      <c r="H36" s="3"/>
    </row>
    <row r="37" spans="1:8">
      <c r="A37" s="2" t="s">
        <v>79</v>
      </c>
      <c r="B37" s="2">
        <v>1</v>
      </c>
      <c r="C37" s="2">
        <v>1</v>
      </c>
      <c r="D37" s="2" t="s">
        <v>83</v>
      </c>
      <c r="E37" s="3"/>
      <c r="F37" s="2"/>
      <c r="G37" s="2"/>
      <c r="H37" s="3"/>
    </row>
    <row r="38" spans="1:8">
      <c r="A38" s="2"/>
      <c r="B38" s="2">
        <v>1</v>
      </c>
      <c r="C38" s="2">
        <v>2</v>
      </c>
      <c r="D38" s="2" t="s">
        <v>85</v>
      </c>
      <c r="E38" s="3"/>
      <c r="F38" s="2"/>
      <c r="G38" s="2"/>
      <c r="H38" s="3"/>
    </row>
    <row r="39" spans="1:8">
      <c r="A39" s="2"/>
      <c r="B39" s="2">
        <v>1</v>
      </c>
      <c r="C39" s="2">
        <v>3</v>
      </c>
      <c r="D39" s="2" t="s">
        <v>87</v>
      </c>
      <c r="E39" s="3"/>
      <c r="F39" s="2"/>
      <c r="G39" s="2"/>
      <c r="H39" s="3"/>
    </row>
    <row r="40" spans="1:8">
      <c r="A40" s="2"/>
      <c r="B40" s="2">
        <v>1</v>
      </c>
      <c r="C40" s="2">
        <v>4</v>
      </c>
      <c r="D40" s="2" t="s">
        <v>79</v>
      </c>
      <c r="E40" s="3"/>
      <c r="F40" s="2"/>
      <c r="G40" s="2"/>
      <c r="H40" s="3"/>
    </row>
    <row r="41" spans="1:8">
      <c r="A41" s="2"/>
      <c r="B41" s="2">
        <v>1</v>
      </c>
      <c r="C41" s="2">
        <v>5</v>
      </c>
      <c r="D41" s="2" t="s">
        <v>88</v>
      </c>
      <c r="E41" s="3"/>
      <c r="F41" s="2"/>
      <c r="G41" s="2"/>
      <c r="H41" s="3"/>
    </row>
    <row r="42" spans="1:8">
      <c r="A42" s="2"/>
      <c r="B42" s="2">
        <v>2</v>
      </c>
      <c r="C42" s="2">
        <v>1</v>
      </c>
      <c r="D42" s="2" t="s">
        <v>83</v>
      </c>
      <c r="E42" s="3"/>
      <c r="F42" s="2"/>
      <c r="G42" s="2"/>
      <c r="H42" s="3"/>
    </row>
    <row r="43" spans="1:8">
      <c r="A43" s="2"/>
      <c r="B43" s="2">
        <v>2</v>
      </c>
      <c r="C43" s="2">
        <v>2</v>
      </c>
      <c r="D43" s="2" t="s">
        <v>85</v>
      </c>
      <c r="E43" s="3"/>
      <c r="F43" s="2"/>
      <c r="G43" s="2"/>
      <c r="H43" s="3"/>
    </row>
    <row r="44" spans="1:8">
      <c r="A44" s="2"/>
      <c r="B44" s="2">
        <v>2</v>
      </c>
      <c r="C44" s="2">
        <v>3</v>
      </c>
      <c r="D44" s="2" t="s">
        <v>87</v>
      </c>
      <c r="E44" s="3"/>
      <c r="F44" s="2"/>
      <c r="G44" s="2"/>
      <c r="H44" s="3"/>
    </row>
    <row r="45" spans="1:8">
      <c r="A45" s="2"/>
      <c r="B45" s="2">
        <v>2</v>
      </c>
      <c r="C45" s="2">
        <v>4</v>
      </c>
      <c r="D45" s="2" t="s">
        <v>79</v>
      </c>
      <c r="E45" s="3"/>
      <c r="F45" s="2"/>
      <c r="G45" s="2"/>
      <c r="H45" s="3"/>
    </row>
    <row r="46" spans="1:8">
      <c r="A46" s="2"/>
      <c r="B46" s="2">
        <v>2</v>
      </c>
      <c r="C46" s="2">
        <v>5</v>
      </c>
      <c r="D46" s="2" t="s">
        <v>88</v>
      </c>
      <c r="E46" s="3"/>
      <c r="F46" s="2"/>
      <c r="G46" s="2"/>
      <c r="H46" s="3"/>
    </row>
    <row r="47" spans="1:8">
      <c r="A47" s="2"/>
      <c r="B47" s="2">
        <v>3</v>
      </c>
      <c r="C47" s="2">
        <v>1</v>
      </c>
      <c r="D47" s="2" t="s">
        <v>83</v>
      </c>
      <c r="E47" s="3"/>
      <c r="F47" s="2"/>
      <c r="G47" s="2"/>
      <c r="H47" s="3"/>
    </row>
    <row r="48" spans="1:8">
      <c r="A48" s="2"/>
      <c r="B48" s="2">
        <v>3</v>
      </c>
      <c r="C48" s="2">
        <v>2</v>
      </c>
      <c r="D48" s="2" t="s">
        <v>85</v>
      </c>
      <c r="E48" s="3"/>
      <c r="F48" s="2"/>
      <c r="G48" s="2"/>
      <c r="H48" s="3"/>
    </row>
    <row r="49" spans="1:8">
      <c r="A49" s="2"/>
      <c r="B49" s="2">
        <v>3</v>
      </c>
      <c r="C49" s="2">
        <v>3</v>
      </c>
      <c r="D49" s="2" t="s">
        <v>87</v>
      </c>
      <c r="E49" s="3"/>
      <c r="F49" s="2"/>
      <c r="G49" s="2"/>
      <c r="H49" s="3"/>
    </row>
    <row r="50" spans="1:8">
      <c r="A50" s="2"/>
      <c r="B50" s="2">
        <v>3</v>
      </c>
      <c r="C50" s="2">
        <v>4</v>
      </c>
      <c r="D50" s="2" t="s">
        <v>79</v>
      </c>
      <c r="E50" s="3"/>
      <c r="F50" s="2"/>
      <c r="G50" s="2"/>
      <c r="H50" s="3"/>
    </row>
    <row r="51" spans="1:8">
      <c r="A51" s="2"/>
      <c r="B51" s="2">
        <v>3</v>
      </c>
      <c r="C51" s="2">
        <v>5</v>
      </c>
      <c r="D51" s="2" t="s">
        <v>88</v>
      </c>
      <c r="E51" s="3"/>
      <c r="F51" s="2"/>
      <c r="G51" s="2"/>
      <c r="H51" s="3"/>
    </row>
    <row r="52" spans="1:8">
      <c r="A52" s="2"/>
      <c r="B52" s="2">
        <v>4</v>
      </c>
      <c r="C52" s="2">
        <v>1</v>
      </c>
      <c r="D52" s="2" t="s">
        <v>83</v>
      </c>
      <c r="E52" s="3"/>
      <c r="F52" s="2"/>
      <c r="G52" s="2"/>
      <c r="H52" s="3"/>
    </row>
    <row r="53" spans="1:8">
      <c r="A53" s="2"/>
      <c r="B53" s="2">
        <v>4</v>
      </c>
      <c r="C53" s="2">
        <v>2</v>
      </c>
      <c r="D53" s="2" t="s">
        <v>85</v>
      </c>
      <c r="E53" s="3"/>
      <c r="F53" s="2"/>
      <c r="G53" s="2"/>
      <c r="H53" s="3"/>
    </row>
    <row r="54" spans="1:8">
      <c r="A54" s="2"/>
      <c r="B54" s="2">
        <v>4</v>
      </c>
      <c r="C54" s="2">
        <v>3</v>
      </c>
      <c r="D54" s="2" t="s">
        <v>87</v>
      </c>
      <c r="E54" s="3"/>
      <c r="F54" s="2"/>
      <c r="G54" s="2"/>
      <c r="H54" s="3"/>
    </row>
    <row r="55" spans="1:8">
      <c r="A55" s="2"/>
      <c r="B55" s="2">
        <v>4</v>
      </c>
      <c r="C55" s="2">
        <v>4</v>
      </c>
      <c r="D55" s="2" t="s">
        <v>79</v>
      </c>
      <c r="E55" s="3"/>
      <c r="F55" s="2"/>
      <c r="G55" s="2"/>
      <c r="H55" s="3"/>
    </row>
    <row r="56" spans="1:8">
      <c r="A56" s="2"/>
      <c r="B56" s="2">
        <v>4</v>
      </c>
      <c r="C56" s="2">
        <v>5</v>
      </c>
      <c r="D56" s="2" t="s">
        <v>88</v>
      </c>
      <c r="E56" s="3"/>
      <c r="F56" s="2"/>
      <c r="G56" s="2"/>
      <c r="H56" s="3"/>
    </row>
    <row r="57" spans="1:8">
      <c r="A57" s="2" t="s">
        <v>94</v>
      </c>
      <c r="B57" s="2">
        <v>1</v>
      </c>
      <c r="C57" s="2">
        <v>1</v>
      </c>
      <c r="D57" s="2" t="s">
        <v>83</v>
      </c>
      <c r="E57" s="3"/>
      <c r="F57" s="2"/>
      <c r="G57" s="2"/>
      <c r="H57" s="3"/>
    </row>
    <row r="58" spans="1:8">
      <c r="A58" s="2"/>
      <c r="B58" s="2">
        <v>1</v>
      </c>
      <c r="C58" s="2">
        <v>2</v>
      </c>
      <c r="D58" s="2" t="s">
        <v>79</v>
      </c>
      <c r="E58" s="3"/>
      <c r="F58" s="2"/>
      <c r="G58" s="2"/>
      <c r="H58" s="3"/>
    </row>
    <row r="59" spans="1:8">
      <c r="A59" s="2"/>
      <c r="B59" s="2">
        <v>1</v>
      </c>
      <c r="C59" s="2">
        <v>3</v>
      </c>
      <c r="D59" s="2" t="s">
        <v>87</v>
      </c>
      <c r="E59" s="3"/>
      <c r="F59" s="2"/>
      <c r="G59" s="2"/>
      <c r="H59" s="3"/>
    </row>
    <row r="60" spans="1:8">
      <c r="A60" s="2"/>
      <c r="B60" s="2">
        <v>1</v>
      </c>
      <c r="C60" s="2">
        <v>4</v>
      </c>
      <c r="D60" s="2" t="s">
        <v>85</v>
      </c>
      <c r="E60" s="3"/>
      <c r="F60" s="2"/>
      <c r="G60" s="2"/>
      <c r="H60" s="3"/>
    </row>
    <row r="61" spans="1:8">
      <c r="A61" s="2"/>
      <c r="B61" s="2">
        <v>1</v>
      </c>
      <c r="C61" s="2">
        <v>5</v>
      </c>
      <c r="D61" s="2" t="s">
        <v>88</v>
      </c>
      <c r="E61" s="3"/>
      <c r="F61" s="2"/>
      <c r="G61" s="2"/>
      <c r="H61" s="3"/>
    </row>
    <row r="62" spans="1:8">
      <c r="A62" s="2"/>
      <c r="B62" s="2">
        <v>2</v>
      </c>
      <c r="C62" s="2">
        <v>1</v>
      </c>
      <c r="D62" s="2" t="s">
        <v>79</v>
      </c>
      <c r="E62" s="3" t="s">
        <v>132</v>
      </c>
      <c r="F62" s="2"/>
      <c r="G62" s="2"/>
      <c r="H62" s="3"/>
    </row>
    <row r="63" spans="1:8">
      <c r="A63" s="2"/>
      <c r="B63" s="2">
        <v>2</v>
      </c>
      <c r="C63" s="2">
        <v>2</v>
      </c>
      <c r="D63" s="2" t="s">
        <v>85</v>
      </c>
      <c r="E63" s="3"/>
      <c r="F63" s="2"/>
      <c r="G63" s="2"/>
      <c r="H63" s="3"/>
    </row>
    <row r="64" spans="1:8">
      <c r="A64" s="2"/>
      <c r="B64" s="2">
        <v>2</v>
      </c>
      <c r="C64" s="2">
        <v>3</v>
      </c>
      <c r="D64" s="2" t="s">
        <v>87</v>
      </c>
      <c r="E64" s="3"/>
      <c r="F64" s="2"/>
      <c r="G64" s="2"/>
      <c r="H64" s="3"/>
    </row>
    <row r="65" spans="1:8">
      <c r="A65" s="2"/>
      <c r="B65" s="2">
        <v>2</v>
      </c>
      <c r="C65" s="2">
        <v>4</v>
      </c>
      <c r="D65" s="2" t="s">
        <v>88</v>
      </c>
      <c r="E65" s="3"/>
      <c r="F65" s="2"/>
      <c r="G65" s="2"/>
      <c r="H65" s="3"/>
    </row>
    <row r="66" spans="1:8">
      <c r="A66" s="2"/>
      <c r="B66" s="2">
        <v>2</v>
      </c>
      <c r="C66" s="2">
        <v>5</v>
      </c>
      <c r="D66" s="2" t="s">
        <v>85</v>
      </c>
      <c r="E66" s="3"/>
      <c r="F66" s="2"/>
      <c r="G66" s="2"/>
      <c r="H66" s="3"/>
    </row>
    <row r="67" spans="1:8">
      <c r="A67" s="2"/>
      <c r="B67" s="2">
        <v>3</v>
      </c>
      <c r="C67" s="2">
        <v>1</v>
      </c>
      <c r="D67" s="2" t="s">
        <v>79</v>
      </c>
      <c r="E67" s="3"/>
      <c r="F67" s="2"/>
      <c r="G67" s="2"/>
      <c r="H67" s="3"/>
    </row>
    <row r="68" spans="1:8">
      <c r="A68" s="2"/>
      <c r="B68" s="2">
        <v>3</v>
      </c>
      <c r="C68" s="2">
        <v>2</v>
      </c>
      <c r="D68" s="2" t="s">
        <v>83</v>
      </c>
      <c r="E68" s="3"/>
      <c r="F68" s="2"/>
      <c r="G68" s="2"/>
      <c r="H68" s="3"/>
    </row>
    <row r="69" spans="1:8">
      <c r="A69" s="2"/>
      <c r="B69" s="2">
        <v>3</v>
      </c>
      <c r="C69" s="2">
        <v>3</v>
      </c>
      <c r="D69" s="2" t="s">
        <v>87</v>
      </c>
      <c r="E69" s="3"/>
      <c r="F69" s="2"/>
      <c r="G69" s="2"/>
      <c r="H69" s="3"/>
    </row>
    <row r="70" spans="1:8">
      <c r="A70" s="2"/>
      <c r="B70" s="2">
        <v>3</v>
      </c>
      <c r="C70" s="2">
        <v>4</v>
      </c>
      <c r="D70" s="2" t="s">
        <v>88</v>
      </c>
      <c r="E70" s="3"/>
      <c r="F70" s="2"/>
      <c r="G70" s="2"/>
      <c r="H70" s="3"/>
    </row>
    <row r="71" spans="1:8">
      <c r="A71" s="2"/>
      <c r="B71" s="2">
        <v>3</v>
      </c>
      <c r="C71" s="2">
        <v>5</v>
      </c>
      <c r="D71" s="2" t="s">
        <v>85</v>
      </c>
      <c r="E71" s="3"/>
      <c r="F71" s="2"/>
      <c r="G71" s="2"/>
      <c r="H71" s="3"/>
    </row>
    <row r="72" spans="1:8">
      <c r="A72" s="2"/>
      <c r="B72" s="2">
        <v>4</v>
      </c>
      <c r="C72" s="2">
        <v>1</v>
      </c>
      <c r="D72" s="2" t="s">
        <v>83</v>
      </c>
      <c r="E72" s="3"/>
      <c r="F72" s="2"/>
      <c r="G72" s="2"/>
      <c r="H72" s="3"/>
    </row>
    <row r="73" spans="1:8">
      <c r="A73" s="2"/>
      <c r="B73" s="2">
        <v>4</v>
      </c>
      <c r="C73" s="2">
        <v>2</v>
      </c>
      <c r="D73" s="2" t="s">
        <v>85</v>
      </c>
      <c r="E73" s="3"/>
      <c r="F73" s="2"/>
      <c r="G73" s="2"/>
      <c r="H73" s="3"/>
    </row>
    <row r="74" spans="1:8">
      <c r="A74" s="2"/>
      <c r="B74" s="2">
        <v>4</v>
      </c>
      <c r="C74" s="2">
        <v>3</v>
      </c>
      <c r="D74" s="2" t="s">
        <v>87</v>
      </c>
      <c r="E74" s="3"/>
      <c r="F74" s="2"/>
      <c r="G74" s="2"/>
      <c r="H74" s="3"/>
    </row>
    <row r="75" spans="1:8">
      <c r="A75" s="2"/>
      <c r="B75" s="2">
        <v>4</v>
      </c>
      <c r="C75" s="2">
        <v>4</v>
      </c>
      <c r="D75" s="2" t="s">
        <v>88</v>
      </c>
      <c r="E75" s="3"/>
      <c r="F75" s="2"/>
      <c r="G75" s="2"/>
      <c r="H75" s="3"/>
    </row>
    <row r="76" spans="1:8">
      <c r="A76" s="2"/>
      <c r="B76" s="2">
        <v>4</v>
      </c>
      <c r="C76" s="2">
        <v>5</v>
      </c>
      <c r="D76" s="2" t="s">
        <v>79</v>
      </c>
      <c r="E76" s="3"/>
      <c r="F76" s="2"/>
      <c r="G76" s="2"/>
      <c r="H76" s="3"/>
    </row>
    <row r="77" spans="1:8">
      <c r="A77" s="2" t="s">
        <v>95</v>
      </c>
      <c r="B77" s="2">
        <v>1</v>
      </c>
      <c r="C77" s="2">
        <v>1</v>
      </c>
      <c r="D77" s="2" t="s">
        <v>83</v>
      </c>
      <c r="E77" s="3"/>
      <c r="F77" s="2"/>
      <c r="G77" s="2"/>
      <c r="H77" s="3"/>
    </row>
    <row r="78" spans="1:8">
      <c r="A78" s="2"/>
      <c r="B78" s="2">
        <v>1</v>
      </c>
      <c r="C78" s="2">
        <v>2</v>
      </c>
      <c r="D78" s="2" t="s">
        <v>79</v>
      </c>
      <c r="E78" s="3"/>
      <c r="F78" s="2"/>
      <c r="G78" s="2"/>
      <c r="H78" s="3"/>
    </row>
    <row r="79" spans="1:8">
      <c r="A79" s="2"/>
      <c r="B79" s="2">
        <v>1</v>
      </c>
      <c r="C79" s="2">
        <v>3</v>
      </c>
      <c r="D79" s="2" t="s">
        <v>87</v>
      </c>
      <c r="E79" s="3"/>
      <c r="F79" s="2"/>
      <c r="G79" s="2"/>
      <c r="H79" s="3"/>
    </row>
    <row r="80" spans="1:8">
      <c r="A80" s="2"/>
      <c r="B80" s="2">
        <v>1</v>
      </c>
      <c r="C80" s="2">
        <v>4</v>
      </c>
      <c r="D80" s="2" t="s">
        <v>85</v>
      </c>
      <c r="E80" s="3"/>
      <c r="F80" s="2"/>
      <c r="G80" s="2"/>
      <c r="H80" s="3"/>
    </row>
    <row r="81" spans="1:8">
      <c r="A81" s="2"/>
      <c r="B81" s="2">
        <v>1</v>
      </c>
      <c r="C81" s="2">
        <v>5</v>
      </c>
      <c r="D81" s="2" t="s">
        <v>88</v>
      </c>
      <c r="E81" s="3"/>
      <c r="F81" s="2"/>
      <c r="G81" s="2"/>
      <c r="H81" s="3"/>
    </row>
    <row r="82" spans="1:8">
      <c r="A82" s="2"/>
      <c r="B82" s="2">
        <v>2</v>
      </c>
      <c r="C82" s="2">
        <v>1</v>
      </c>
      <c r="D82" s="2" t="s">
        <v>83</v>
      </c>
      <c r="E82" s="3"/>
      <c r="F82" s="2"/>
      <c r="G82" s="2"/>
      <c r="H82" s="3"/>
    </row>
    <row r="83" spans="1:8">
      <c r="A83" s="2"/>
      <c r="B83" s="2">
        <v>2</v>
      </c>
      <c r="C83" s="2">
        <v>2</v>
      </c>
      <c r="D83" s="2" t="s">
        <v>79</v>
      </c>
      <c r="E83" s="3"/>
      <c r="F83" s="2"/>
      <c r="G83" s="2"/>
      <c r="H83" s="3"/>
    </row>
    <row r="84" spans="1:8">
      <c r="A84" s="2"/>
      <c r="B84" s="2">
        <v>2</v>
      </c>
      <c r="C84" s="2">
        <v>3</v>
      </c>
      <c r="D84" s="2" t="s">
        <v>87</v>
      </c>
      <c r="E84" s="3"/>
      <c r="F84" s="2"/>
      <c r="G84" s="2"/>
      <c r="H84" s="3"/>
    </row>
    <row r="85" spans="1:8">
      <c r="A85" s="2"/>
      <c r="B85" s="2">
        <v>2</v>
      </c>
      <c r="C85" s="2">
        <v>4</v>
      </c>
      <c r="D85" s="2" t="s">
        <v>85</v>
      </c>
      <c r="E85" s="3"/>
      <c r="F85" s="2"/>
      <c r="G85" s="2"/>
      <c r="H85" s="3"/>
    </row>
    <row r="86" spans="1:8">
      <c r="A86" s="2"/>
      <c r="B86" s="2">
        <v>2</v>
      </c>
      <c r="C86" s="2">
        <v>5</v>
      </c>
      <c r="D86" s="2" t="s">
        <v>88</v>
      </c>
      <c r="E86" s="3"/>
      <c r="F86" s="2"/>
      <c r="G86" s="2"/>
      <c r="H86" s="3"/>
    </row>
    <row r="87" spans="1:8">
      <c r="A87" s="2"/>
      <c r="B87" s="2">
        <v>3</v>
      </c>
      <c r="C87" s="2">
        <v>1</v>
      </c>
      <c r="D87" s="2" t="s">
        <v>83</v>
      </c>
      <c r="E87" s="3"/>
      <c r="F87" s="2"/>
      <c r="G87" s="2"/>
      <c r="H87" s="3"/>
    </row>
    <row r="88" spans="1:8">
      <c r="A88" s="2"/>
      <c r="B88" s="2">
        <v>3</v>
      </c>
      <c r="C88" s="2">
        <v>2</v>
      </c>
      <c r="D88" s="2" t="s">
        <v>79</v>
      </c>
      <c r="E88" s="3"/>
      <c r="F88" s="2"/>
      <c r="G88" s="2"/>
      <c r="H88" s="3"/>
    </row>
    <row r="89" spans="1:8">
      <c r="A89" s="2"/>
      <c r="B89" s="2">
        <v>3</v>
      </c>
      <c r="C89" s="2">
        <v>3</v>
      </c>
      <c r="D89" s="2" t="s">
        <v>87</v>
      </c>
      <c r="E89" s="3"/>
      <c r="F89" s="2"/>
      <c r="G89" s="2"/>
      <c r="H89" s="3"/>
    </row>
    <row r="90" spans="1:8">
      <c r="A90" s="2"/>
      <c r="B90" s="2">
        <v>3</v>
      </c>
      <c r="C90" s="2">
        <v>4</v>
      </c>
      <c r="D90" s="2" t="s">
        <v>85</v>
      </c>
      <c r="E90" s="3"/>
      <c r="F90" s="2"/>
      <c r="G90" s="2"/>
      <c r="H90" s="3"/>
    </row>
    <row r="91" spans="1:8">
      <c r="A91" s="2"/>
      <c r="B91" s="2">
        <v>3</v>
      </c>
      <c r="C91" s="2">
        <v>5</v>
      </c>
      <c r="D91" s="2" t="s">
        <v>88</v>
      </c>
      <c r="E91" s="3"/>
      <c r="F91" s="2"/>
      <c r="G91" s="2"/>
      <c r="H91" s="3"/>
    </row>
    <row r="92" spans="1:8">
      <c r="A92" s="2"/>
      <c r="B92" s="2">
        <v>4</v>
      </c>
      <c r="C92" s="2">
        <v>1</v>
      </c>
      <c r="D92" s="2" t="s">
        <v>83</v>
      </c>
      <c r="E92" s="3"/>
      <c r="F92" s="2"/>
      <c r="G92" s="2"/>
      <c r="H92" s="3"/>
    </row>
    <row r="93" spans="1:8">
      <c r="A93" s="2"/>
      <c r="B93" s="2">
        <v>4</v>
      </c>
      <c r="C93" s="2">
        <v>2</v>
      </c>
      <c r="D93" s="2" t="s">
        <v>79</v>
      </c>
      <c r="E93" s="3"/>
      <c r="F93" s="2"/>
      <c r="G93" s="2"/>
      <c r="H93" s="3"/>
    </row>
    <row r="94" spans="1:8">
      <c r="A94" s="2"/>
      <c r="B94" s="2">
        <v>4</v>
      </c>
      <c r="C94" s="2">
        <v>3</v>
      </c>
      <c r="D94" s="2" t="s">
        <v>87</v>
      </c>
      <c r="E94" s="3"/>
      <c r="F94" s="2"/>
      <c r="G94" s="2"/>
      <c r="H94" s="3"/>
    </row>
    <row r="95" spans="1:8">
      <c r="A95" s="2"/>
      <c r="B95" s="2">
        <v>4</v>
      </c>
      <c r="C95" s="2">
        <v>4</v>
      </c>
      <c r="D95" s="2" t="s">
        <v>85</v>
      </c>
      <c r="E95" s="3"/>
      <c r="F95" s="2"/>
      <c r="G95" s="2"/>
      <c r="H95" s="3"/>
    </row>
    <row r="96" spans="1:8">
      <c r="A96" s="2"/>
      <c r="B96" s="2">
        <v>4</v>
      </c>
      <c r="C96" s="2">
        <v>5</v>
      </c>
      <c r="D96" s="2" t="s">
        <v>88</v>
      </c>
      <c r="E96" s="3"/>
      <c r="F96" s="2"/>
      <c r="G96" s="2"/>
      <c r="H96" s="3"/>
    </row>
    <row r="97" spans="1:8">
      <c r="A97" s="2" t="s">
        <v>101</v>
      </c>
      <c r="B97" s="2">
        <v>1</v>
      </c>
      <c r="C97" s="2">
        <v>1</v>
      </c>
      <c r="D97" s="2"/>
      <c r="E97" s="3"/>
      <c r="F97" s="2"/>
      <c r="G97" s="2"/>
      <c r="H97" s="3"/>
    </row>
    <row r="98" spans="1:8">
      <c r="A98" s="2"/>
      <c r="B98" s="2">
        <v>1</v>
      </c>
      <c r="C98" s="2">
        <v>2</v>
      </c>
      <c r="D98" s="2"/>
      <c r="E98" s="3"/>
      <c r="F98" s="2"/>
      <c r="G98" s="2"/>
      <c r="H98" s="3"/>
    </row>
    <row r="99" spans="1:8">
      <c r="A99" s="2"/>
      <c r="B99" s="2">
        <v>1</v>
      </c>
      <c r="C99" s="2">
        <v>3</v>
      </c>
      <c r="D99" s="2"/>
      <c r="E99" s="3"/>
      <c r="F99" s="2"/>
      <c r="G99" s="2"/>
      <c r="H99" s="3"/>
    </row>
    <row r="100" spans="1:8">
      <c r="A100" s="2"/>
      <c r="B100" s="2">
        <v>1</v>
      </c>
      <c r="C100" s="2">
        <v>4</v>
      </c>
      <c r="D100" s="2"/>
      <c r="E100" s="3"/>
      <c r="F100" s="2"/>
      <c r="G100" s="2"/>
      <c r="H100" s="3"/>
    </row>
    <row r="101" spans="1:8">
      <c r="A101" s="2"/>
      <c r="B101" s="2">
        <v>1</v>
      </c>
      <c r="C101" s="2">
        <v>5</v>
      </c>
      <c r="D101" s="2"/>
      <c r="E101" s="3"/>
      <c r="F101" s="2"/>
      <c r="G101" s="2"/>
      <c r="H101" s="3"/>
    </row>
    <row r="102" spans="1:8">
      <c r="A102" s="2"/>
      <c r="B102" s="2">
        <v>2</v>
      </c>
      <c r="C102" s="2">
        <v>1</v>
      </c>
      <c r="D102" s="2"/>
      <c r="E102" s="3"/>
      <c r="F102" s="2"/>
      <c r="G102" s="2"/>
      <c r="H102" s="3"/>
    </row>
    <row r="103" spans="1:8">
      <c r="A103" s="2"/>
      <c r="B103" s="2">
        <v>2</v>
      </c>
      <c r="C103" s="2">
        <v>2</v>
      </c>
      <c r="D103" s="2"/>
      <c r="E103" s="3"/>
      <c r="F103" s="2"/>
      <c r="G103" s="2"/>
      <c r="H103" s="3"/>
    </row>
    <row r="104" spans="1:8">
      <c r="A104" s="2"/>
      <c r="B104" s="2">
        <v>2</v>
      </c>
      <c r="C104" s="2">
        <v>3</v>
      </c>
      <c r="D104" s="2"/>
      <c r="E104" s="3"/>
      <c r="F104" s="2"/>
      <c r="G104" s="2"/>
      <c r="H104" s="3"/>
    </row>
    <row r="105" spans="1:8">
      <c r="A105" s="2"/>
      <c r="B105" s="2">
        <v>2</v>
      </c>
      <c r="C105" s="2">
        <v>4</v>
      </c>
      <c r="D105" s="2"/>
      <c r="E105" s="3"/>
      <c r="F105" s="2"/>
      <c r="G105" s="2"/>
      <c r="H105" s="3"/>
    </row>
    <row r="106" spans="1:8">
      <c r="A106" s="2"/>
      <c r="B106" s="2">
        <v>2</v>
      </c>
      <c r="C106" s="2">
        <v>5</v>
      </c>
      <c r="D106" s="2"/>
      <c r="E106" s="3"/>
      <c r="F106" s="2"/>
      <c r="G106" s="2"/>
      <c r="H106" s="3"/>
    </row>
    <row r="107" spans="1:8">
      <c r="A107" s="2"/>
      <c r="B107" s="2">
        <v>3</v>
      </c>
      <c r="C107" s="2">
        <v>1</v>
      </c>
      <c r="D107" s="2"/>
      <c r="E107" s="3"/>
      <c r="F107" s="2"/>
      <c r="G107" s="2"/>
      <c r="H107" s="3"/>
    </row>
    <row r="108" spans="1:8">
      <c r="A108" s="2"/>
      <c r="B108" s="2">
        <v>3</v>
      </c>
      <c r="C108" s="2">
        <v>2</v>
      </c>
      <c r="D108" s="2"/>
      <c r="E108" s="3"/>
      <c r="F108" s="2"/>
      <c r="G108" s="2"/>
      <c r="H108" s="3"/>
    </row>
    <row r="109" spans="1:8">
      <c r="A109" s="2"/>
      <c r="B109" s="2">
        <v>3</v>
      </c>
      <c r="C109" s="2">
        <v>3</v>
      </c>
      <c r="D109" s="2"/>
      <c r="E109" s="3"/>
      <c r="F109" s="2"/>
      <c r="G109" s="2"/>
      <c r="H109" s="3"/>
    </row>
    <row r="110" spans="1:8">
      <c r="A110" s="2"/>
      <c r="B110" s="2">
        <v>3</v>
      </c>
      <c r="C110" s="2">
        <v>4</v>
      </c>
      <c r="D110" s="2"/>
      <c r="E110" s="3"/>
      <c r="F110" s="2"/>
      <c r="G110" s="2"/>
      <c r="H110" s="3"/>
    </row>
    <row r="111" spans="1:8">
      <c r="A111" s="2"/>
      <c r="B111" s="2">
        <v>3</v>
      </c>
      <c r="C111" s="2">
        <v>5</v>
      </c>
      <c r="D111" s="2"/>
      <c r="E111" s="3"/>
      <c r="F111" s="2"/>
      <c r="G111" s="2"/>
      <c r="H111" s="3"/>
    </row>
    <row r="112" spans="1:8">
      <c r="A112" s="2"/>
      <c r="B112" s="2">
        <v>4</v>
      </c>
      <c r="C112" s="2">
        <v>1</v>
      </c>
      <c r="D112" s="2"/>
      <c r="E112" s="3"/>
      <c r="F112" s="2"/>
      <c r="G112" s="2"/>
      <c r="H112" s="3"/>
    </row>
    <row r="113" spans="1:8">
      <c r="A113" s="2"/>
      <c r="B113" s="2">
        <v>4</v>
      </c>
      <c r="C113" s="2">
        <v>2</v>
      </c>
      <c r="D113" s="2"/>
      <c r="E113" s="3"/>
      <c r="F113" s="2"/>
      <c r="G113" s="2"/>
      <c r="H113" s="3"/>
    </row>
    <row r="114" spans="1:8">
      <c r="A114" s="2"/>
      <c r="B114" s="2">
        <v>4</v>
      </c>
      <c r="C114" s="2">
        <v>3</v>
      </c>
      <c r="D114" s="2"/>
      <c r="E114" s="3"/>
      <c r="F114" s="2"/>
      <c r="G114" s="2"/>
      <c r="H114" s="3"/>
    </row>
    <row r="115" spans="1:8">
      <c r="A115" s="2"/>
      <c r="B115" s="2">
        <v>4</v>
      </c>
      <c r="C115" s="2">
        <v>4</v>
      </c>
      <c r="D115" s="2"/>
      <c r="E115" s="3"/>
      <c r="F115" s="2"/>
      <c r="G115" s="2"/>
      <c r="H115" s="3"/>
    </row>
    <row r="116" spans="1:8">
      <c r="A116" s="2"/>
      <c r="B116" s="2">
        <v>4</v>
      </c>
      <c r="C116" s="2">
        <v>5</v>
      </c>
      <c r="D116" s="2"/>
      <c r="E116" s="3"/>
      <c r="F116" s="2"/>
      <c r="G116" s="2"/>
      <c r="H116" s="3"/>
    </row>
    <row r="117" spans="1:8">
      <c r="A117" s="2" t="s">
        <v>102</v>
      </c>
      <c r="B117" s="2">
        <v>1</v>
      </c>
      <c r="C117" s="2">
        <v>1</v>
      </c>
      <c r="D117" s="2" t="s">
        <v>83</v>
      </c>
      <c r="E117" s="3"/>
      <c r="F117" s="2"/>
      <c r="G117" s="2"/>
      <c r="H117" s="3"/>
    </row>
    <row r="118" spans="1:8">
      <c r="A118" s="2"/>
      <c r="B118" s="2">
        <v>1</v>
      </c>
      <c r="C118" s="2">
        <v>2</v>
      </c>
      <c r="D118" s="2" t="s">
        <v>85</v>
      </c>
      <c r="E118" s="3"/>
      <c r="F118" s="2"/>
      <c r="G118" s="2"/>
      <c r="H118" s="3"/>
    </row>
    <row r="119" spans="1:8">
      <c r="A119" s="2"/>
      <c r="B119" s="2">
        <v>1</v>
      </c>
      <c r="C119" s="2">
        <v>3</v>
      </c>
      <c r="D119" s="2" t="s">
        <v>87</v>
      </c>
      <c r="E119" s="3"/>
      <c r="F119" s="2"/>
      <c r="G119" s="2"/>
      <c r="H119" s="3"/>
    </row>
    <row r="120" spans="1:8">
      <c r="A120" s="2"/>
      <c r="B120" s="2">
        <v>1</v>
      </c>
      <c r="C120" s="2">
        <v>4</v>
      </c>
      <c r="D120" s="2" t="s">
        <v>79</v>
      </c>
      <c r="E120" s="3"/>
      <c r="F120" s="2"/>
      <c r="G120" s="2"/>
      <c r="H120" s="3"/>
    </row>
    <row r="121" spans="1:8">
      <c r="A121" s="2"/>
      <c r="B121" s="2">
        <v>1</v>
      </c>
      <c r="C121" s="2">
        <v>5</v>
      </c>
      <c r="D121" s="2" t="s">
        <v>88</v>
      </c>
      <c r="E121" s="3"/>
      <c r="F121" s="2"/>
      <c r="G121" s="2"/>
      <c r="H121" s="3"/>
    </row>
    <row r="122" spans="1:8">
      <c r="A122" s="2"/>
      <c r="B122" s="2">
        <v>2</v>
      </c>
      <c r="C122" s="2">
        <v>1</v>
      </c>
      <c r="D122" s="2" t="s">
        <v>83</v>
      </c>
      <c r="E122" s="3"/>
      <c r="F122" s="2"/>
      <c r="G122" s="2"/>
      <c r="H122" s="3"/>
    </row>
    <row r="123" spans="1:8">
      <c r="A123" s="2"/>
      <c r="B123" s="2">
        <v>2</v>
      </c>
      <c r="C123" s="2">
        <v>2</v>
      </c>
      <c r="D123" s="2" t="s">
        <v>85</v>
      </c>
      <c r="E123" s="3"/>
      <c r="F123" s="2"/>
      <c r="G123" s="2"/>
      <c r="H123" s="3"/>
    </row>
    <row r="124" spans="1:8">
      <c r="A124" s="2"/>
      <c r="B124" s="2">
        <v>2</v>
      </c>
      <c r="C124" s="2">
        <v>3</v>
      </c>
      <c r="D124" s="2" t="s">
        <v>87</v>
      </c>
      <c r="E124" s="3"/>
      <c r="F124" s="2"/>
      <c r="G124" s="2"/>
      <c r="H124" s="3"/>
    </row>
    <row r="125" spans="1:8">
      <c r="A125" s="2"/>
      <c r="B125" s="2">
        <v>2</v>
      </c>
      <c r="C125" s="2">
        <v>4</v>
      </c>
      <c r="D125" s="2" t="s">
        <v>79</v>
      </c>
      <c r="E125" s="3"/>
      <c r="F125" s="2"/>
      <c r="G125" s="2"/>
      <c r="H125" s="3"/>
    </row>
    <row r="126" spans="1:8">
      <c r="A126" s="2"/>
      <c r="B126" s="2">
        <v>2</v>
      </c>
      <c r="C126" s="2">
        <v>5</v>
      </c>
      <c r="D126" s="2" t="s">
        <v>88</v>
      </c>
      <c r="E126" s="3"/>
      <c r="F126" s="2"/>
      <c r="G126" s="2"/>
      <c r="H126" s="3"/>
    </row>
    <row r="127" spans="1:8">
      <c r="A127" s="2"/>
      <c r="B127" s="2">
        <v>3</v>
      </c>
      <c r="C127" s="2">
        <v>1</v>
      </c>
      <c r="D127" s="2" t="s">
        <v>83</v>
      </c>
      <c r="E127" s="3"/>
      <c r="F127" s="2"/>
      <c r="G127" s="2"/>
      <c r="H127" s="3"/>
    </row>
    <row r="128" spans="1:8">
      <c r="A128" s="2"/>
      <c r="B128" s="2">
        <v>3</v>
      </c>
      <c r="C128" s="2">
        <v>2</v>
      </c>
      <c r="D128" s="2" t="s">
        <v>85</v>
      </c>
      <c r="E128" s="3"/>
      <c r="F128" s="2"/>
      <c r="G128" s="2"/>
      <c r="H128" s="3"/>
    </row>
    <row r="129" spans="1:8">
      <c r="A129" s="2"/>
      <c r="B129" s="2">
        <v>3</v>
      </c>
      <c r="C129" s="2">
        <v>3</v>
      </c>
      <c r="D129" s="2" t="s">
        <v>87</v>
      </c>
      <c r="E129" s="3"/>
      <c r="F129" s="2"/>
      <c r="G129" s="2"/>
      <c r="H129" s="3"/>
    </row>
    <row r="130" spans="1:8">
      <c r="A130" s="2"/>
      <c r="B130" s="2">
        <v>3</v>
      </c>
      <c r="C130" s="2">
        <v>4</v>
      </c>
      <c r="D130" s="2" t="s">
        <v>79</v>
      </c>
      <c r="E130" s="3"/>
      <c r="F130" s="2"/>
      <c r="G130" s="2"/>
      <c r="H130" s="3"/>
    </row>
    <row r="131" spans="1:8">
      <c r="A131" s="2"/>
      <c r="B131" s="2">
        <v>3</v>
      </c>
      <c r="C131" s="2">
        <v>5</v>
      </c>
      <c r="D131" s="2" t="s">
        <v>88</v>
      </c>
      <c r="E131" s="3"/>
      <c r="F131" s="2"/>
      <c r="G131" s="2"/>
      <c r="H131" s="3"/>
    </row>
    <row r="132" spans="1:8">
      <c r="A132" s="2"/>
      <c r="B132" s="2">
        <v>4</v>
      </c>
      <c r="C132" s="2">
        <v>1</v>
      </c>
      <c r="D132" s="2" t="s">
        <v>83</v>
      </c>
      <c r="E132" s="3"/>
      <c r="F132" s="2"/>
      <c r="G132" s="2"/>
      <c r="H132" s="3"/>
    </row>
    <row r="133" spans="1:8">
      <c r="A133" s="2"/>
      <c r="B133" s="2">
        <v>4</v>
      </c>
      <c r="C133" s="2">
        <v>2</v>
      </c>
      <c r="D133" s="2" t="s">
        <v>85</v>
      </c>
      <c r="E133" s="3"/>
      <c r="F133" s="2"/>
      <c r="G133" s="2"/>
      <c r="H133" s="3"/>
    </row>
    <row r="134" spans="1:8">
      <c r="A134" s="2"/>
      <c r="B134" s="2">
        <v>4</v>
      </c>
      <c r="C134" s="2">
        <v>3</v>
      </c>
      <c r="D134" s="2" t="s">
        <v>87</v>
      </c>
      <c r="E134" s="3"/>
      <c r="F134" s="2"/>
      <c r="G134" s="2"/>
      <c r="H134" s="3"/>
    </row>
    <row r="135" spans="1:8">
      <c r="A135" s="2"/>
      <c r="B135" s="2">
        <v>4</v>
      </c>
      <c r="C135" s="2">
        <v>4</v>
      </c>
      <c r="D135" s="2" t="s">
        <v>79</v>
      </c>
      <c r="E135" s="3"/>
      <c r="F135" s="2"/>
      <c r="G135" s="2"/>
      <c r="H135" s="3"/>
    </row>
    <row r="136" spans="1:8">
      <c r="A136" s="2"/>
      <c r="B136" s="2">
        <v>4</v>
      </c>
      <c r="C136" s="2">
        <v>5</v>
      </c>
      <c r="D136" s="2" t="s">
        <v>88</v>
      </c>
      <c r="E136" s="3"/>
      <c r="F136" s="2"/>
      <c r="G136" s="2"/>
      <c r="H136" s="3"/>
    </row>
    <row r="137" spans="1:8">
      <c r="A137" s="2" t="s">
        <v>104</v>
      </c>
      <c r="B137" s="2">
        <v>1</v>
      </c>
      <c r="C137" s="2">
        <v>1</v>
      </c>
      <c r="D137" s="2"/>
      <c r="E137" s="3"/>
      <c r="F137" s="2"/>
      <c r="G137" s="2"/>
      <c r="H137" s="3"/>
    </row>
    <row r="138" spans="1:8">
      <c r="A138" s="2"/>
      <c r="B138" s="2">
        <v>1</v>
      </c>
      <c r="C138" s="2">
        <v>2</v>
      </c>
      <c r="D138" s="2"/>
      <c r="E138" s="3"/>
      <c r="F138" s="2"/>
      <c r="G138" s="2"/>
      <c r="H138" s="3"/>
    </row>
    <row r="139" spans="1:8">
      <c r="A139" s="2"/>
      <c r="B139" s="2">
        <v>1</v>
      </c>
      <c r="C139" s="2">
        <v>3</v>
      </c>
      <c r="D139" s="2"/>
      <c r="E139" s="3"/>
      <c r="F139" s="2"/>
      <c r="G139" s="2"/>
      <c r="H139" s="3"/>
    </row>
    <row r="140" spans="1:8">
      <c r="A140" s="2"/>
      <c r="B140" s="2">
        <v>1</v>
      </c>
      <c r="C140" s="2">
        <v>4</v>
      </c>
      <c r="D140" s="2"/>
      <c r="E140" s="3"/>
      <c r="F140" s="2"/>
      <c r="G140" s="2"/>
      <c r="H140" s="3"/>
    </row>
    <row r="141" spans="1:8">
      <c r="A141" s="2"/>
      <c r="B141" s="2">
        <v>1</v>
      </c>
      <c r="C141" s="2">
        <v>5</v>
      </c>
      <c r="D141" s="2"/>
      <c r="E141" s="3"/>
      <c r="F141" s="2"/>
      <c r="G141" s="2"/>
      <c r="H141" s="3"/>
    </row>
    <row r="142" spans="1:8">
      <c r="A142" s="2"/>
      <c r="B142" s="2">
        <v>2</v>
      </c>
      <c r="C142" s="2">
        <v>1</v>
      </c>
      <c r="D142" s="2"/>
      <c r="E142" s="3"/>
      <c r="F142" s="2"/>
      <c r="G142" s="2"/>
      <c r="H142" s="3"/>
    </row>
    <row r="143" spans="1:8">
      <c r="A143" s="2"/>
      <c r="B143" s="2">
        <v>2</v>
      </c>
      <c r="C143" s="2">
        <v>2</v>
      </c>
      <c r="D143" s="2"/>
      <c r="E143" s="3"/>
      <c r="F143" s="2"/>
      <c r="G143" s="2"/>
      <c r="H143" s="3"/>
    </row>
    <row r="144" spans="1:8">
      <c r="A144" s="2"/>
      <c r="B144" s="2">
        <v>2</v>
      </c>
      <c r="C144" s="2">
        <v>3</v>
      </c>
      <c r="D144" s="2"/>
      <c r="E144" s="3"/>
      <c r="F144" s="2"/>
      <c r="G144" s="2"/>
      <c r="H144" s="3"/>
    </row>
    <row r="145" spans="1:8">
      <c r="A145" s="2"/>
      <c r="B145" s="2">
        <v>2</v>
      </c>
      <c r="C145" s="2">
        <v>4</v>
      </c>
      <c r="D145" s="2"/>
      <c r="E145" s="3"/>
      <c r="F145" s="2"/>
      <c r="G145" s="2"/>
      <c r="H145" s="3"/>
    </row>
    <row r="146" spans="1:8">
      <c r="A146" s="2"/>
      <c r="B146" s="2">
        <v>2</v>
      </c>
      <c r="C146" s="2">
        <v>5</v>
      </c>
      <c r="D146" s="2"/>
      <c r="E146" s="3"/>
      <c r="F146" s="2"/>
      <c r="G146" s="2"/>
      <c r="H146" s="3"/>
    </row>
    <row r="147" spans="1:8">
      <c r="A147" s="2"/>
      <c r="B147" s="2">
        <v>3</v>
      </c>
      <c r="C147" s="2">
        <v>1</v>
      </c>
      <c r="D147" s="2"/>
      <c r="E147" s="3"/>
      <c r="F147" s="2"/>
      <c r="G147" s="2"/>
      <c r="H147" s="3"/>
    </row>
    <row r="148" spans="1:8">
      <c r="A148" s="2"/>
      <c r="B148" s="2">
        <v>3</v>
      </c>
      <c r="C148" s="2">
        <v>2</v>
      </c>
      <c r="D148" s="2"/>
      <c r="E148" s="3"/>
      <c r="F148" s="2"/>
      <c r="G148" s="2"/>
      <c r="H148" s="3"/>
    </row>
    <row r="149" spans="1:8">
      <c r="A149" s="2"/>
      <c r="B149" s="2">
        <v>3</v>
      </c>
      <c r="C149" s="2">
        <v>3</v>
      </c>
      <c r="D149" s="2"/>
      <c r="E149" s="3"/>
      <c r="F149" s="2"/>
      <c r="G149" s="2"/>
      <c r="H149" s="3"/>
    </row>
    <row r="150" spans="1:8">
      <c r="A150" s="2"/>
      <c r="B150" s="2">
        <v>3</v>
      </c>
      <c r="C150" s="2">
        <v>4</v>
      </c>
      <c r="D150" s="2"/>
      <c r="E150" s="3"/>
      <c r="F150" s="2"/>
      <c r="G150" s="2"/>
      <c r="H150" s="3"/>
    </row>
    <row r="151" spans="1:8">
      <c r="A151" s="2"/>
      <c r="B151" s="2">
        <v>3</v>
      </c>
      <c r="C151" s="2">
        <v>5</v>
      </c>
      <c r="D151" s="2"/>
      <c r="E151" s="3"/>
      <c r="F151" s="2"/>
      <c r="G151" s="2"/>
      <c r="H151" s="3"/>
    </row>
    <row r="152" spans="1:8">
      <c r="A152" s="2"/>
      <c r="B152" s="2">
        <v>4</v>
      </c>
      <c r="C152" s="2">
        <v>1</v>
      </c>
      <c r="D152" s="2"/>
      <c r="E152" s="3"/>
      <c r="F152" s="2"/>
      <c r="G152" s="2"/>
      <c r="H152" s="3"/>
    </row>
    <row r="153" spans="1:8">
      <c r="A153" s="2"/>
      <c r="B153" s="2">
        <v>4</v>
      </c>
      <c r="C153" s="2">
        <v>2</v>
      </c>
      <c r="D153" s="2"/>
      <c r="E153" s="3"/>
      <c r="F153" s="2"/>
      <c r="G153" s="2"/>
      <c r="H153" s="3"/>
    </row>
    <row r="154" spans="1:8">
      <c r="A154" s="2"/>
      <c r="B154" s="2">
        <v>4</v>
      </c>
      <c r="C154" s="2">
        <v>3</v>
      </c>
      <c r="D154" s="2"/>
      <c r="E154" s="3"/>
      <c r="F154" s="2"/>
      <c r="G154" s="2"/>
      <c r="H154" s="3"/>
    </row>
    <row r="155" spans="1:8">
      <c r="A155" s="2"/>
      <c r="B155" s="2">
        <v>4</v>
      </c>
      <c r="C155" s="2">
        <v>4</v>
      </c>
      <c r="D155" s="2"/>
      <c r="E155" s="3"/>
      <c r="F155" s="2"/>
      <c r="G155" s="2"/>
      <c r="H155" s="3"/>
    </row>
    <row r="156" spans="1:8">
      <c r="A156" s="2"/>
      <c r="B156" s="2">
        <v>4</v>
      </c>
      <c r="C156" s="2">
        <v>5</v>
      </c>
      <c r="D156" s="2"/>
      <c r="E156" s="3"/>
      <c r="F156" s="2"/>
      <c r="G156" s="2"/>
      <c r="H156" s="3"/>
    </row>
    <row r="157" spans="1:8">
      <c r="A157" s="2" t="s">
        <v>105</v>
      </c>
      <c r="B157" s="2">
        <v>1</v>
      </c>
      <c r="C157" s="2">
        <v>1</v>
      </c>
      <c r="D157" s="2" t="s">
        <v>88</v>
      </c>
      <c r="E157" s="3"/>
      <c r="F157" s="2"/>
      <c r="G157" s="2"/>
      <c r="H157" s="3"/>
    </row>
    <row r="158" spans="1:8">
      <c r="A158" s="2"/>
      <c r="B158" s="2">
        <v>1</v>
      </c>
      <c r="C158" s="2">
        <v>2</v>
      </c>
      <c r="D158" s="2" t="s">
        <v>79</v>
      </c>
      <c r="E158" s="3"/>
      <c r="F158" s="2"/>
      <c r="G158" s="2"/>
      <c r="H158" s="3"/>
    </row>
    <row r="159" spans="1:8">
      <c r="A159" s="2"/>
      <c r="B159" s="2">
        <v>1</v>
      </c>
      <c r="C159" s="2">
        <v>3</v>
      </c>
      <c r="D159" s="2" t="s">
        <v>87</v>
      </c>
      <c r="E159" s="3"/>
      <c r="F159" s="2"/>
      <c r="G159" s="2"/>
      <c r="H159" s="3"/>
    </row>
    <row r="160" spans="1:8">
      <c r="A160" s="2"/>
      <c r="B160" s="2">
        <v>1</v>
      </c>
      <c r="C160" s="2">
        <v>4</v>
      </c>
      <c r="D160" s="2" t="s">
        <v>83</v>
      </c>
      <c r="E160" s="3"/>
      <c r="F160" s="2"/>
      <c r="G160" s="2"/>
      <c r="H160" s="3"/>
    </row>
    <row r="161" spans="1:8">
      <c r="A161" s="2"/>
      <c r="B161" s="2">
        <v>1</v>
      </c>
      <c r="C161" s="2">
        <v>5</v>
      </c>
      <c r="D161" s="2" t="s">
        <v>85</v>
      </c>
      <c r="E161" s="3"/>
      <c r="F161" s="2"/>
      <c r="G161" s="2"/>
      <c r="H161" s="3"/>
    </row>
    <row r="162" spans="1:8">
      <c r="A162" s="2"/>
      <c r="B162" s="2">
        <v>2</v>
      </c>
      <c r="C162" s="2">
        <v>1</v>
      </c>
      <c r="D162" s="2" t="s">
        <v>83</v>
      </c>
      <c r="E162" s="3"/>
      <c r="F162" s="2"/>
      <c r="G162" s="2"/>
      <c r="H162" s="3"/>
    </row>
    <row r="163" spans="1:8">
      <c r="A163" s="2"/>
      <c r="B163" s="2">
        <v>2</v>
      </c>
      <c r="C163" s="2">
        <v>2</v>
      </c>
      <c r="D163" s="2" t="s">
        <v>85</v>
      </c>
      <c r="E163" s="3"/>
      <c r="F163" s="2"/>
      <c r="G163" s="2"/>
      <c r="H163" s="3"/>
    </row>
    <row r="164" spans="1:8">
      <c r="A164" s="2"/>
      <c r="B164" s="2">
        <v>2</v>
      </c>
      <c r="C164" s="2">
        <v>3</v>
      </c>
      <c r="D164" s="2" t="s">
        <v>87</v>
      </c>
      <c r="E164" s="3"/>
      <c r="F164" s="2"/>
      <c r="G164" s="2"/>
      <c r="H164" s="3"/>
    </row>
    <row r="165" spans="1:8">
      <c r="A165" s="2"/>
      <c r="B165" s="2">
        <v>2</v>
      </c>
      <c r="C165" s="2">
        <v>4</v>
      </c>
      <c r="D165" s="2" t="s">
        <v>79</v>
      </c>
      <c r="E165" s="3"/>
      <c r="F165" s="2"/>
      <c r="G165" s="2"/>
      <c r="H165" s="3"/>
    </row>
    <row r="166" spans="1:8">
      <c r="A166" s="2"/>
      <c r="B166" s="2">
        <v>2</v>
      </c>
      <c r="C166" s="2">
        <v>5</v>
      </c>
      <c r="D166" s="2" t="s">
        <v>88</v>
      </c>
      <c r="E166" s="3"/>
      <c r="F166" s="2"/>
      <c r="G166" s="2"/>
      <c r="H166" s="3"/>
    </row>
    <row r="167" spans="1:8">
      <c r="A167" s="2"/>
      <c r="B167" s="2">
        <v>3</v>
      </c>
      <c r="C167" s="2">
        <v>1</v>
      </c>
      <c r="D167" s="2" t="s">
        <v>83</v>
      </c>
      <c r="E167" s="3"/>
      <c r="F167" s="2"/>
      <c r="G167" s="2"/>
      <c r="H167" s="3"/>
    </row>
    <row r="168" spans="1:8">
      <c r="A168" s="2"/>
      <c r="B168" s="2">
        <v>3</v>
      </c>
      <c r="C168" s="2">
        <v>2</v>
      </c>
      <c r="D168" s="2" t="s">
        <v>85</v>
      </c>
      <c r="E168" s="3"/>
      <c r="F168" s="2"/>
      <c r="G168" s="2"/>
      <c r="H168" s="3"/>
    </row>
    <row r="169" spans="1:8">
      <c r="A169" s="2"/>
      <c r="B169" s="2">
        <v>3</v>
      </c>
      <c r="C169" s="2">
        <v>3</v>
      </c>
      <c r="D169" s="2" t="s">
        <v>87</v>
      </c>
      <c r="E169" s="3"/>
      <c r="F169" s="2"/>
      <c r="G169" s="2"/>
      <c r="H169" s="3"/>
    </row>
    <row r="170" spans="1:8">
      <c r="A170" s="2"/>
      <c r="B170" s="2">
        <v>3</v>
      </c>
      <c r="C170" s="2">
        <v>4</v>
      </c>
      <c r="D170" s="2" t="s">
        <v>79</v>
      </c>
      <c r="E170" s="3"/>
      <c r="F170" s="2"/>
      <c r="G170" s="2"/>
      <c r="H170" s="3"/>
    </row>
    <row r="171" spans="1:8">
      <c r="A171" s="2"/>
      <c r="B171" s="2">
        <v>3</v>
      </c>
      <c r="C171" s="2">
        <v>5</v>
      </c>
      <c r="D171" s="2" t="s">
        <v>88</v>
      </c>
      <c r="E171" s="3"/>
      <c r="F171" s="2"/>
      <c r="G171" s="2"/>
      <c r="H171" s="3"/>
    </row>
    <row r="172" spans="1:8">
      <c r="A172" s="2"/>
      <c r="B172" s="2">
        <v>4</v>
      </c>
      <c r="C172" s="2">
        <v>1</v>
      </c>
      <c r="D172" s="2" t="s">
        <v>83</v>
      </c>
      <c r="E172" s="3"/>
      <c r="F172" s="2"/>
      <c r="G172" s="2"/>
      <c r="H172" s="3"/>
    </row>
    <row r="173" spans="1:8">
      <c r="A173" s="2"/>
      <c r="B173" s="2">
        <v>4</v>
      </c>
      <c r="C173" s="2">
        <v>2</v>
      </c>
      <c r="D173" s="2" t="s">
        <v>85</v>
      </c>
      <c r="E173" s="3"/>
      <c r="F173" s="2"/>
      <c r="G173" s="2"/>
      <c r="H173" s="3"/>
    </row>
    <row r="174" spans="1:8">
      <c r="A174" s="2"/>
      <c r="B174" s="2">
        <v>4</v>
      </c>
      <c r="C174" s="2">
        <v>3</v>
      </c>
      <c r="D174" s="2" t="s">
        <v>87</v>
      </c>
      <c r="E174" s="3"/>
      <c r="F174" s="2"/>
      <c r="G174" s="2"/>
      <c r="H174" s="3"/>
    </row>
    <row r="175" spans="1:8">
      <c r="A175" s="2"/>
      <c r="B175" s="2">
        <v>4</v>
      </c>
      <c r="C175" s="2">
        <v>4</v>
      </c>
      <c r="D175" s="2" t="s">
        <v>79</v>
      </c>
      <c r="E175" s="3"/>
      <c r="F175" s="2"/>
      <c r="G175" s="2"/>
      <c r="H175" s="3"/>
    </row>
    <row r="176" spans="1:8">
      <c r="A176" s="2"/>
      <c r="B176" s="2">
        <v>4</v>
      </c>
      <c r="C176" s="2">
        <v>5</v>
      </c>
      <c r="D176" s="2" t="s">
        <v>88</v>
      </c>
      <c r="E176" s="3"/>
      <c r="F176" s="2"/>
      <c r="G176" s="2"/>
      <c r="H176" s="3"/>
    </row>
    <row r="177" spans="1:8">
      <c r="A177" s="2" t="s">
        <v>107</v>
      </c>
      <c r="B177" s="2">
        <v>1</v>
      </c>
      <c r="C177" s="2">
        <v>1</v>
      </c>
      <c r="D177" s="2" t="s">
        <v>87</v>
      </c>
      <c r="E177" s="3"/>
      <c r="F177" s="2"/>
      <c r="G177" s="2"/>
      <c r="H177" s="3"/>
    </row>
    <row r="178" spans="1:8">
      <c r="A178" s="2"/>
      <c r="B178" s="2">
        <v>1</v>
      </c>
      <c r="C178" s="2">
        <v>2</v>
      </c>
      <c r="D178" s="2" t="s">
        <v>108</v>
      </c>
      <c r="E178" s="3"/>
      <c r="F178" s="2"/>
      <c r="G178" s="2"/>
      <c r="H178" s="3"/>
    </row>
    <row r="179" spans="1:8">
      <c r="A179" s="2"/>
      <c r="B179" s="2">
        <v>1</v>
      </c>
      <c r="C179" s="2">
        <v>3</v>
      </c>
      <c r="D179" s="2" t="s">
        <v>83</v>
      </c>
      <c r="E179" s="3"/>
      <c r="F179" s="2"/>
      <c r="G179" s="2"/>
      <c r="H179" s="3"/>
    </row>
    <row r="180" spans="1:8">
      <c r="A180" s="2"/>
      <c r="B180" s="2">
        <v>1</v>
      </c>
      <c r="C180" s="2">
        <v>4</v>
      </c>
      <c r="D180" s="2" t="s">
        <v>109</v>
      </c>
      <c r="E180" s="3"/>
      <c r="F180" s="2"/>
      <c r="G180" s="2"/>
      <c r="H180" s="3"/>
    </row>
    <row r="181" spans="1:8">
      <c r="A181" s="2"/>
      <c r="B181" s="2">
        <v>1</v>
      </c>
      <c r="C181" s="2">
        <v>5</v>
      </c>
      <c r="D181" s="2" t="s">
        <v>114</v>
      </c>
      <c r="E181" s="3"/>
      <c r="F181" s="2"/>
      <c r="G181" s="2"/>
      <c r="H181" s="3"/>
    </row>
    <row r="182" spans="1:8">
      <c r="A182" s="2"/>
      <c r="B182" s="2">
        <v>2</v>
      </c>
      <c r="C182" s="2">
        <v>1</v>
      </c>
      <c r="D182" s="2" t="s">
        <v>87</v>
      </c>
      <c r="E182" s="3"/>
      <c r="F182" s="2"/>
      <c r="G182" s="2"/>
      <c r="H182" s="3"/>
    </row>
    <row r="183" spans="1:8">
      <c r="A183" s="2"/>
      <c r="B183" s="2">
        <v>2</v>
      </c>
      <c r="C183" s="2">
        <v>2</v>
      </c>
      <c r="D183" s="2" t="s">
        <v>109</v>
      </c>
      <c r="E183" s="3"/>
      <c r="F183" s="2"/>
      <c r="G183" s="2"/>
      <c r="H183" s="3"/>
    </row>
    <row r="184" spans="1:8">
      <c r="A184" s="2"/>
      <c r="B184" s="2">
        <v>2</v>
      </c>
      <c r="C184" s="2">
        <v>3</v>
      </c>
      <c r="D184" s="2" t="s">
        <v>83</v>
      </c>
      <c r="E184" s="3"/>
      <c r="F184" s="2"/>
      <c r="G184" s="2"/>
      <c r="H184" s="3"/>
    </row>
    <row r="185" spans="1:8">
      <c r="A185" s="2"/>
      <c r="B185" s="2">
        <v>2</v>
      </c>
      <c r="C185" s="2">
        <v>4</v>
      </c>
      <c r="D185" s="2" t="s">
        <v>108</v>
      </c>
      <c r="E185" s="3"/>
      <c r="F185" s="2"/>
      <c r="G185" s="2"/>
      <c r="H185" s="3"/>
    </row>
    <row r="186" spans="1:8">
      <c r="A186" s="2"/>
      <c r="B186" s="2">
        <v>2</v>
      </c>
      <c r="C186" s="2">
        <v>5</v>
      </c>
      <c r="D186" s="2" t="s">
        <v>114</v>
      </c>
      <c r="E186" s="3"/>
      <c r="F186" s="2"/>
      <c r="G186" s="2"/>
      <c r="H186" s="3"/>
    </row>
    <row r="187" spans="1:8">
      <c r="A187" s="2"/>
      <c r="B187" s="2">
        <v>3</v>
      </c>
      <c r="C187" s="2">
        <v>1</v>
      </c>
      <c r="D187" s="2" t="s">
        <v>87</v>
      </c>
      <c r="E187" s="3"/>
      <c r="F187" s="2"/>
      <c r="G187" s="2"/>
      <c r="H187" s="3"/>
    </row>
    <row r="188" spans="1:8">
      <c r="A188" s="2"/>
      <c r="B188" s="2">
        <v>3</v>
      </c>
      <c r="C188" s="2">
        <v>2</v>
      </c>
      <c r="D188" s="2" t="s">
        <v>108</v>
      </c>
      <c r="E188" s="2" t="s">
        <v>134</v>
      </c>
      <c r="F188" s="2"/>
      <c r="G188" s="2"/>
      <c r="H188" s="3"/>
    </row>
    <row r="189" spans="1:8">
      <c r="A189" s="2"/>
      <c r="B189" s="2">
        <v>3</v>
      </c>
      <c r="C189" s="2">
        <v>3</v>
      </c>
      <c r="D189" s="2" t="s">
        <v>83</v>
      </c>
      <c r="E189" s="2" t="s">
        <v>135</v>
      </c>
      <c r="F189" s="2"/>
      <c r="G189" s="2"/>
      <c r="H189" s="3"/>
    </row>
    <row r="190" spans="1:8">
      <c r="A190" s="2"/>
      <c r="B190" s="2">
        <v>3</v>
      </c>
      <c r="C190" s="2">
        <v>4</v>
      </c>
      <c r="D190" s="2" t="s">
        <v>109</v>
      </c>
      <c r="E190" s="3"/>
      <c r="F190" s="2"/>
      <c r="G190" s="2"/>
      <c r="H190" s="3"/>
    </row>
    <row r="191" spans="1:8">
      <c r="A191" s="2"/>
      <c r="B191" s="2">
        <v>3</v>
      </c>
      <c r="C191" s="2">
        <v>5</v>
      </c>
      <c r="D191" s="2" t="s">
        <v>114</v>
      </c>
      <c r="E191" s="3"/>
      <c r="F191" s="2"/>
      <c r="G191" s="2"/>
      <c r="H191" s="3"/>
    </row>
    <row r="192" spans="1:8">
      <c r="A192" s="2"/>
      <c r="B192" s="2">
        <v>4</v>
      </c>
      <c r="C192" s="2">
        <v>1</v>
      </c>
      <c r="D192" s="2" t="s">
        <v>83</v>
      </c>
      <c r="E192" s="3"/>
      <c r="F192" s="2"/>
      <c r="G192" s="2"/>
      <c r="H192" s="3"/>
    </row>
    <row r="193" spans="1:8">
      <c r="A193" s="2"/>
      <c r="B193" s="2">
        <v>4</v>
      </c>
      <c r="C193" s="2">
        <v>2</v>
      </c>
      <c r="D193" s="2" t="s">
        <v>108</v>
      </c>
      <c r="E193" s="3"/>
      <c r="F193" s="2"/>
      <c r="G193" s="2"/>
      <c r="H193" s="3"/>
    </row>
    <row r="194" spans="1:8">
      <c r="A194" s="2"/>
      <c r="B194" s="2">
        <v>4</v>
      </c>
      <c r="C194" s="2">
        <v>3</v>
      </c>
      <c r="D194" s="2" t="s">
        <v>87</v>
      </c>
      <c r="E194" s="2" t="s">
        <v>134</v>
      </c>
      <c r="F194" s="2"/>
      <c r="G194" s="2"/>
      <c r="H194" s="3"/>
    </row>
    <row r="195" spans="1:8">
      <c r="A195" s="2"/>
      <c r="B195" s="2">
        <v>4</v>
      </c>
      <c r="C195" s="2">
        <v>4</v>
      </c>
      <c r="D195" s="2" t="s">
        <v>109</v>
      </c>
      <c r="E195" s="2" t="s">
        <v>134</v>
      </c>
      <c r="F195" s="2"/>
      <c r="G195" s="2"/>
      <c r="H195" s="3"/>
    </row>
    <row r="196" spans="1:8">
      <c r="A196" s="2"/>
      <c r="B196" s="2">
        <v>4</v>
      </c>
      <c r="C196" s="2">
        <v>5</v>
      </c>
      <c r="D196" s="2" t="s">
        <v>114</v>
      </c>
      <c r="E196" s="3"/>
      <c r="F196" s="2"/>
      <c r="G196" s="2"/>
      <c r="H196" s="3"/>
    </row>
    <row r="197" spans="1:8">
      <c r="A197" s="2" t="s">
        <v>110</v>
      </c>
      <c r="B197" s="2">
        <v>1</v>
      </c>
      <c r="C197" s="2">
        <v>1</v>
      </c>
      <c r="D197" s="2" t="s">
        <v>83</v>
      </c>
      <c r="E197" s="3"/>
      <c r="F197" s="2"/>
      <c r="G197" s="2"/>
      <c r="H197" s="3"/>
    </row>
    <row r="198" spans="1:8">
      <c r="A198" s="2"/>
      <c r="B198" s="2">
        <v>1</v>
      </c>
      <c r="C198" s="2">
        <v>2</v>
      </c>
      <c r="D198" s="2" t="s">
        <v>85</v>
      </c>
      <c r="E198" s="3"/>
      <c r="F198" s="2"/>
      <c r="G198" s="2"/>
      <c r="H198" s="3"/>
    </row>
    <row r="199" spans="1:8">
      <c r="A199" s="2"/>
      <c r="B199" s="2">
        <v>1</v>
      </c>
      <c r="C199" s="2">
        <v>3</v>
      </c>
      <c r="D199" s="2" t="s">
        <v>87</v>
      </c>
      <c r="E199" s="3"/>
      <c r="F199" s="2"/>
      <c r="G199" s="2"/>
      <c r="H199" s="3"/>
    </row>
    <row r="200" spans="1:8">
      <c r="A200" s="2"/>
      <c r="B200" s="2">
        <v>1</v>
      </c>
      <c r="C200" s="2">
        <v>4</v>
      </c>
      <c r="D200" s="2" t="s">
        <v>79</v>
      </c>
      <c r="E200" s="3"/>
      <c r="F200" s="2"/>
      <c r="G200" s="2"/>
      <c r="H200" s="3"/>
    </row>
    <row r="201" spans="1:8">
      <c r="A201" s="2"/>
      <c r="B201" s="2">
        <v>1</v>
      </c>
      <c r="C201" s="2">
        <v>5</v>
      </c>
      <c r="D201" s="2" t="s">
        <v>88</v>
      </c>
      <c r="E201" s="3"/>
      <c r="F201" s="2"/>
      <c r="G201" s="2"/>
      <c r="H201" s="3"/>
    </row>
    <row r="202" spans="1:8">
      <c r="A202" s="2"/>
      <c r="B202" s="2">
        <v>2</v>
      </c>
      <c r="C202" s="2">
        <v>1</v>
      </c>
      <c r="D202" s="2" t="s">
        <v>83</v>
      </c>
      <c r="E202" s="3"/>
      <c r="F202" s="2"/>
      <c r="G202" s="2"/>
      <c r="H202" s="3"/>
    </row>
    <row r="203" spans="1:8">
      <c r="A203" s="2"/>
      <c r="B203" s="2">
        <v>2</v>
      </c>
      <c r="C203" s="2">
        <v>2</v>
      </c>
      <c r="D203" s="2" t="s">
        <v>85</v>
      </c>
      <c r="E203" s="3"/>
      <c r="F203" s="2"/>
      <c r="G203" s="2"/>
      <c r="H203" s="3"/>
    </row>
    <row r="204" spans="1:8">
      <c r="A204" s="2"/>
      <c r="B204" s="2">
        <v>2</v>
      </c>
      <c r="C204" s="2">
        <v>3</v>
      </c>
      <c r="D204" s="2" t="s">
        <v>87</v>
      </c>
      <c r="E204" s="3"/>
      <c r="F204" s="2"/>
      <c r="G204" s="2"/>
      <c r="H204" s="3"/>
    </row>
    <row r="205" spans="1:8">
      <c r="A205" s="2"/>
      <c r="B205" s="2">
        <v>2</v>
      </c>
      <c r="C205" s="2">
        <v>4</v>
      </c>
      <c r="D205" s="2" t="s">
        <v>79</v>
      </c>
      <c r="E205" s="3"/>
      <c r="F205" s="2"/>
      <c r="G205" s="2"/>
      <c r="H205" s="3"/>
    </row>
    <row r="206" spans="1:8">
      <c r="A206" s="2"/>
      <c r="B206" s="2">
        <v>2</v>
      </c>
      <c r="C206" s="2">
        <v>5</v>
      </c>
      <c r="D206" s="2" t="s">
        <v>88</v>
      </c>
      <c r="E206" s="3"/>
      <c r="F206" s="2"/>
      <c r="G206" s="2"/>
      <c r="H206" s="3"/>
    </row>
    <row r="207" spans="1:8">
      <c r="A207" s="2"/>
      <c r="B207" s="2">
        <v>3</v>
      </c>
      <c r="C207" s="2">
        <v>1</v>
      </c>
      <c r="D207" s="2" t="s">
        <v>85</v>
      </c>
      <c r="E207" s="3"/>
      <c r="F207" s="2"/>
      <c r="G207" s="2"/>
      <c r="H207" s="3"/>
    </row>
    <row r="208" spans="1:8">
      <c r="A208" s="2"/>
      <c r="B208" s="2">
        <v>3</v>
      </c>
      <c r="C208" s="2">
        <v>2</v>
      </c>
      <c r="D208" s="2" t="s">
        <v>79</v>
      </c>
      <c r="E208" s="3"/>
      <c r="F208" s="2"/>
      <c r="G208" s="2"/>
      <c r="H208" s="3"/>
    </row>
    <row r="209" spans="1:8">
      <c r="A209" s="2"/>
      <c r="B209" s="2">
        <v>3</v>
      </c>
      <c r="C209" s="2">
        <v>3</v>
      </c>
      <c r="D209" s="2" t="s">
        <v>83</v>
      </c>
      <c r="E209" s="3"/>
      <c r="F209" s="2"/>
      <c r="G209" s="2"/>
      <c r="H209" s="3"/>
    </row>
    <row r="210" spans="1:8">
      <c r="A210" s="2"/>
      <c r="B210" s="2">
        <v>3</v>
      </c>
      <c r="C210" s="2">
        <v>4</v>
      </c>
      <c r="D210" s="2" t="s">
        <v>88</v>
      </c>
      <c r="E210" s="3"/>
      <c r="F210" s="2"/>
      <c r="G210" s="2"/>
      <c r="H210" s="3"/>
    </row>
    <row r="211" spans="1:8">
      <c r="A211" s="2"/>
      <c r="B211" s="2">
        <v>3</v>
      </c>
      <c r="C211" s="2">
        <v>5</v>
      </c>
      <c r="D211" s="2" t="s">
        <v>87</v>
      </c>
      <c r="E211" s="3"/>
      <c r="F211" s="2"/>
      <c r="G211" s="2"/>
      <c r="H211" s="3"/>
    </row>
    <row r="212" spans="1:8">
      <c r="A212" s="2"/>
      <c r="B212" s="2">
        <v>4</v>
      </c>
      <c r="C212" s="2">
        <v>1</v>
      </c>
      <c r="D212" s="2" t="s">
        <v>83</v>
      </c>
      <c r="E212" s="3"/>
      <c r="F212" s="2"/>
      <c r="G212" s="2"/>
      <c r="H212" s="3"/>
    </row>
    <row r="213" spans="1:8">
      <c r="A213" s="2"/>
      <c r="B213" s="2">
        <v>4</v>
      </c>
      <c r="C213" s="2">
        <v>2</v>
      </c>
      <c r="D213" s="2" t="s">
        <v>79</v>
      </c>
      <c r="E213" s="3"/>
      <c r="F213" s="2"/>
      <c r="G213" s="2"/>
      <c r="H213" s="3"/>
    </row>
    <row r="214" spans="1:8">
      <c r="A214" s="2"/>
      <c r="B214" s="2">
        <v>4</v>
      </c>
      <c r="C214" s="2">
        <v>3</v>
      </c>
      <c r="D214" s="2" t="s">
        <v>87</v>
      </c>
      <c r="E214" s="3"/>
      <c r="F214" s="2"/>
      <c r="G214" s="2"/>
      <c r="H214" s="3"/>
    </row>
    <row r="215" spans="1:8">
      <c r="A215" s="2"/>
      <c r="B215" s="2">
        <v>4</v>
      </c>
      <c r="C215" s="2">
        <v>4</v>
      </c>
      <c r="D215" s="2" t="s">
        <v>88</v>
      </c>
      <c r="E215" s="3"/>
      <c r="F215" s="2"/>
      <c r="G215" s="2"/>
      <c r="H215" s="3"/>
    </row>
    <row r="216" spans="1:8">
      <c r="A216" s="2"/>
      <c r="B216" s="2">
        <v>4</v>
      </c>
      <c r="C216" s="2">
        <v>5</v>
      </c>
      <c r="D216" s="2" t="s">
        <v>85</v>
      </c>
      <c r="E216" s="3"/>
      <c r="F216" s="2"/>
      <c r="G216" s="2"/>
      <c r="H216" s="3"/>
    </row>
    <row r="217" spans="1:8">
      <c r="A217" s="2" t="s">
        <v>113</v>
      </c>
      <c r="B217" s="2">
        <v>1</v>
      </c>
      <c r="C217" s="2">
        <v>1</v>
      </c>
      <c r="D217" s="2"/>
      <c r="E217" s="3"/>
      <c r="F217" s="2"/>
      <c r="G217" s="2"/>
      <c r="H217" s="3"/>
    </row>
    <row r="218" spans="1:8">
      <c r="A218" s="2"/>
      <c r="B218" s="2">
        <v>1</v>
      </c>
      <c r="C218" s="2">
        <v>2</v>
      </c>
      <c r="D218" s="2"/>
      <c r="E218" s="3"/>
      <c r="F218" s="2"/>
      <c r="G218" s="2"/>
      <c r="H218" s="3"/>
    </row>
    <row r="219" spans="1:8">
      <c r="A219" s="2"/>
      <c r="B219" s="2">
        <v>1</v>
      </c>
      <c r="C219" s="2">
        <v>3</v>
      </c>
      <c r="D219" s="2"/>
      <c r="E219" s="3"/>
      <c r="F219" s="2"/>
      <c r="G219" s="2"/>
      <c r="H219" s="3"/>
    </row>
    <row r="220" spans="1:8">
      <c r="A220" s="2"/>
      <c r="B220" s="2">
        <v>1</v>
      </c>
      <c r="C220" s="2">
        <v>4</v>
      </c>
      <c r="D220" s="2"/>
      <c r="E220" s="3"/>
      <c r="F220" s="2"/>
      <c r="G220" s="2"/>
      <c r="H220" s="3"/>
    </row>
    <row r="221" spans="1:8">
      <c r="A221" s="2"/>
      <c r="B221" s="2">
        <v>1</v>
      </c>
      <c r="C221" s="2">
        <v>5</v>
      </c>
      <c r="D221" s="2"/>
      <c r="E221" s="3"/>
      <c r="F221" s="2"/>
      <c r="G221" s="2"/>
      <c r="H221" s="3"/>
    </row>
    <row r="222" spans="1:8">
      <c r="A222" s="2"/>
      <c r="B222" s="2">
        <v>2</v>
      </c>
      <c r="C222" s="2">
        <v>1</v>
      </c>
      <c r="D222" s="2"/>
      <c r="E222" s="3"/>
      <c r="F222" s="2"/>
      <c r="G222" s="2"/>
      <c r="H222" s="3"/>
    </row>
    <row r="223" spans="1:8">
      <c r="A223" s="2"/>
      <c r="B223" s="2">
        <v>2</v>
      </c>
      <c r="C223" s="2">
        <v>2</v>
      </c>
      <c r="D223" s="2"/>
      <c r="E223" s="3"/>
      <c r="F223" s="2"/>
      <c r="G223" s="2"/>
      <c r="H223" s="3"/>
    </row>
    <row r="224" spans="1:8">
      <c r="A224" s="2"/>
      <c r="B224" s="2">
        <v>2</v>
      </c>
      <c r="C224" s="2">
        <v>3</v>
      </c>
      <c r="D224" s="2"/>
      <c r="E224" s="3"/>
      <c r="F224" s="2"/>
      <c r="G224" s="2"/>
      <c r="H224" s="3"/>
    </row>
    <row r="225" spans="1:8">
      <c r="A225" s="2"/>
      <c r="B225" s="2">
        <v>2</v>
      </c>
      <c r="C225" s="2">
        <v>4</v>
      </c>
      <c r="D225" s="2"/>
      <c r="E225" s="3"/>
      <c r="F225" s="2"/>
      <c r="G225" s="2"/>
      <c r="H225" s="3"/>
    </row>
    <row r="226" spans="1:8">
      <c r="A226" s="2"/>
      <c r="B226" s="2">
        <v>2</v>
      </c>
      <c r="C226" s="2">
        <v>5</v>
      </c>
      <c r="D226" s="2"/>
      <c r="E226" s="3"/>
      <c r="F226" s="2"/>
      <c r="G226" s="2"/>
      <c r="H226" s="3"/>
    </row>
    <row r="227" spans="1:8">
      <c r="A227" s="2"/>
      <c r="B227" s="2">
        <v>3</v>
      </c>
      <c r="C227" s="2">
        <v>1</v>
      </c>
      <c r="D227" s="2"/>
      <c r="E227" s="3"/>
      <c r="F227" s="2"/>
      <c r="G227" s="2"/>
      <c r="H227" s="3"/>
    </row>
    <row r="228" spans="1:8">
      <c r="A228" s="2"/>
      <c r="B228" s="2">
        <v>3</v>
      </c>
      <c r="C228" s="2">
        <v>2</v>
      </c>
      <c r="D228" s="2"/>
      <c r="E228" s="3"/>
      <c r="F228" s="2"/>
      <c r="G228" s="2"/>
      <c r="H228" s="3"/>
    </row>
    <row r="229" spans="1:8">
      <c r="A229" s="2"/>
      <c r="B229" s="2">
        <v>3</v>
      </c>
      <c r="C229" s="2">
        <v>3</v>
      </c>
      <c r="D229" s="2"/>
      <c r="E229" s="3"/>
      <c r="F229" s="2"/>
      <c r="G229" s="2"/>
      <c r="H229" s="3"/>
    </row>
    <row r="230" spans="1:8">
      <c r="A230" s="2"/>
      <c r="B230" s="2">
        <v>3</v>
      </c>
      <c r="C230" s="2">
        <v>4</v>
      </c>
      <c r="D230" s="2"/>
      <c r="E230" s="3"/>
      <c r="F230" s="2"/>
      <c r="G230" s="2"/>
      <c r="H230" s="3"/>
    </row>
    <row r="231" spans="1:8">
      <c r="A231" s="2"/>
      <c r="B231" s="2">
        <v>3</v>
      </c>
      <c r="C231" s="2">
        <v>5</v>
      </c>
      <c r="D231" s="2"/>
      <c r="E231" s="3"/>
      <c r="F231" s="2"/>
      <c r="G231" s="2"/>
      <c r="H231" s="3"/>
    </row>
    <row r="232" spans="1:8">
      <c r="A232" s="2"/>
      <c r="B232" s="2">
        <v>4</v>
      </c>
      <c r="C232" s="2">
        <v>1</v>
      </c>
      <c r="D232" s="2"/>
      <c r="E232" s="3"/>
      <c r="F232" s="2"/>
      <c r="G232" s="2"/>
      <c r="H232" s="3"/>
    </row>
    <row r="233" spans="1:8">
      <c r="A233" s="2"/>
      <c r="B233" s="2">
        <v>4</v>
      </c>
      <c r="C233" s="2">
        <v>2</v>
      </c>
      <c r="D233" s="2"/>
      <c r="E233" s="3"/>
      <c r="F233" s="2"/>
      <c r="G233" s="2"/>
      <c r="H233" s="3"/>
    </row>
    <row r="234" spans="1:8">
      <c r="A234" s="2"/>
      <c r="B234" s="2">
        <v>4</v>
      </c>
      <c r="C234" s="2">
        <v>3</v>
      </c>
      <c r="D234" s="2"/>
      <c r="E234" s="3"/>
      <c r="F234" s="2"/>
      <c r="G234" s="2"/>
      <c r="H234" s="3"/>
    </row>
    <row r="235" spans="1:8">
      <c r="A235" s="2"/>
      <c r="B235" s="2">
        <v>4</v>
      </c>
      <c r="C235" s="2">
        <v>4</v>
      </c>
      <c r="D235" s="2"/>
      <c r="E235" s="3"/>
      <c r="F235" s="2"/>
      <c r="G235" s="2"/>
      <c r="H235" s="3"/>
    </row>
    <row r="236" spans="1:8">
      <c r="A236" s="2"/>
      <c r="B236" s="2">
        <v>4</v>
      </c>
      <c r="C236" s="2">
        <v>5</v>
      </c>
      <c r="D236" s="2"/>
      <c r="E236" s="3"/>
      <c r="F236" s="2"/>
      <c r="G236" s="2"/>
      <c r="H236" s="3"/>
    </row>
    <row r="237" spans="1:8">
      <c r="A237" s="2" t="s">
        <v>115</v>
      </c>
      <c r="B237" s="2">
        <v>1</v>
      </c>
      <c r="C237" s="2">
        <v>1</v>
      </c>
      <c r="D237" s="2"/>
      <c r="E237" s="3"/>
      <c r="F237" s="2"/>
      <c r="G237" s="2"/>
      <c r="H237" s="3"/>
    </row>
    <row r="238" spans="1:8">
      <c r="A238" s="2"/>
      <c r="B238" s="2">
        <v>1</v>
      </c>
      <c r="C238" s="2">
        <v>2</v>
      </c>
      <c r="D238" s="2"/>
      <c r="E238" s="3"/>
      <c r="F238" s="2"/>
      <c r="G238" s="2"/>
      <c r="H238" s="3"/>
    </row>
    <row r="239" spans="1:8">
      <c r="A239" s="2"/>
      <c r="B239" s="2">
        <v>1</v>
      </c>
      <c r="C239" s="2">
        <v>3</v>
      </c>
      <c r="D239" s="2"/>
      <c r="E239" s="3"/>
      <c r="F239" s="2"/>
      <c r="G239" s="2"/>
      <c r="H239" s="3"/>
    </row>
    <row r="240" spans="1:8">
      <c r="A240" s="2"/>
      <c r="B240" s="2">
        <v>1</v>
      </c>
      <c r="C240" s="2">
        <v>4</v>
      </c>
      <c r="D240" s="2"/>
      <c r="E240" s="3"/>
      <c r="F240" s="2"/>
      <c r="G240" s="2"/>
      <c r="H240" s="3"/>
    </row>
    <row r="241" spans="1:8">
      <c r="A241" s="2"/>
      <c r="B241" s="2">
        <v>1</v>
      </c>
      <c r="C241" s="2">
        <v>5</v>
      </c>
      <c r="D241" s="2"/>
      <c r="E241" s="3"/>
      <c r="F241" s="2"/>
      <c r="G241" s="2"/>
      <c r="H241" s="3"/>
    </row>
    <row r="242" spans="1:8">
      <c r="A242" s="2"/>
      <c r="B242" s="2">
        <v>2</v>
      </c>
      <c r="C242" s="2">
        <v>1</v>
      </c>
      <c r="D242" s="2"/>
      <c r="E242" s="3"/>
      <c r="F242" s="2"/>
      <c r="G242" s="2"/>
      <c r="H242" s="3"/>
    </row>
    <row r="243" spans="1:8">
      <c r="A243" s="2"/>
      <c r="B243" s="2">
        <v>2</v>
      </c>
      <c r="C243" s="2">
        <v>2</v>
      </c>
      <c r="D243" s="2"/>
      <c r="E243" s="3"/>
      <c r="F243" s="2"/>
      <c r="G243" s="2"/>
      <c r="H243" s="3"/>
    </row>
    <row r="244" spans="1:8">
      <c r="A244" s="2"/>
      <c r="B244" s="2">
        <v>2</v>
      </c>
      <c r="C244" s="2">
        <v>3</v>
      </c>
      <c r="D244" s="2"/>
      <c r="E244" s="3"/>
      <c r="F244" s="2"/>
      <c r="G244" s="2"/>
      <c r="H244" s="3"/>
    </row>
    <row r="245" spans="1:8">
      <c r="A245" s="2"/>
      <c r="B245" s="2">
        <v>2</v>
      </c>
      <c r="C245" s="2">
        <v>4</v>
      </c>
      <c r="D245" s="2"/>
      <c r="E245" s="3"/>
      <c r="F245" s="2"/>
      <c r="G245" s="2"/>
      <c r="H245" s="3"/>
    </row>
    <row r="246" spans="1:8">
      <c r="A246" s="2"/>
      <c r="B246" s="2">
        <v>2</v>
      </c>
      <c r="C246" s="2">
        <v>5</v>
      </c>
      <c r="D246" s="2"/>
      <c r="E246" s="3"/>
      <c r="F246" s="2"/>
      <c r="G246" s="2"/>
      <c r="H246" s="3"/>
    </row>
    <row r="247" spans="1:8">
      <c r="A247" s="2"/>
      <c r="B247" s="2">
        <v>3</v>
      </c>
      <c r="C247" s="2">
        <v>1</v>
      </c>
      <c r="D247" s="2"/>
      <c r="E247" s="3"/>
      <c r="F247" s="2"/>
      <c r="G247" s="2"/>
      <c r="H247" s="3"/>
    </row>
    <row r="248" spans="1:8">
      <c r="A248" s="2"/>
      <c r="B248" s="2">
        <v>3</v>
      </c>
      <c r="C248" s="2">
        <v>2</v>
      </c>
      <c r="D248" s="2"/>
      <c r="E248" s="3"/>
      <c r="F248" s="2"/>
      <c r="G248" s="2"/>
      <c r="H248" s="3"/>
    </row>
    <row r="249" spans="1:8">
      <c r="A249" s="2"/>
      <c r="B249" s="2">
        <v>3</v>
      </c>
      <c r="C249" s="2">
        <v>3</v>
      </c>
      <c r="D249" s="2"/>
      <c r="E249" s="3"/>
      <c r="F249" s="2"/>
      <c r="G249" s="2"/>
      <c r="H249" s="3"/>
    </row>
    <row r="250" spans="1:8">
      <c r="A250" s="2"/>
      <c r="B250" s="2">
        <v>3</v>
      </c>
      <c r="C250" s="2">
        <v>4</v>
      </c>
      <c r="D250" s="2"/>
      <c r="E250" s="3"/>
      <c r="F250" s="2"/>
      <c r="G250" s="2"/>
      <c r="H250" s="3"/>
    </row>
    <row r="251" spans="1:8">
      <c r="A251" s="2"/>
      <c r="B251" s="2">
        <v>3</v>
      </c>
      <c r="C251" s="2">
        <v>5</v>
      </c>
      <c r="D251" s="2"/>
      <c r="E251" s="3"/>
      <c r="F251" s="2"/>
      <c r="G251" s="2"/>
      <c r="H251" s="3"/>
    </row>
    <row r="252" spans="1:8">
      <c r="A252" s="2"/>
      <c r="B252" s="2">
        <v>4</v>
      </c>
      <c r="C252" s="2">
        <v>1</v>
      </c>
      <c r="D252" s="2"/>
      <c r="E252" s="3"/>
      <c r="F252" s="2"/>
      <c r="G252" s="2"/>
      <c r="H252" s="3"/>
    </row>
    <row r="253" spans="1:8">
      <c r="A253" s="2"/>
      <c r="B253" s="2">
        <v>4</v>
      </c>
      <c r="C253" s="2">
        <v>2</v>
      </c>
      <c r="D253" s="2"/>
      <c r="E253" s="3"/>
      <c r="F253" s="2"/>
      <c r="G253" s="2"/>
      <c r="H253" s="3"/>
    </row>
    <row r="254" spans="1:8">
      <c r="A254" s="2"/>
      <c r="B254" s="2">
        <v>4</v>
      </c>
      <c r="C254" s="2">
        <v>3</v>
      </c>
      <c r="D254" s="2"/>
      <c r="E254" s="3"/>
      <c r="F254" s="2"/>
      <c r="G254" s="2"/>
      <c r="H254" s="3"/>
    </row>
    <row r="255" spans="1:8">
      <c r="A255" s="2"/>
      <c r="B255" s="2">
        <v>4</v>
      </c>
      <c r="C255" s="2">
        <v>4</v>
      </c>
      <c r="D255" s="2"/>
      <c r="E255" s="3"/>
      <c r="F255" s="2"/>
      <c r="G255" s="2"/>
      <c r="H255" s="3"/>
    </row>
    <row r="256" spans="1:8">
      <c r="A256" s="2"/>
      <c r="B256" s="2">
        <v>4</v>
      </c>
      <c r="C256" s="2">
        <v>5</v>
      </c>
      <c r="D256" s="2"/>
      <c r="E256" s="3"/>
      <c r="F256" s="2"/>
      <c r="G256" s="2"/>
      <c r="H256" s="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R230"/>
  <sheetViews>
    <sheetView workbookViewId="0"/>
  </sheetViews>
  <sheetFormatPr defaultColWidth="17.28515625" defaultRowHeight="15" customHeight="1"/>
  <cols>
    <col min="1" max="4" width="9.140625" customWidth="1"/>
    <col min="5" max="5" width="13.140625" customWidth="1"/>
    <col min="6" max="7" width="9.140625" customWidth="1"/>
    <col min="8" max="8" width="16.7109375" customWidth="1"/>
    <col min="9" max="10" width="9.140625" customWidth="1"/>
    <col min="11" max="11" width="18.85546875" customWidth="1"/>
    <col min="12" max="12" width="9.140625" customWidth="1"/>
    <col min="13" max="13" width="17.28515625" customWidth="1"/>
    <col min="14" max="14" width="9.140625" customWidth="1"/>
    <col min="15" max="15" width="12.42578125" customWidth="1"/>
    <col min="16" max="16" width="9.140625" customWidth="1"/>
    <col min="17" max="18" width="17.28515625" customWidth="1"/>
  </cols>
  <sheetData>
    <row r="1" spans="1:18" ht="18" customHeight="1">
      <c r="A1" s="2"/>
      <c r="B1" s="2"/>
      <c r="C1" s="2"/>
      <c r="D1" s="2"/>
      <c r="E1" s="55" t="s">
        <v>136</v>
      </c>
      <c r="F1" s="2"/>
      <c r="G1" s="2"/>
      <c r="H1" s="55" t="s">
        <v>137</v>
      </c>
      <c r="I1" s="2"/>
      <c r="J1" s="2"/>
      <c r="K1" s="55" t="s">
        <v>138</v>
      </c>
      <c r="L1" s="2"/>
      <c r="N1" s="2"/>
      <c r="O1" s="3"/>
      <c r="P1" s="2"/>
      <c r="Q1" s="3" t="s">
        <v>139</v>
      </c>
      <c r="R1" s="3"/>
    </row>
    <row r="2" spans="1:18">
      <c r="A2" s="6" t="s">
        <v>51</v>
      </c>
      <c r="B2" s="6" t="s">
        <v>52</v>
      </c>
      <c r="C2" s="6" t="s">
        <v>53</v>
      </c>
      <c r="D2" s="6" t="s">
        <v>54</v>
      </c>
      <c r="E2" s="6" t="s">
        <v>75</v>
      </c>
      <c r="F2" s="2" t="s">
        <v>74</v>
      </c>
      <c r="G2" s="2"/>
      <c r="H2" s="6" t="s">
        <v>75</v>
      </c>
      <c r="I2" s="2" t="s">
        <v>74</v>
      </c>
      <c r="J2" s="2"/>
      <c r="K2" s="2" t="s">
        <v>75</v>
      </c>
      <c r="L2" s="2" t="s">
        <v>74</v>
      </c>
      <c r="N2" s="6" t="s">
        <v>52</v>
      </c>
      <c r="O2" s="2" t="s">
        <v>140</v>
      </c>
      <c r="P2" s="6" t="s">
        <v>54</v>
      </c>
      <c r="Q2" s="3" t="s">
        <v>75</v>
      </c>
      <c r="R2" s="3"/>
    </row>
    <row r="3" spans="1:18">
      <c r="A3" s="2" t="s">
        <v>78</v>
      </c>
      <c r="B3" s="2" t="s">
        <v>79</v>
      </c>
      <c r="C3" s="2">
        <v>1</v>
      </c>
      <c r="D3" s="2" t="s">
        <v>83</v>
      </c>
      <c r="E3" s="2">
        <v>59.8</v>
      </c>
      <c r="F3" s="2"/>
      <c r="G3" s="2"/>
      <c r="H3" s="2">
        <v>4.1900000000000004</v>
      </c>
      <c r="I3" s="2"/>
      <c r="J3" s="2"/>
      <c r="K3" s="2">
        <v>6.2</v>
      </c>
      <c r="L3" s="2"/>
      <c r="N3" s="2" t="s">
        <v>79</v>
      </c>
      <c r="O3" s="3" t="s">
        <v>92</v>
      </c>
      <c r="P3" s="2" t="s">
        <v>83</v>
      </c>
      <c r="Q3" s="3">
        <v>70.19</v>
      </c>
      <c r="R3" s="3"/>
    </row>
    <row r="4" spans="1:18">
      <c r="A4" s="2"/>
      <c r="B4" s="2"/>
      <c r="C4" s="2">
        <v>1</v>
      </c>
      <c r="D4" s="2" t="s">
        <v>85</v>
      </c>
      <c r="E4" s="2">
        <v>48.5</v>
      </c>
      <c r="F4" s="2"/>
      <c r="G4" s="2"/>
      <c r="H4" s="2">
        <v>3.68</v>
      </c>
      <c r="I4" s="2"/>
      <c r="J4" s="2"/>
      <c r="K4" s="2">
        <v>5.7</v>
      </c>
      <c r="L4" s="2"/>
      <c r="N4" s="2" t="s">
        <v>79</v>
      </c>
      <c r="O4" s="56" t="s">
        <v>92</v>
      </c>
      <c r="P4" s="2" t="s">
        <v>85</v>
      </c>
      <c r="Q4" s="3">
        <v>57.88</v>
      </c>
      <c r="R4" s="3"/>
    </row>
    <row r="5" spans="1:18">
      <c r="A5" s="2" t="s">
        <v>141</v>
      </c>
      <c r="B5" s="2"/>
      <c r="C5" s="2">
        <v>1</v>
      </c>
      <c r="D5" s="2" t="s">
        <v>87</v>
      </c>
      <c r="E5" s="4">
        <v>64.400000000000006</v>
      </c>
      <c r="F5" s="2"/>
      <c r="G5" s="2"/>
      <c r="H5" s="2">
        <v>6.67</v>
      </c>
      <c r="I5" s="2"/>
      <c r="J5" s="2"/>
      <c r="K5" s="2">
        <v>3.6</v>
      </c>
      <c r="L5" s="2"/>
      <c r="N5" s="2" t="s">
        <v>79</v>
      </c>
      <c r="O5" s="56" t="s">
        <v>92</v>
      </c>
      <c r="P5" s="2" t="s">
        <v>87</v>
      </c>
      <c r="Q5" s="3">
        <v>74.67</v>
      </c>
      <c r="R5" s="3"/>
    </row>
    <row r="6" spans="1:18">
      <c r="A6" s="2"/>
      <c r="B6" s="2"/>
      <c r="C6" s="2">
        <v>1</v>
      </c>
      <c r="D6" s="2" t="s">
        <v>79</v>
      </c>
      <c r="E6" s="2">
        <v>76.599999999999994</v>
      </c>
      <c r="F6" s="2"/>
      <c r="G6" s="2"/>
      <c r="H6" s="2">
        <v>11.23</v>
      </c>
      <c r="I6" s="2"/>
      <c r="J6" s="2"/>
      <c r="K6" s="2">
        <v>5</v>
      </c>
      <c r="L6" s="2"/>
      <c r="N6" s="2" t="s">
        <v>79</v>
      </c>
      <c r="O6" s="56" t="s">
        <v>92</v>
      </c>
      <c r="P6" s="2" t="s">
        <v>79</v>
      </c>
      <c r="Q6" s="3">
        <v>92.83</v>
      </c>
      <c r="R6" s="3"/>
    </row>
    <row r="7" spans="1:18">
      <c r="A7" s="2"/>
      <c r="B7" s="2"/>
      <c r="C7" s="2">
        <v>1</v>
      </c>
      <c r="D7" s="2" t="s">
        <v>88</v>
      </c>
      <c r="E7" s="2">
        <v>70.099999999999994</v>
      </c>
      <c r="F7" s="2">
        <f>AVERAGE(E3:E7)</f>
        <v>63.879999999999995</v>
      </c>
      <c r="G7" s="2"/>
      <c r="H7" s="2">
        <v>3.61</v>
      </c>
      <c r="I7" s="2">
        <f>AVERAGE(H3:H7)</f>
        <v>5.8760000000000003</v>
      </c>
      <c r="J7" s="2"/>
      <c r="K7" s="2">
        <v>6</v>
      </c>
      <c r="L7" s="2">
        <f>AVERAGE(K3:K7)</f>
        <v>5.3</v>
      </c>
      <c r="N7" s="2" t="s">
        <v>79</v>
      </c>
      <c r="O7" s="56" t="s">
        <v>92</v>
      </c>
      <c r="P7" s="2" t="s">
        <v>88</v>
      </c>
      <c r="Q7" s="3">
        <v>79.709999999999994</v>
      </c>
      <c r="R7" s="3">
        <f>AVERAGE(Q3:Q7)</f>
        <v>75.055999999999997</v>
      </c>
    </row>
    <row r="8" spans="1:18">
      <c r="A8" s="2"/>
      <c r="B8" s="2"/>
      <c r="C8" s="2">
        <v>2</v>
      </c>
      <c r="D8" s="2" t="s">
        <v>83</v>
      </c>
      <c r="E8" s="2">
        <v>55.580000000000005</v>
      </c>
      <c r="F8" s="2"/>
      <c r="G8" s="2"/>
      <c r="H8" s="2">
        <v>5.68</v>
      </c>
      <c r="I8" s="2"/>
      <c r="J8" s="2"/>
      <c r="K8" s="2">
        <v>6.6</v>
      </c>
      <c r="L8" s="2"/>
      <c r="N8" s="2" t="s">
        <v>79</v>
      </c>
      <c r="O8" s="56" t="s">
        <v>93</v>
      </c>
      <c r="P8" s="2" t="s">
        <v>83</v>
      </c>
      <c r="Q8" s="3">
        <v>67.86</v>
      </c>
      <c r="R8" s="3"/>
    </row>
    <row r="9" spans="1:18">
      <c r="A9" s="2"/>
      <c r="B9" s="2"/>
      <c r="C9" s="2">
        <v>2</v>
      </c>
      <c r="D9" s="2" t="s">
        <v>85</v>
      </c>
      <c r="E9" s="2">
        <v>62.48</v>
      </c>
      <c r="F9" s="2"/>
      <c r="G9" s="2"/>
      <c r="H9" s="2">
        <v>6.41</v>
      </c>
      <c r="I9" s="2"/>
      <c r="J9" s="2"/>
      <c r="K9" s="4">
        <f>AVERAGE(K8,K10:K12)</f>
        <v>7.2999999999999989</v>
      </c>
      <c r="L9" s="2"/>
      <c r="N9" s="2" t="s">
        <v>79</v>
      </c>
      <c r="O9" s="56" t="s">
        <v>93</v>
      </c>
      <c r="P9" s="2" t="s">
        <v>85</v>
      </c>
      <c r="Q9" s="3">
        <v>76.19</v>
      </c>
      <c r="R9" s="3"/>
    </row>
    <row r="10" spans="1:18">
      <c r="A10" s="2"/>
      <c r="B10" s="2"/>
      <c r="C10" s="2">
        <v>2</v>
      </c>
      <c r="D10" s="2" t="s">
        <v>87</v>
      </c>
      <c r="E10" s="2">
        <v>64.739999999999995</v>
      </c>
      <c r="F10" s="2"/>
      <c r="G10" s="2"/>
      <c r="H10" s="2">
        <v>3.83</v>
      </c>
      <c r="I10" s="2"/>
      <c r="J10" s="2"/>
      <c r="K10" s="2">
        <v>5.6</v>
      </c>
      <c r="L10" s="2"/>
      <c r="N10" s="2" t="s">
        <v>79</v>
      </c>
      <c r="O10" s="56" t="s">
        <v>93</v>
      </c>
      <c r="P10" s="2" t="s">
        <v>87</v>
      </c>
      <c r="Q10" s="3">
        <v>74.169999999999987</v>
      </c>
      <c r="R10" s="3"/>
    </row>
    <row r="11" spans="1:18">
      <c r="A11" s="2"/>
      <c r="B11" s="2"/>
      <c r="C11" s="2">
        <v>2</v>
      </c>
      <c r="D11" s="2" t="s">
        <v>79</v>
      </c>
      <c r="E11" s="2">
        <v>55.839999999999996</v>
      </c>
      <c r="F11" s="2"/>
      <c r="G11" s="2"/>
      <c r="H11" s="2">
        <v>8.39</v>
      </c>
      <c r="I11" s="2"/>
      <c r="J11" s="2"/>
      <c r="K11" s="2">
        <v>8.1</v>
      </c>
      <c r="L11" s="2"/>
      <c r="N11" s="2" t="s">
        <v>79</v>
      </c>
      <c r="O11" s="56" t="s">
        <v>93</v>
      </c>
      <c r="P11" s="2" t="s">
        <v>79</v>
      </c>
      <c r="Q11" s="3">
        <v>72.329999999999984</v>
      </c>
      <c r="R11" s="3"/>
    </row>
    <row r="12" spans="1:18">
      <c r="A12" s="2"/>
      <c r="B12" s="2"/>
      <c r="C12" s="2">
        <v>2</v>
      </c>
      <c r="D12" s="2" t="s">
        <v>88</v>
      </c>
      <c r="E12" s="2">
        <v>61.07</v>
      </c>
      <c r="F12" s="2">
        <f>AVERAGE(E8:E12)</f>
        <v>59.942000000000007</v>
      </c>
      <c r="G12" s="2"/>
      <c r="H12" s="2">
        <v>3.94</v>
      </c>
      <c r="I12" s="2">
        <f>AVERAGE(H8:H12)</f>
        <v>5.65</v>
      </c>
      <c r="J12" s="2"/>
      <c r="K12" s="2">
        <v>8.9</v>
      </c>
      <c r="L12" s="2">
        <f>AVERAGE(K8:K12)</f>
        <v>7.3</v>
      </c>
      <c r="N12" s="2" t="s">
        <v>79</v>
      </c>
      <c r="O12" s="56" t="s">
        <v>93</v>
      </c>
      <c r="P12" s="2" t="s">
        <v>88</v>
      </c>
      <c r="Q12" s="3">
        <v>73.910000000000011</v>
      </c>
      <c r="R12" s="3">
        <f>AVERAGE(Q8:Q12)</f>
        <v>72.891999999999996</v>
      </c>
    </row>
    <row r="13" spans="1:18">
      <c r="A13" s="2"/>
      <c r="B13" s="2"/>
      <c r="C13" s="2">
        <v>3</v>
      </c>
      <c r="D13" s="2" t="s">
        <v>83</v>
      </c>
      <c r="E13" s="2">
        <v>55.169999999999995</v>
      </c>
      <c r="F13" s="2"/>
      <c r="G13" s="2"/>
      <c r="H13" s="2">
        <v>5.73</v>
      </c>
      <c r="I13" s="2"/>
      <c r="J13" s="2"/>
      <c r="K13" s="2">
        <v>5.4</v>
      </c>
      <c r="L13" s="2"/>
      <c r="N13" s="2" t="s">
        <v>79</v>
      </c>
      <c r="O13" s="56" t="s">
        <v>142</v>
      </c>
      <c r="P13" s="2" t="s">
        <v>83</v>
      </c>
      <c r="Q13" s="3">
        <v>66.3</v>
      </c>
      <c r="R13" s="3"/>
    </row>
    <row r="14" spans="1:18">
      <c r="A14" s="2"/>
      <c r="B14" s="2"/>
      <c r="C14" s="2">
        <v>3</v>
      </c>
      <c r="D14" s="2" t="s">
        <v>85</v>
      </c>
      <c r="E14" s="2">
        <v>54.27</v>
      </c>
      <c r="F14" s="2"/>
      <c r="G14" s="2"/>
      <c r="H14" s="2">
        <v>4.33</v>
      </c>
      <c r="I14" s="2"/>
      <c r="J14" s="2"/>
      <c r="K14" s="2">
        <v>5.8</v>
      </c>
      <c r="L14" s="2"/>
      <c r="N14" s="2" t="s">
        <v>79</v>
      </c>
      <c r="O14" s="56" t="s">
        <v>142</v>
      </c>
      <c r="P14" s="2" t="s">
        <v>85</v>
      </c>
      <c r="Q14" s="3">
        <v>64.400000000000006</v>
      </c>
      <c r="R14" s="3"/>
    </row>
    <row r="15" spans="1:18">
      <c r="A15" s="2"/>
      <c r="B15" s="2"/>
      <c r="C15" s="2">
        <v>3</v>
      </c>
      <c r="D15" s="2" t="s">
        <v>87</v>
      </c>
      <c r="E15" s="2">
        <v>64.72</v>
      </c>
      <c r="F15" s="2"/>
      <c r="G15" s="2"/>
      <c r="H15" s="28">
        <v>23.52</v>
      </c>
      <c r="I15" s="2"/>
      <c r="J15" s="2"/>
      <c r="K15" s="2">
        <v>6.5</v>
      </c>
      <c r="L15" s="2"/>
      <c r="N15" s="2" t="s">
        <v>79</v>
      </c>
      <c r="O15" s="56" t="s">
        <v>142</v>
      </c>
      <c r="P15" s="2" t="s">
        <v>87</v>
      </c>
      <c r="Q15" s="3">
        <v>88.63</v>
      </c>
      <c r="R15" s="3"/>
    </row>
    <row r="16" spans="1:18">
      <c r="A16" s="2"/>
      <c r="B16" s="2"/>
      <c r="C16" s="2">
        <v>3</v>
      </c>
      <c r="D16" s="2" t="s">
        <v>79</v>
      </c>
      <c r="E16" s="2">
        <v>68.39</v>
      </c>
      <c r="F16" s="2"/>
      <c r="G16" s="2"/>
      <c r="H16" s="28">
        <v>3.62</v>
      </c>
      <c r="I16" s="2"/>
      <c r="J16" s="2"/>
      <c r="K16" s="28">
        <v>14.2</v>
      </c>
      <c r="L16" s="2"/>
      <c r="N16" s="2" t="s">
        <v>79</v>
      </c>
      <c r="O16" s="56" t="s">
        <v>142</v>
      </c>
      <c r="P16" s="2" t="s">
        <v>79</v>
      </c>
      <c r="Q16" s="3">
        <v>86.490000000000009</v>
      </c>
      <c r="R16" s="3"/>
    </row>
    <row r="17" spans="1:18">
      <c r="A17" s="2"/>
      <c r="B17" s="2"/>
      <c r="C17" s="2">
        <v>3</v>
      </c>
      <c r="D17" s="2" t="s">
        <v>88</v>
      </c>
      <c r="E17" s="2">
        <v>55.54</v>
      </c>
      <c r="F17" s="2">
        <f>AVERAGE(E13:E17)</f>
        <v>59.618000000000009</v>
      </c>
      <c r="G17" s="2"/>
      <c r="H17" s="28">
        <v>3.51</v>
      </c>
      <c r="I17" s="2">
        <f>AVERAGE(H13:H17)</f>
        <v>8.1419999999999995</v>
      </c>
      <c r="J17" s="2"/>
      <c r="K17" s="2">
        <v>8.5</v>
      </c>
      <c r="L17" s="2">
        <f>AVERAGE(K13:K17)</f>
        <v>8.08</v>
      </c>
      <c r="N17" s="2" t="s">
        <v>79</v>
      </c>
      <c r="O17" s="56" t="s">
        <v>142</v>
      </c>
      <c r="P17" s="2" t="s">
        <v>88</v>
      </c>
      <c r="Q17" s="3">
        <v>67.52</v>
      </c>
      <c r="R17" s="3">
        <f>AVERAGE(Q13:Q17)</f>
        <v>74.667999999999992</v>
      </c>
    </row>
    <row r="18" spans="1:18">
      <c r="A18" s="2"/>
      <c r="B18" s="2"/>
      <c r="C18" s="2">
        <v>4</v>
      </c>
      <c r="D18" s="2" t="s">
        <v>83</v>
      </c>
      <c r="E18" s="2">
        <v>64.08</v>
      </c>
      <c r="F18" s="2"/>
      <c r="G18" s="2"/>
      <c r="H18" s="2">
        <v>3.41</v>
      </c>
      <c r="I18" s="2"/>
      <c r="J18" s="2"/>
      <c r="K18" s="2">
        <v>4.9000000000000004</v>
      </c>
      <c r="L18" s="2"/>
      <c r="N18" s="2" t="s">
        <v>79</v>
      </c>
      <c r="O18" s="56" t="s">
        <v>90</v>
      </c>
      <c r="P18" s="2" t="s">
        <v>83</v>
      </c>
      <c r="Q18" s="3">
        <v>72.39</v>
      </c>
      <c r="R18" s="3"/>
    </row>
    <row r="19" spans="1:18">
      <c r="A19" s="2"/>
      <c r="B19" s="2"/>
      <c r="C19" s="2">
        <v>4</v>
      </c>
      <c r="D19" s="2" t="s">
        <v>85</v>
      </c>
      <c r="E19" s="2">
        <v>60.000000000000007</v>
      </c>
      <c r="F19" s="2"/>
      <c r="G19" s="2"/>
      <c r="H19" s="28">
        <v>4.63</v>
      </c>
      <c r="I19" s="2"/>
      <c r="J19" s="2"/>
      <c r="K19" s="2">
        <v>4.8</v>
      </c>
      <c r="L19" s="2"/>
      <c r="N19" s="2" t="s">
        <v>79</v>
      </c>
      <c r="O19" s="56" t="s">
        <v>90</v>
      </c>
      <c r="P19" s="2" t="s">
        <v>85</v>
      </c>
      <c r="Q19" s="3">
        <v>69.430000000000007</v>
      </c>
      <c r="R19" s="3"/>
    </row>
    <row r="20" spans="1:18">
      <c r="A20" s="2"/>
      <c r="B20" s="2"/>
      <c r="C20" s="2">
        <v>4</v>
      </c>
      <c r="D20" s="2" t="s">
        <v>87</v>
      </c>
      <c r="E20" s="2">
        <v>62.190000000000005</v>
      </c>
      <c r="F20" s="2"/>
      <c r="G20" s="2"/>
      <c r="H20" s="2">
        <v>4.1399999999999997</v>
      </c>
      <c r="I20" s="2"/>
      <c r="J20" s="2"/>
      <c r="K20" s="2">
        <v>3.9</v>
      </c>
      <c r="L20" s="2"/>
      <c r="N20" s="2" t="s">
        <v>79</v>
      </c>
      <c r="O20" s="56" t="s">
        <v>90</v>
      </c>
      <c r="P20" s="2" t="s">
        <v>87</v>
      </c>
      <c r="Q20" s="3">
        <v>70.23</v>
      </c>
      <c r="R20" s="3"/>
    </row>
    <row r="21" spans="1:18">
      <c r="A21" s="2"/>
      <c r="B21" s="2"/>
      <c r="C21" s="2">
        <v>4</v>
      </c>
      <c r="D21" s="2" t="s">
        <v>79</v>
      </c>
      <c r="E21" s="2">
        <v>69.36</v>
      </c>
      <c r="F21" s="2"/>
      <c r="G21" s="2"/>
      <c r="H21" s="2">
        <v>6.18</v>
      </c>
      <c r="I21" s="2"/>
      <c r="J21" s="2"/>
      <c r="K21" s="2">
        <v>4.0999999999999996</v>
      </c>
      <c r="L21" s="2"/>
      <c r="N21" s="2" t="s">
        <v>79</v>
      </c>
      <c r="O21" s="56" t="s">
        <v>90</v>
      </c>
      <c r="P21" s="2" t="s">
        <v>79</v>
      </c>
      <c r="Q21" s="3">
        <v>79.639999999999986</v>
      </c>
      <c r="R21" s="3"/>
    </row>
    <row r="22" spans="1:18">
      <c r="A22" s="2"/>
      <c r="B22" s="2"/>
      <c r="C22" s="2">
        <v>4</v>
      </c>
      <c r="D22" s="2" t="s">
        <v>88</v>
      </c>
      <c r="E22" s="2">
        <v>60.839999999999996</v>
      </c>
      <c r="F22" s="2">
        <f>AVERAGE(E18:E22)</f>
        <v>63.293999999999997</v>
      </c>
      <c r="G22" s="2"/>
      <c r="H22" s="2">
        <v>6.18</v>
      </c>
      <c r="I22" s="2">
        <f>AVERAGE(H18:H22)</f>
        <v>4.9079999999999995</v>
      </c>
      <c r="J22" s="2"/>
      <c r="K22" s="2">
        <v>7.8</v>
      </c>
      <c r="L22" s="2">
        <f>AVERAGE(K18:K22)</f>
        <v>5.0999999999999996</v>
      </c>
      <c r="N22" s="2" t="s">
        <v>79</v>
      </c>
      <c r="O22" s="56" t="s">
        <v>90</v>
      </c>
      <c r="P22" s="2" t="s">
        <v>88</v>
      </c>
      <c r="Q22" s="3">
        <v>74.819999999999993</v>
      </c>
      <c r="R22" s="3">
        <f>AVERAGE(Q18:Q22)</f>
        <v>73.301999999999992</v>
      </c>
    </row>
    <row r="23" spans="1:18">
      <c r="A23" s="2" t="s">
        <v>78</v>
      </c>
      <c r="B23" s="2" t="s">
        <v>94</v>
      </c>
      <c r="C23" s="2">
        <v>1</v>
      </c>
      <c r="D23" s="2" t="s">
        <v>83</v>
      </c>
      <c r="E23" s="2">
        <v>75.949999999999989</v>
      </c>
      <c r="F23" s="2"/>
      <c r="G23" s="2"/>
      <c r="H23" s="2">
        <v>7.18</v>
      </c>
      <c r="I23" s="2"/>
      <c r="J23" s="2"/>
      <c r="K23" s="2">
        <v>3.5</v>
      </c>
      <c r="L23" s="2"/>
      <c r="N23" s="2" t="s">
        <v>94</v>
      </c>
      <c r="O23" s="56" t="s">
        <v>90</v>
      </c>
      <c r="P23" s="2" t="s">
        <v>83</v>
      </c>
      <c r="Q23" s="3">
        <v>86.63</v>
      </c>
      <c r="R23" s="3"/>
    </row>
    <row r="24" spans="1:18">
      <c r="A24" s="2"/>
      <c r="B24" s="2"/>
      <c r="C24" s="2">
        <v>1</v>
      </c>
      <c r="D24" s="2" t="s">
        <v>85</v>
      </c>
      <c r="E24" s="2">
        <v>50.03</v>
      </c>
      <c r="F24" s="2"/>
      <c r="G24" s="2"/>
      <c r="H24" s="2">
        <v>5.79</v>
      </c>
      <c r="I24" s="2"/>
      <c r="J24" s="2"/>
      <c r="K24" s="2">
        <v>2.8</v>
      </c>
      <c r="L24" s="2"/>
      <c r="N24" s="2" t="s">
        <v>94</v>
      </c>
      <c r="O24" s="56" t="s">
        <v>90</v>
      </c>
      <c r="P24" s="2" t="s">
        <v>85</v>
      </c>
      <c r="Q24" s="3">
        <v>58.62</v>
      </c>
      <c r="R24" s="3"/>
    </row>
    <row r="25" spans="1:18">
      <c r="A25" s="2" t="s">
        <v>143</v>
      </c>
      <c r="B25" s="2"/>
      <c r="C25" s="2">
        <v>1</v>
      </c>
      <c r="D25" s="2" t="s">
        <v>87</v>
      </c>
      <c r="E25" s="2">
        <v>74</v>
      </c>
      <c r="F25" s="2"/>
      <c r="G25" s="2"/>
      <c r="H25" s="28">
        <v>5.66</v>
      </c>
      <c r="I25" s="2"/>
      <c r="J25" s="2"/>
      <c r="K25" s="2">
        <v>3.2</v>
      </c>
      <c r="L25" s="2"/>
      <c r="N25" s="2" t="s">
        <v>94</v>
      </c>
      <c r="O25" s="56" t="s">
        <v>90</v>
      </c>
      <c r="P25" s="2" t="s">
        <v>87</v>
      </c>
      <c r="Q25" s="3">
        <v>84.12</v>
      </c>
      <c r="R25" s="3"/>
    </row>
    <row r="26" spans="1:18">
      <c r="A26" s="2"/>
      <c r="B26" s="2"/>
      <c r="C26" s="28">
        <v>1</v>
      </c>
      <c r="D26" s="70" t="s">
        <v>79</v>
      </c>
      <c r="E26" s="2"/>
      <c r="F26" s="2"/>
      <c r="G26" s="2"/>
      <c r="H26" s="28">
        <v>4.66</v>
      </c>
      <c r="I26" s="2"/>
      <c r="J26" s="2"/>
      <c r="K26" s="2"/>
      <c r="L26" s="2"/>
      <c r="N26" s="2"/>
      <c r="O26" s="56"/>
      <c r="P26" s="2"/>
      <c r="Q26" s="3"/>
      <c r="R26" s="3"/>
    </row>
    <row r="27" spans="1:18">
      <c r="A27" s="2"/>
      <c r="B27" s="2"/>
      <c r="C27" s="2">
        <v>1</v>
      </c>
      <c r="D27" s="71" t="s">
        <v>88</v>
      </c>
      <c r="E27" s="2">
        <v>50.46</v>
      </c>
      <c r="F27" s="2"/>
      <c r="G27" s="2"/>
      <c r="H27" s="28">
        <v>4.78</v>
      </c>
      <c r="I27" s="2"/>
      <c r="J27" s="2"/>
      <c r="K27" s="2">
        <v>3.2</v>
      </c>
      <c r="L27" s="2"/>
      <c r="N27" s="2" t="s">
        <v>94</v>
      </c>
      <c r="O27" s="56" t="s">
        <v>90</v>
      </c>
      <c r="P27" s="2" t="s">
        <v>88</v>
      </c>
      <c r="Q27" s="3">
        <v>58.440000000000005</v>
      </c>
      <c r="R27" s="3"/>
    </row>
    <row r="28" spans="1:18">
      <c r="A28" s="2"/>
      <c r="B28" s="2"/>
      <c r="C28" s="2">
        <v>1</v>
      </c>
      <c r="D28" s="2" t="s">
        <v>88</v>
      </c>
      <c r="E28" s="2">
        <v>41.29</v>
      </c>
      <c r="F28" s="2">
        <f>AVERAGE(E23:E28)</f>
        <v>58.346000000000004</v>
      </c>
      <c r="G28" s="2"/>
      <c r="H28" s="28">
        <v>4.1900000000000004</v>
      </c>
      <c r="I28" s="2">
        <f>AVERAGE(H23:H28)</f>
        <v>5.376666666666666</v>
      </c>
      <c r="J28" s="2"/>
      <c r="K28" s="2">
        <v>3.1</v>
      </c>
      <c r="L28" s="2">
        <f>AVERAGE(K23:K28)</f>
        <v>3.1599999999999997</v>
      </c>
      <c r="N28" s="2" t="s">
        <v>94</v>
      </c>
      <c r="O28" s="56" t="s">
        <v>90</v>
      </c>
      <c r="P28" s="2" t="s">
        <v>88</v>
      </c>
      <c r="Q28" s="3">
        <v>48.98</v>
      </c>
      <c r="R28" s="3"/>
    </row>
    <row r="29" spans="1:18">
      <c r="A29" s="2"/>
      <c r="B29" s="2"/>
      <c r="C29" s="2">
        <v>2</v>
      </c>
      <c r="D29" s="2" t="s">
        <v>83</v>
      </c>
      <c r="E29" s="2">
        <v>63.9</v>
      </c>
      <c r="F29" s="2"/>
      <c r="G29" s="2"/>
      <c r="H29" s="28">
        <v>5.19</v>
      </c>
      <c r="I29" s="2"/>
      <c r="J29" s="2"/>
      <c r="K29" s="2">
        <v>3.3</v>
      </c>
      <c r="L29" s="2"/>
      <c r="N29" s="2" t="s">
        <v>94</v>
      </c>
      <c r="O29" s="56" t="s">
        <v>142</v>
      </c>
      <c r="P29" s="2" t="s">
        <v>83</v>
      </c>
      <c r="Q29" s="3">
        <v>74.66</v>
      </c>
      <c r="R29" s="3"/>
    </row>
    <row r="30" spans="1:18">
      <c r="A30" s="2"/>
      <c r="B30" s="2"/>
      <c r="C30" s="2">
        <v>2</v>
      </c>
      <c r="D30" s="2" t="s">
        <v>85</v>
      </c>
      <c r="E30" s="2">
        <v>69.08</v>
      </c>
      <c r="F30" s="2"/>
      <c r="G30" s="2"/>
      <c r="H30" s="2">
        <v>12.57</v>
      </c>
      <c r="I30" s="2"/>
      <c r="J30" s="2"/>
      <c r="K30" s="2">
        <v>8.6999999999999993</v>
      </c>
      <c r="L30" s="2"/>
      <c r="N30" s="2" t="s">
        <v>94</v>
      </c>
      <c r="O30" s="56" t="s">
        <v>142</v>
      </c>
      <c r="P30" s="2" t="s">
        <v>85</v>
      </c>
      <c r="Q30" s="3">
        <v>90.350000000000009</v>
      </c>
      <c r="R30" s="3"/>
    </row>
    <row r="31" spans="1:18">
      <c r="A31" s="2"/>
      <c r="B31" s="2"/>
      <c r="C31" s="2">
        <v>2</v>
      </c>
      <c r="D31" s="2" t="s">
        <v>87</v>
      </c>
      <c r="E31" s="2">
        <v>72.36999999999999</v>
      </c>
      <c r="F31" s="2"/>
      <c r="G31" s="2"/>
      <c r="H31" s="2">
        <v>5.68</v>
      </c>
      <c r="I31" s="2"/>
      <c r="J31" s="2"/>
      <c r="K31" s="2">
        <v>2.9</v>
      </c>
      <c r="L31" s="2"/>
      <c r="N31" s="2" t="s">
        <v>94</v>
      </c>
      <c r="O31" s="56" t="s">
        <v>142</v>
      </c>
      <c r="P31" s="2" t="s">
        <v>87</v>
      </c>
      <c r="Q31" s="3">
        <v>80.949999999999989</v>
      </c>
      <c r="R31" s="3"/>
    </row>
    <row r="32" spans="1:18">
      <c r="A32" s="2"/>
      <c r="B32" s="2"/>
      <c r="C32" s="2">
        <v>2</v>
      </c>
      <c r="D32" s="2" t="s">
        <v>79</v>
      </c>
      <c r="E32" s="2">
        <v>66.86999999999999</v>
      </c>
      <c r="F32" s="2"/>
      <c r="G32" s="2"/>
      <c r="H32" s="2">
        <v>7.64</v>
      </c>
      <c r="I32" s="2"/>
      <c r="J32" s="2"/>
      <c r="K32" s="2">
        <v>5.9</v>
      </c>
      <c r="L32" s="2"/>
      <c r="N32" s="2" t="s">
        <v>94</v>
      </c>
      <c r="O32" s="56" t="s">
        <v>142</v>
      </c>
      <c r="P32" s="2" t="s">
        <v>79</v>
      </c>
      <c r="Q32" s="3">
        <v>80.41</v>
      </c>
      <c r="R32" s="3"/>
    </row>
    <row r="33" spans="1:18">
      <c r="A33" s="2"/>
      <c r="B33" s="2"/>
      <c r="C33" s="2">
        <v>2</v>
      </c>
      <c r="D33" s="2" t="s">
        <v>88</v>
      </c>
      <c r="E33" s="2">
        <v>42.84</v>
      </c>
      <c r="F33" s="2">
        <f>AVERAGE(E29:E33)</f>
        <v>63.011999999999986</v>
      </c>
      <c r="G33" s="2"/>
      <c r="H33" s="2">
        <v>5.24</v>
      </c>
      <c r="I33" s="2">
        <f>AVERAGE(H29:H33)</f>
        <v>7.2640000000000002</v>
      </c>
      <c r="J33" s="2"/>
      <c r="K33" s="4">
        <f>AVERAGE(K29:K32)</f>
        <v>5.2</v>
      </c>
      <c r="L33" s="2">
        <f>AVERAGE(K29:K33)</f>
        <v>5.2</v>
      </c>
      <c r="N33" s="2" t="s">
        <v>94</v>
      </c>
      <c r="O33" s="56" t="s">
        <v>142</v>
      </c>
      <c r="P33" s="2" t="s">
        <v>88</v>
      </c>
      <c r="Q33" s="3">
        <v>53.280000000000008</v>
      </c>
      <c r="R33" s="3"/>
    </row>
    <row r="34" spans="1:18">
      <c r="A34" s="2"/>
      <c r="B34" s="2"/>
      <c r="C34" s="2">
        <v>3</v>
      </c>
      <c r="D34" s="2" t="s">
        <v>83</v>
      </c>
      <c r="E34" s="2">
        <v>79.13</v>
      </c>
      <c r="F34" s="2"/>
      <c r="G34" s="2"/>
      <c r="H34" s="28">
        <v>10.11</v>
      </c>
      <c r="I34" s="2"/>
      <c r="J34" s="2"/>
      <c r="K34" s="2">
        <v>3.4</v>
      </c>
      <c r="L34" s="2"/>
      <c r="N34" s="2" t="s">
        <v>94</v>
      </c>
      <c r="O34" s="56" t="s">
        <v>92</v>
      </c>
      <c r="P34" s="2" t="s">
        <v>83</v>
      </c>
      <c r="Q34" s="3">
        <v>94.460000000000008</v>
      </c>
      <c r="R34" s="3"/>
    </row>
    <row r="35" spans="1:18">
      <c r="A35" s="2"/>
      <c r="B35" s="2"/>
      <c r="C35" s="2">
        <v>3</v>
      </c>
      <c r="D35" s="2" t="s">
        <v>85</v>
      </c>
      <c r="E35" s="2">
        <v>46.47</v>
      </c>
      <c r="F35" s="2"/>
      <c r="G35" s="2"/>
      <c r="H35" s="2">
        <v>2.79</v>
      </c>
      <c r="I35" s="2"/>
      <c r="J35" s="2"/>
      <c r="K35" s="2">
        <v>2.5</v>
      </c>
      <c r="L35" s="2"/>
      <c r="N35" s="2" t="s">
        <v>94</v>
      </c>
      <c r="O35" s="56" t="s">
        <v>92</v>
      </c>
      <c r="P35" s="2" t="s">
        <v>85</v>
      </c>
      <c r="Q35" s="3">
        <v>51.76</v>
      </c>
      <c r="R35" s="3"/>
    </row>
    <row r="36" spans="1:18">
      <c r="A36" s="2"/>
      <c r="B36" s="2"/>
      <c r="C36" s="2">
        <v>3</v>
      </c>
      <c r="D36" s="2" t="s">
        <v>87</v>
      </c>
      <c r="E36" s="2">
        <v>57.49</v>
      </c>
      <c r="F36" s="2"/>
      <c r="G36" s="2"/>
      <c r="H36" s="2">
        <v>5</v>
      </c>
      <c r="I36" s="2"/>
      <c r="J36" s="2"/>
      <c r="K36" s="2">
        <v>1.4</v>
      </c>
      <c r="L36" s="2"/>
      <c r="N36" s="2" t="s">
        <v>94</v>
      </c>
      <c r="O36" s="56" t="s">
        <v>92</v>
      </c>
      <c r="P36" s="2" t="s">
        <v>87</v>
      </c>
      <c r="Q36" s="3">
        <v>63.89</v>
      </c>
      <c r="R36" s="3"/>
    </row>
    <row r="37" spans="1:18">
      <c r="A37" s="2"/>
      <c r="B37" s="2"/>
      <c r="C37" s="2">
        <v>3</v>
      </c>
      <c r="D37" s="2" t="s">
        <v>79</v>
      </c>
      <c r="E37" s="2">
        <v>68.569999999999993</v>
      </c>
      <c r="F37" s="2"/>
      <c r="G37" s="2"/>
      <c r="H37" s="28">
        <v>7.14</v>
      </c>
      <c r="I37" s="2"/>
      <c r="J37" s="2"/>
      <c r="K37" s="2">
        <v>3.9</v>
      </c>
      <c r="L37" s="2"/>
      <c r="N37" s="2" t="s">
        <v>94</v>
      </c>
      <c r="O37" s="56" t="s">
        <v>92</v>
      </c>
      <c r="P37" s="2" t="s">
        <v>79</v>
      </c>
      <c r="Q37" s="3">
        <v>81.22</v>
      </c>
      <c r="R37" s="3"/>
    </row>
    <row r="38" spans="1:18">
      <c r="A38" s="2"/>
      <c r="B38" s="2"/>
      <c r="C38" s="2">
        <v>3</v>
      </c>
      <c r="D38" s="2" t="s">
        <v>88</v>
      </c>
      <c r="E38" s="2">
        <v>73.5</v>
      </c>
      <c r="F38" s="2">
        <f>AVERAGE(E34:E38)</f>
        <v>65.031999999999996</v>
      </c>
      <c r="G38" s="2"/>
      <c r="H38" s="28">
        <v>7.59</v>
      </c>
      <c r="I38" s="2">
        <f>AVERAGE(H34:H38)</f>
        <v>6.5259999999999989</v>
      </c>
      <c r="J38" s="2"/>
      <c r="K38" s="2">
        <v>3.9</v>
      </c>
      <c r="L38" s="2">
        <f>AVERAGE(K34:K38)</f>
        <v>3.0200000000000005</v>
      </c>
      <c r="N38" s="2" t="s">
        <v>94</v>
      </c>
      <c r="O38" s="56" t="s">
        <v>92</v>
      </c>
      <c r="P38" s="2" t="s">
        <v>88</v>
      </c>
      <c r="Q38" s="3">
        <v>86.22</v>
      </c>
      <c r="R38" s="3"/>
    </row>
    <row r="39" spans="1:18">
      <c r="A39" s="2"/>
      <c r="B39" s="2"/>
      <c r="C39" s="2">
        <v>4</v>
      </c>
      <c r="D39" s="2" t="s">
        <v>83</v>
      </c>
      <c r="E39" s="2">
        <v>67.47</v>
      </c>
      <c r="F39" s="2"/>
      <c r="G39" s="2"/>
      <c r="H39" s="28">
        <v>3.91</v>
      </c>
      <c r="I39" s="2"/>
      <c r="J39" s="2"/>
      <c r="K39" s="2">
        <v>4.2</v>
      </c>
      <c r="L39" s="2"/>
      <c r="N39" s="2" t="s">
        <v>94</v>
      </c>
      <c r="O39" s="56" t="s">
        <v>93</v>
      </c>
      <c r="P39" s="2" t="s">
        <v>83</v>
      </c>
      <c r="Q39" s="3">
        <v>76.87</v>
      </c>
      <c r="R39" s="3"/>
    </row>
    <row r="40" spans="1:18">
      <c r="A40" s="2"/>
      <c r="B40" s="2"/>
      <c r="C40" s="2">
        <v>4</v>
      </c>
      <c r="D40" s="2" t="s">
        <v>85</v>
      </c>
      <c r="E40" s="2">
        <v>48.190000000000005</v>
      </c>
      <c r="F40" s="2"/>
      <c r="G40" s="2"/>
      <c r="H40" s="2">
        <v>10.029999999999999</v>
      </c>
      <c r="I40" s="2"/>
      <c r="J40" s="2"/>
      <c r="K40" s="2">
        <v>5.0999999999999996</v>
      </c>
      <c r="L40" s="2"/>
      <c r="N40" s="2" t="s">
        <v>94</v>
      </c>
      <c r="O40" s="56" t="s">
        <v>93</v>
      </c>
      <c r="P40" s="2" t="s">
        <v>85</v>
      </c>
      <c r="Q40" s="3">
        <v>63.320000000000007</v>
      </c>
      <c r="R40" s="3"/>
    </row>
    <row r="41" spans="1:18">
      <c r="A41" s="2"/>
      <c r="B41" s="2"/>
      <c r="C41" s="2">
        <v>4</v>
      </c>
      <c r="D41" s="2" t="s">
        <v>87</v>
      </c>
      <c r="E41" s="2">
        <v>65.849999999999994</v>
      </c>
      <c r="F41" s="2"/>
      <c r="G41" s="2"/>
      <c r="H41" s="2">
        <v>7.03</v>
      </c>
      <c r="I41" s="2"/>
      <c r="J41" s="2"/>
      <c r="K41" s="2">
        <v>2.6</v>
      </c>
      <c r="L41" s="2"/>
      <c r="N41" s="2" t="s">
        <v>94</v>
      </c>
      <c r="O41" s="56" t="s">
        <v>93</v>
      </c>
      <c r="P41" s="2" t="s">
        <v>87</v>
      </c>
      <c r="Q41" s="3">
        <v>75.47999999999999</v>
      </c>
      <c r="R41" s="3"/>
    </row>
    <row r="42" spans="1:18">
      <c r="A42" s="2"/>
      <c r="B42" s="2"/>
      <c r="C42" s="2">
        <v>4</v>
      </c>
      <c r="D42" s="2" t="s">
        <v>79</v>
      </c>
      <c r="E42" s="2">
        <v>62.79</v>
      </c>
      <c r="F42" s="2"/>
      <c r="G42" s="2"/>
      <c r="H42" s="2">
        <v>6.27</v>
      </c>
      <c r="I42" s="2"/>
      <c r="J42" s="2"/>
      <c r="K42" s="2">
        <v>4.9000000000000004</v>
      </c>
      <c r="L42" s="2"/>
      <c r="N42" s="2" t="s">
        <v>94</v>
      </c>
      <c r="O42" s="56" t="s">
        <v>93</v>
      </c>
      <c r="P42" s="2" t="s">
        <v>79</v>
      </c>
      <c r="Q42" s="3">
        <v>73.960000000000008</v>
      </c>
      <c r="R42" s="3"/>
    </row>
    <row r="43" spans="1:18">
      <c r="A43" s="2"/>
      <c r="B43" s="2"/>
      <c r="C43" s="2">
        <v>4</v>
      </c>
      <c r="D43" s="2" t="s">
        <v>88</v>
      </c>
      <c r="E43" s="2">
        <v>62.390000000000008</v>
      </c>
      <c r="F43" s="2">
        <f>AVERAGE(E39:E43)</f>
        <v>61.338000000000001</v>
      </c>
      <c r="G43" s="2"/>
      <c r="H43" s="2">
        <v>5.1100000000000003</v>
      </c>
      <c r="I43" s="2">
        <f>AVERAGE(H39:H43)</f>
        <v>6.4700000000000006</v>
      </c>
      <c r="J43" s="2"/>
      <c r="K43" s="2">
        <v>3.1</v>
      </c>
      <c r="L43" s="2">
        <f>AVERAGE(K39:K43)</f>
        <v>3.9800000000000004</v>
      </c>
      <c r="N43" s="2" t="s">
        <v>94</v>
      </c>
      <c r="O43" s="56" t="s">
        <v>93</v>
      </c>
      <c r="P43" s="2" t="s">
        <v>88</v>
      </c>
      <c r="Q43" s="3">
        <v>70.600000000000009</v>
      </c>
      <c r="R43" s="3"/>
    </row>
    <row r="44" spans="1:18">
      <c r="A44" s="2" t="s">
        <v>78</v>
      </c>
      <c r="B44" s="2" t="s">
        <v>95</v>
      </c>
      <c r="C44" s="2">
        <v>1</v>
      </c>
      <c r="D44" s="2" t="s">
        <v>83</v>
      </c>
      <c r="E44" s="2">
        <v>84.649999999999991</v>
      </c>
      <c r="F44" s="2"/>
      <c r="G44" s="2"/>
      <c r="H44" s="2">
        <v>1.47</v>
      </c>
      <c r="I44" s="2"/>
      <c r="J44" s="2"/>
      <c r="K44" s="2">
        <v>2.5</v>
      </c>
      <c r="L44" s="2"/>
      <c r="N44" s="2" t="s">
        <v>95</v>
      </c>
      <c r="O44" s="56" t="s">
        <v>90</v>
      </c>
      <c r="P44" s="2" t="s">
        <v>83</v>
      </c>
      <c r="Q44" s="3">
        <v>88.61999999999999</v>
      </c>
      <c r="R44" s="3"/>
    </row>
    <row r="45" spans="1:18">
      <c r="A45" s="2"/>
      <c r="B45" s="2"/>
      <c r="C45" s="2">
        <v>1</v>
      </c>
      <c r="D45" s="2" t="s">
        <v>85</v>
      </c>
      <c r="E45" s="2">
        <v>85.97</v>
      </c>
      <c r="F45" s="2"/>
      <c r="G45" s="2"/>
      <c r="H45" s="2">
        <v>4.28</v>
      </c>
      <c r="I45" s="2"/>
      <c r="J45" s="2"/>
      <c r="K45" s="4">
        <f>AVERAGE(K44,K46:K48)</f>
        <v>4.9749999999999996</v>
      </c>
      <c r="L45" s="2"/>
      <c r="N45" s="2" t="s">
        <v>95</v>
      </c>
      <c r="O45" s="56" t="s">
        <v>90</v>
      </c>
      <c r="P45" s="2" t="s">
        <v>85</v>
      </c>
      <c r="Q45" s="3">
        <v>95.224999999999994</v>
      </c>
      <c r="R45" s="3"/>
    </row>
    <row r="46" spans="1:18">
      <c r="A46" s="2" t="s">
        <v>144</v>
      </c>
      <c r="B46" s="2"/>
      <c r="C46" s="2">
        <v>1</v>
      </c>
      <c r="D46" s="2" t="s">
        <v>87</v>
      </c>
      <c r="E46" s="2">
        <v>83.88</v>
      </c>
      <c r="F46" s="2"/>
      <c r="G46" s="2"/>
      <c r="H46" s="2">
        <v>3.2</v>
      </c>
      <c r="I46" s="2"/>
      <c r="J46" s="2"/>
      <c r="K46" s="2">
        <v>4.2</v>
      </c>
      <c r="L46" s="2"/>
      <c r="N46" s="2" t="s">
        <v>95</v>
      </c>
      <c r="O46" s="56" t="s">
        <v>90</v>
      </c>
      <c r="P46" s="2" t="s">
        <v>87</v>
      </c>
      <c r="Q46" s="3">
        <v>91.28</v>
      </c>
      <c r="R46" s="3"/>
    </row>
    <row r="47" spans="1:18">
      <c r="A47" s="2"/>
      <c r="B47" s="2"/>
      <c r="C47" s="2">
        <v>1</v>
      </c>
      <c r="D47" s="2" t="s">
        <v>79</v>
      </c>
      <c r="E47" s="2">
        <v>84.309999999999988</v>
      </c>
      <c r="F47" s="2"/>
      <c r="G47" s="2"/>
      <c r="H47" s="2">
        <v>4.13</v>
      </c>
      <c r="I47" s="2"/>
      <c r="J47" s="2"/>
      <c r="K47" s="2">
        <v>7.8</v>
      </c>
      <c r="L47" s="2"/>
      <c r="N47" s="2" t="s">
        <v>95</v>
      </c>
      <c r="O47" s="56" t="s">
        <v>90</v>
      </c>
      <c r="P47" s="2" t="s">
        <v>79</v>
      </c>
      <c r="Q47" s="3">
        <v>96.239999999999981</v>
      </c>
      <c r="R47" s="3"/>
    </row>
    <row r="48" spans="1:18">
      <c r="A48" s="2"/>
      <c r="B48" s="2"/>
      <c r="C48" s="2">
        <v>1</v>
      </c>
      <c r="D48" s="2" t="s">
        <v>88</v>
      </c>
      <c r="E48" s="2">
        <v>69.86999999999999</v>
      </c>
      <c r="F48" s="2">
        <f>AVERAGE(E44:E48)</f>
        <v>81.736000000000004</v>
      </c>
      <c r="G48" s="2"/>
      <c r="H48" s="2">
        <v>6.08</v>
      </c>
      <c r="I48" s="2">
        <f>AVERAGE(H44:H48)</f>
        <v>3.8319999999999994</v>
      </c>
      <c r="J48" s="2"/>
      <c r="K48" s="2">
        <v>5.4</v>
      </c>
      <c r="L48" s="2">
        <f>AVERAGE(K44:K48)</f>
        <v>4.9749999999999996</v>
      </c>
      <c r="N48" s="2" t="s">
        <v>95</v>
      </c>
      <c r="O48" s="56" t="s">
        <v>90</v>
      </c>
      <c r="P48" s="2" t="s">
        <v>88</v>
      </c>
      <c r="Q48" s="3">
        <v>81.349999999999994</v>
      </c>
      <c r="R48" s="3"/>
    </row>
    <row r="49" spans="1:18">
      <c r="A49" s="2"/>
      <c r="B49" s="2"/>
      <c r="C49" s="2">
        <v>2</v>
      </c>
      <c r="D49" s="2" t="s">
        <v>83</v>
      </c>
      <c r="E49" s="2">
        <v>80.83</v>
      </c>
      <c r="F49" s="2"/>
      <c r="G49" s="2"/>
      <c r="H49" s="2">
        <v>2.56</v>
      </c>
      <c r="I49" s="2"/>
      <c r="J49" s="2"/>
      <c r="K49" s="2">
        <v>4</v>
      </c>
      <c r="L49" s="2"/>
      <c r="N49" s="2" t="s">
        <v>95</v>
      </c>
      <c r="O49" s="56" t="s">
        <v>93</v>
      </c>
      <c r="P49" s="2" t="s">
        <v>83</v>
      </c>
      <c r="Q49" s="3">
        <v>87.39</v>
      </c>
      <c r="R49" s="3"/>
    </row>
    <row r="50" spans="1:18">
      <c r="A50" s="2"/>
      <c r="B50" s="2"/>
      <c r="C50" s="2">
        <v>2</v>
      </c>
      <c r="D50" s="2" t="s">
        <v>85</v>
      </c>
      <c r="E50" s="2">
        <v>90.289999999999992</v>
      </c>
      <c r="F50" s="2"/>
      <c r="G50" s="2"/>
      <c r="H50" s="2">
        <v>3.67</v>
      </c>
      <c r="I50" s="2"/>
      <c r="J50" s="2"/>
      <c r="K50" s="2">
        <v>2.6</v>
      </c>
      <c r="L50" s="2"/>
      <c r="N50" s="2" t="s">
        <v>95</v>
      </c>
      <c r="O50" s="56" t="s">
        <v>93</v>
      </c>
      <c r="P50" s="2" t="s">
        <v>85</v>
      </c>
      <c r="Q50" s="3">
        <v>96.559999999999988</v>
      </c>
      <c r="R50" s="3"/>
    </row>
    <row r="51" spans="1:18">
      <c r="A51" s="2"/>
      <c r="B51" s="2"/>
      <c r="C51" s="2">
        <v>2</v>
      </c>
      <c r="D51" s="2" t="s">
        <v>87</v>
      </c>
      <c r="E51" s="2">
        <v>71.86</v>
      </c>
      <c r="F51" s="2"/>
      <c r="G51" s="2"/>
      <c r="H51" s="2">
        <v>2.29</v>
      </c>
      <c r="I51" s="2"/>
      <c r="J51" s="2"/>
      <c r="K51" s="2">
        <v>2.1</v>
      </c>
      <c r="L51" s="2"/>
      <c r="N51" s="2" t="s">
        <v>95</v>
      </c>
      <c r="O51" s="56" t="s">
        <v>93</v>
      </c>
      <c r="P51" s="2" t="s">
        <v>87</v>
      </c>
      <c r="Q51" s="3">
        <v>76.25</v>
      </c>
      <c r="R51" s="3"/>
    </row>
    <row r="52" spans="1:18">
      <c r="A52" s="2"/>
      <c r="B52" s="2"/>
      <c r="C52" s="2">
        <v>2</v>
      </c>
      <c r="D52" s="2" t="s">
        <v>79</v>
      </c>
      <c r="E52" s="2">
        <v>76.11999999999999</v>
      </c>
      <c r="F52" s="2"/>
      <c r="G52" s="2"/>
      <c r="H52" s="2">
        <v>2.85</v>
      </c>
      <c r="I52" s="2"/>
      <c r="J52" s="2"/>
      <c r="K52" s="2">
        <v>2.2999999999999998</v>
      </c>
      <c r="L52" s="2"/>
      <c r="N52" s="2" t="s">
        <v>95</v>
      </c>
      <c r="O52" s="56" t="s">
        <v>93</v>
      </c>
      <c r="P52" s="2" t="s">
        <v>79</v>
      </c>
      <c r="Q52" s="3">
        <v>81.269999999999982</v>
      </c>
      <c r="R52" s="3"/>
    </row>
    <row r="53" spans="1:18">
      <c r="A53" s="2"/>
      <c r="B53" s="2"/>
      <c r="C53" s="2">
        <v>2</v>
      </c>
      <c r="D53" s="2" t="s">
        <v>88</v>
      </c>
      <c r="E53" s="2">
        <v>61.74</v>
      </c>
      <c r="F53" s="2">
        <f>AVERAGE(E49:E53)</f>
        <v>76.168000000000006</v>
      </c>
      <c r="G53" s="2"/>
      <c r="H53" s="2">
        <v>1.9</v>
      </c>
      <c r="I53" s="2">
        <f>AVERAGE(H49:H53)</f>
        <v>2.6539999999999999</v>
      </c>
      <c r="J53" s="2"/>
      <c r="K53" s="2">
        <v>2.2000000000000002</v>
      </c>
      <c r="L53" s="2">
        <f>AVERAGE(K49:K53)</f>
        <v>2.6399999999999997</v>
      </c>
      <c r="N53" s="2" t="s">
        <v>95</v>
      </c>
      <c r="O53" s="56" t="s">
        <v>93</v>
      </c>
      <c r="P53" s="2" t="s">
        <v>88</v>
      </c>
      <c r="Q53" s="3">
        <v>65.84</v>
      </c>
      <c r="R53" s="3"/>
    </row>
    <row r="54" spans="1:18">
      <c r="A54" s="2"/>
      <c r="B54" s="2"/>
      <c r="C54" s="2">
        <v>3</v>
      </c>
      <c r="D54" s="2" t="s">
        <v>83</v>
      </c>
      <c r="E54" s="2">
        <v>68.449999999999989</v>
      </c>
      <c r="F54" s="2"/>
      <c r="G54" s="2"/>
      <c r="H54" s="2">
        <v>1.95</v>
      </c>
      <c r="I54" s="2"/>
      <c r="J54" s="2"/>
      <c r="K54" s="2">
        <v>2.6</v>
      </c>
      <c r="L54" s="2"/>
      <c r="N54" s="2" t="s">
        <v>95</v>
      </c>
      <c r="O54" s="56" t="s">
        <v>142</v>
      </c>
      <c r="P54" s="2" t="s">
        <v>83</v>
      </c>
      <c r="Q54" s="3">
        <v>72.999999999999986</v>
      </c>
      <c r="R54" s="3"/>
    </row>
    <row r="55" spans="1:18">
      <c r="A55" s="2"/>
      <c r="B55" s="2"/>
      <c r="C55" s="2">
        <v>3</v>
      </c>
      <c r="D55" s="2" t="s">
        <v>85</v>
      </c>
      <c r="E55" s="2">
        <v>63.470000000000006</v>
      </c>
      <c r="F55" s="2"/>
      <c r="G55" s="2"/>
      <c r="H55" s="2">
        <v>2.19</v>
      </c>
      <c r="I55" s="2"/>
      <c r="J55" s="2"/>
      <c r="K55" s="2">
        <v>4</v>
      </c>
      <c r="L55" s="2"/>
      <c r="N55" s="2" t="s">
        <v>95</v>
      </c>
      <c r="O55" s="56" t="s">
        <v>142</v>
      </c>
      <c r="P55" s="2" t="s">
        <v>85</v>
      </c>
      <c r="Q55" s="3">
        <v>69.660000000000011</v>
      </c>
      <c r="R55" s="3"/>
    </row>
    <row r="56" spans="1:18">
      <c r="A56" s="2"/>
      <c r="B56" s="2"/>
      <c r="C56" s="2">
        <v>3</v>
      </c>
      <c r="D56" s="2" t="s">
        <v>87</v>
      </c>
      <c r="E56" s="2">
        <v>75.539999999999992</v>
      </c>
      <c r="F56" s="2"/>
      <c r="G56" s="2"/>
      <c r="H56" s="2">
        <v>3.34</v>
      </c>
      <c r="I56" s="2"/>
      <c r="J56" s="2"/>
      <c r="K56" s="2">
        <v>2.1</v>
      </c>
      <c r="L56" s="2"/>
      <c r="N56" s="2" t="s">
        <v>95</v>
      </c>
      <c r="O56" s="56" t="s">
        <v>142</v>
      </c>
      <c r="P56" s="2" t="s">
        <v>87</v>
      </c>
      <c r="Q56" s="3">
        <v>80.97999999999999</v>
      </c>
      <c r="R56" s="3"/>
    </row>
    <row r="57" spans="1:18">
      <c r="A57" s="2"/>
      <c r="B57" s="2"/>
      <c r="C57" s="2">
        <v>3</v>
      </c>
      <c r="D57" s="2" t="s">
        <v>79</v>
      </c>
      <c r="E57" s="2">
        <v>68.44</v>
      </c>
      <c r="F57" s="2"/>
      <c r="G57" s="2"/>
      <c r="H57" s="2">
        <v>3.59</v>
      </c>
      <c r="I57" s="2"/>
      <c r="J57" s="2"/>
      <c r="K57" s="2">
        <v>2</v>
      </c>
      <c r="L57" s="2"/>
      <c r="N57" s="2" t="s">
        <v>95</v>
      </c>
      <c r="O57" s="56" t="s">
        <v>142</v>
      </c>
      <c r="P57" s="2" t="s">
        <v>79</v>
      </c>
      <c r="Q57" s="3">
        <v>74.03</v>
      </c>
      <c r="R57" s="3"/>
    </row>
    <row r="58" spans="1:18">
      <c r="A58" s="2"/>
      <c r="B58" s="2"/>
      <c r="C58" s="2">
        <v>3</v>
      </c>
      <c r="D58" s="2" t="s">
        <v>88</v>
      </c>
      <c r="E58" s="2">
        <v>68.25</v>
      </c>
      <c r="F58" s="2">
        <f>AVERAGE(E54:E58)</f>
        <v>68.83</v>
      </c>
      <c r="G58" s="2"/>
      <c r="H58" s="2">
        <v>2.58</v>
      </c>
      <c r="I58" s="2">
        <f>AVERAGE(H54:H58)</f>
        <v>2.73</v>
      </c>
      <c r="J58" s="2"/>
      <c r="K58" s="2">
        <v>4.5</v>
      </c>
      <c r="L58" s="2">
        <f>AVERAGE(K54:K58)</f>
        <v>3.04</v>
      </c>
      <c r="N58" s="2" t="s">
        <v>95</v>
      </c>
      <c r="O58" s="56" t="s">
        <v>142</v>
      </c>
      <c r="P58" s="2" t="s">
        <v>88</v>
      </c>
      <c r="Q58" s="3">
        <v>75.33</v>
      </c>
      <c r="R58" s="3"/>
    </row>
    <row r="59" spans="1:18">
      <c r="A59" s="2"/>
      <c r="B59" s="2"/>
      <c r="C59" s="2">
        <v>4</v>
      </c>
      <c r="D59" s="2" t="s">
        <v>83</v>
      </c>
      <c r="E59" s="2">
        <v>57.470000000000006</v>
      </c>
      <c r="F59" s="2"/>
      <c r="G59" s="2"/>
      <c r="H59" s="2">
        <v>4.6500000000000004</v>
      </c>
      <c r="I59" s="2"/>
      <c r="J59" s="2"/>
      <c r="K59" s="2">
        <v>1.3</v>
      </c>
      <c r="L59" s="2"/>
      <c r="N59" s="2" t="s">
        <v>95</v>
      </c>
      <c r="O59" s="56" t="s">
        <v>92</v>
      </c>
      <c r="P59" s="2" t="s">
        <v>83</v>
      </c>
      <c r="Q59" s="3">
        <v>63.42</v>
      </c>
      <c r="R59" s="3"/>
    </row>
    <row r="60" spans="1:18">
      <c r="A60" s="2"/>
      <c r="B60" s="2"/>
      <c r="C60" s="2">
        <v>4</v>
      </c>
      <c r="D60" s="2" t="s">
        <v>85</v>
      </c>
      <c r="E60" s="2">
        <v>68.11999999999999</v>
      </c>
      <c r="F60" s="2"/>
      <c r="G60" s="2"/>
      <c r="H60" s="2">
        <v>7.99</v>
      </c>
      <c r="I60" s="2"/>
      <c r="J60" s="2"/>
      <c r="K60" s="2">
        <v>3.2</v>
      </c>
      <c r="L60" s="2"/>
      <c r="N60" s="2" t="s">
        <v>95</v>
      </c>
      <c r="O60" s="56" t="s">
        <v>92</v>
      </c>
      <c r="P60" s="2" t="s">
        <v>85</v>
      </c>
      <c r="Q60" s="3">
        <v>79.309999999999988</v>
      </c>
      <c r="R60" s="3"/>
    </row>
    <row r="61" spans="1:18">
      <c r="A61" s="2"/>
      <c r="B61" s="2"/>
      <c r="C61" s="2">
        <v>4</v>
      </c>
      <c r="D61" s="2" t="s">
        <v>87</v>
      </c>
      <c r="E61" s="2">
        <v>45.36</v>
      </c>
      <c r="F61" s="2"/>
      <c r="G61" s="2"/>
      <c r="H61" s="2">
        <v>8.67</v>
      </c>
      <c r="I61" s="2"/>
      <c r="J61" s="2"/>
      <c r="K61" s="4">
        <f>AVERAGE(K62:K63,K59:K60)</f>
        <v>3.125</v>
      </c>
      <c r="L61" s="2"/>
      <c r="N61" s="2" t="s">
        <v>95</v>
      </c>
      <c r="O61" s="56" t="s">
        <v>92</v>
      </c>
      <c r="P61" s="2" t="s">
        <v>87</v>
      </c>
      <c r="Q61" s="3">
        <v>57.155000000000001</v>
      </c>
      <c r="R61" s="3"/>
    </row>
    <row r="62" spans="1:18">
      <c r="A62" s="2"/>
      <c r="B62" s="2"/>
      <c r="C62" s="2">
        <v>4</v>
      </c>
      <c r="D62" s="2" t="s">
        <v>79</v>
      </c>
      <c r="E62" s="2">
        <v>66.039999999999992</v>
      </c>
      <c r="F62" s="2"/>
      <c r="G62" s="2"/>
      <c r="H62" s="2">
        <v>4.8499999999999996</v>
      </c>
      <c r="I62" s="2"/>
      <c r="J62" s="2"/>
      <c r="K62" s="2">
        <v>4.0999999999999996</v>
      </c>
      <c r="L62" s="2"/>
      <c r="N62" s="2" t="s">
        <v>95</v>
      </c>
      <c r="O62" s="56" t="s">
        <v>92</v>
      </c>
      <c r="P62" s="2" t="s">
        <v>79</v>
      </c>
      <c r="Q62" s="3">
        <v>74.989999999999981</v>
      </c>
      <c r="R62" s="3"/>
    </row>
    <row r="63" spans="1:18">
      <c r="A63" s="2"/>
      <c r="B63" s="2"/>
      <c r="C63" s="2">
        <v>4</v>
      </c>
      <c r="D63" s="2" t="s">
        <v>88</v>
      </c>
      <c r="E63" s="2">
        <v>62.169999999999995</v>
      </c>
      <c r="F63" s="2">
        <f>AVERAGE(E59:E63)</f>
        <v>59.831999999999994</v>
      </c>
      <c r="G63" s="2"/>
      <c r="H63" s="2">
        <v>4.8600000000000003</v>
      </c>
      <c r="I63" s="2">
        <f>AVERAGE(H59:H63)</f>
        <v>6.2040000000000006</v>
      </c>
      <c r="J63" s="2"/>
      <c r="K63" s="2">
        <v>3.9</v>
      </c>
      <c r="L63" s="2">
        <f>AVERAGE(K59:K63)</f>
        <v>3.125</v>
      </c>
      <c r="N63" s="2" t="s">
        <v>95</v>
      </c>
      <c r="O63" s="56" t="s">
        <v>92</v>
      </c>
      <c r="P63" s="2" t="s">
        <v>88</v>
      </c>
      <c r="Q63" s="3">
        <v>70.930000000000007</v>
      </c>
      <c r="R63" s="3"/>
    </row>
    <row r="64" spans="1:18">
      <c r="A64" s="2" t="s">
        <v>78</v>
      </c>
      <c r="B64" s="2" t="s">
        <v>101</v>
      </c>
      <c r="C64" s="2">
        <v>1</v>
      </c>
      <c r="D64" s="2" t="s">
        <v>83</v>
      </c>
      <c r="E64" s="2">
        <v>65.75</v>
      </c>
      <c r="F64" s="2"/>
      <c r="G64" s="2"/>
      <c r="H64" s="2">
        <v>7.56</v>
      </c>
      <c r="I64" s="2"/>
      <c r="J64" s="2"/>
      <c r="K64" s="2">
        <v>7.6</v>
      </c>
      <c r="L64" s="2"/>
      <c r="N64" s="2" t="s">
        <v>101</v>
      </c>
      <c r="O64" s="56" t="s">
        <v>90</v>
      </c>
      <c r="P64" s="2" t="s">
        <v>83</v>
      </c>
      <c r="Q64" s="3">
        <v>80.91</v>
      </c>
      <c r="R64" s="3"/>
    </row>
    <row r="65" spans="1:18">
      <c r="A65" s="2"/>
      <c r="B65" s="2"/>
      <c r="C65" s="2">
        <v>1</v>
      </c>
      <c r="D65" s="2" t="s">
        <v>85</v>
      </c>
      <c r="E65" s="2">
        <v>82.5</v>
      </c>
      <c r="F65" s="2"/>
      <c r="G65" s="2"/>
      <c r="H65" s="2">
        <v>5.88</v>
      </c>
      <c r="I65" s="2"/>
      <c r="J65" s="2"/>
      <c r="K65" s="2">
        <v>10.4</v>
      </c>
      <c r="L65" s="2"/>
      <c r="N65" s="2" t="s">
        <v>101</v>
      </c>
      <c r="O65" s="56" t="s">
        <v>90</v>
      </c>
      <c r="P65" s="2" t="s">
        <v>85</v>
      </c>
      <c r="Q65" s="3">
        <v>98.78</v>
      </c>
      <c r="R65" s="3"/>
    </row>
    <row r="66" spans="1:18">
      <c r="A66" s="2" t="s">
        <v>145</v>
      </c>
      <c r="B66" s="2"/>
      <c r="C66" s="2">
        <v>1</v>
      </c>
      <c r="D66" s="2" t="s">
        <v>87</v>
      </c>
      <c r="E66" s="2">
        <v>68.72</v>
      </c>
      <c r="F66" s="2"/>
      <c r="G66" s="2"/>
      <c r="H66" s="2">
        <v>7.05</v>
      </c>
      <c r="I66" s="2"/>
      <c r="J66" s="2"/>
      <c r="K66" s="2">
        <v>6.1</v>
      </c>
      <c r="L66" s="2"/>
      <c r="N66" s="2" t="s">
        <v>101</v>
      </c>
      <c r="O66" s="56" t="s">
        <v>90</v>
      </c>
      <c r="P66" s="2" t="s">
        <v>87</v>
      </c>
      <c r="Q66" s="3">
        <v>81.86999999999999</v>
      </c>
      <c r="R66" s="3"/>
    </row>
    <row r="67" spans="1:18">
      <c r="A67" s="2"/>
      <c r="B67" s="2"/>
      <c r="C67" s="2">
        <v>1</v>
      </c>
      <c r="D67" s="2" t="s">
        <v>79</v>
      </c>
      <c r="E67" s="2">
        <v>69.809999999999988</v>
      </c>
      <c r="F67" s="2"/>
      <c r="G67" s="2"/>
      <c r="H67" s="2">
        <v>7.52</v>
      </c>
      <c r="I67" s="2"/>
      <c r="J67" s="2"/>
      <c r="K67" s="2">
        <v>3.2</v>
      </c>
      <c r="L67" s="2"/>
      <c r="N67" s="2" t="s">
        <v>101</v>
      </c>
      <c r="O67" s="56" t="s">
        <v>90</v>
      </c>
      <c r="P67" s="2" t="s">
        <v>79</v>
      </c>
      <c r="Q67" s="3">
        <v>80.529999999999987</v>
      </c>
      <c r="R67" s="3"/>
    </row>
    <row r="68" spans="1:18">
      <c r="A68" s="2"/>
      <c r="B68" s="2"/>
      <c r="C68" s="2">
        <v>1</v>
      </c>
      <c r="D68" s="2" t="s">
        <v>88</v>
      </c>
      <c r="E68" s="2">
        <v>76.19</v>
      </c>
      <c r="F68" s="2">
        <f>AVERAGE(E64:E68)</f>
        <v>72.593999999999994</v>
      </c>
      <c r="G68" s="2"/>
      <c r="H68" s="2">
        <v>5.69</v>
      </c>
      <c r="I68" s="2">
        <f>AVERAGE(H64:H68)</f>
        <v>6.7399999999999993</v>
      </c>
      <c r="J68" s="2"/>
      <c r="K68" s="2">
        <v>6.6</v>
      </c>
      <c r="L68" s="2">
        <f>AVERAGE(K64:K68)</f>
        <v>6.7799999999999994</v>
      </c>
      <c r="N68" s="2" t="s">
        <v>101</v>
      </c>
      <c r="O68" s="56" t="s">
        <v>90</v>
      </c>
      <c r="P68" s="2" t="s">
        <v>88</v>
      </c>
      <c r="Q68" s="3">
        <v>88.47999999999999</v>
      </c>
      <c r="R68" s="3"/>
    </row>
    <row r="69" spans="1:18">
      <c r="A69" s="2"/>
      <c r="B69" s="2"/>
      <c r="C69" s="2">
        <v>2</v>
      </c>
      <c r="D69" s="2" t="s">
        <v>83</v>
      </c>
      <c r="E69" s="2">
        <v>65.05</v>
      </c>
      <c r="F69" s="2"/>
      <c r="G69" s="2"/>
      <c r="H69" s="2">
        <v>5.59</v>
      </c>
      <c r="I69" s="2"/>
      <c r="J69" s="2"/>
      <c r="K69" s="2">
        <v>7.7</v>
      </c>
      <c r="L69" s="2"/>
      <c r="N69" s="2" t="s">
        <v>101</v>
      </c>
      <c r="O69" s="56" t="s">
        <v>142</v>
      </c>
      <c r="P69" s="2" t="s">
        <v>83</v>
      </c>
      <c r="Q69" s="3">
        <v>78.34</v>
      </c>
      <c r="R69" s="3"/>
    </row>
    <row r="70" spans="1:18">
      <c r="A70" s="2"/>
      <c r="B70" s="2"/>
      <c r="C70" s="2">
        <v>2</v>
      </c>
      <c r="D70" s="2" t="s">
        <v>85</v>
      </c>
      <c r="E70" s="2">
        <v>59.830000000000005</v>
      </c>
      <c r="F70" s="2"/>
      <c r="G70" s="2"/>
      <c r="H70" s="2">
        <v>7.29</v>
      </c>
      <c r="I70" s="2"/>
      <c r="J70" s="2"/>
      <c r="K70" s="2">
        <v>3.7</v>
      </c>
      <c r="L70" s="2"/>
      <c r="N70" s="2" t="s">
        <v>101</v>
      </c>
      <c r="O70" s="56" t="s">
        <v>142</v>
      </c>
      <c r="P70" s="2" t="s">
        <v>85</v>
      </c>
      <c r="Q70" s="3">
        <v>70.820000000000007</v>
      </c>
      <c r="R70" s="3"/>
    </row>
    <row r="71" spans="1:18">
      <c r="A71" s="2"/>
      <c r="B71" s="2"/>
      <c r="C71" s="2">
        <v>2</v>
      </c>
      <c r="D71" s="2" t="s">
        <v>87</v>
      </c>
      <c r="E71" s="2">
        <v>65.959999999999994</v>
      </c>
      <c r="F71" s="2"/>
      <c r="G71" s="2"/>
      <c r="H71" s="2">
        <v>4.1900000000000004</v>
      </c>
      <c r="I71" s="2"/>
      <c r="J71" s="2"/>
      <c r="K71" s="2">
        <v>4.5</v>
      </c>
      <c r="L71" s="2"/>
      <c r="N71" s="2" t="s">
        <v>101</v>
      </c>
      <c r="O71" s="56" t="s">
        <v>142</v>
      </c>
      <c r="P71" s="2" t="s">
        <v>87</v>
      </c>
      <c r="Q71" s="3">
        <v>74.649999999999991</v>
      </c>
      <c r="R71" s="3"/>
    </row>
    <row r="72" spans="1:18">
      <c r="A72" s="2"/>
      <c r="B72" s="2"/>
      <c r="C72" s="2">
        <v>2</v>
      </c>
      <c r="D72" s="2" t="s">
        <v>79</v>
      </c>
      <c r="E72" s="2">
        <v>65.039999999999992</v>
      </c>
      <c r="F72" s="2"/>
      <c r="G72" s="2"/>
      <c r="H72" s="2">
        <v>7.61</v>
      </c>
      <c r="I72" s="2"/>
      <c r="J72" s="2"/>
      <c r="K72" s="2">
        <v>3.8</v>
      </c>
      <c r="L72" s="2"/>
      <c r="N72" s="2" t="s">
        <v>101</v>
      </c>
      <c r="O72" s="56" t="s">
        <v>142</v>
      </c>
      <c r="P72" s="2" t="s">
        <v>79</v>
      </c>
      <c r="Q72" s="3">
        <v>76.449999999999989</v>
      </c>
      <c r="R72" s="3"/>
    </row>
    <row r="73" spans="1:18">
      <c r="A73" s="2"/>
      <c r="B73" s="2"/>
      <c r="C73" s="2">
        <v>2</v>
      </c>
      <c r="D73" s="2" t="s">
        <v>88</v>
      </c>
      <c r="E73" s="2">
        <v>85.929999999999993</v>
      </c>
      <c r="F73" s="2">
        <f>AVERAGE(E69:E73)</f>
        <v>68.361999999999995</v>
      </c>
      <c r="G73" s="2"/>
      <c r="H73" s="2">
        <v>10.99</v>
      </c>
      <c r="I73" s="2">
        <f>AVERAGE(H69:H73)</f>
        <v>7.1340000000000003</v>
      </c>
      <c r="J73" s="2"/>
      <c r="K73" s="2">
        <v>4.2</v>
      </c>
      <c r="L73" s="2">
        <f>AVERAGE(K69:K73)</f>
        <v>4.7799999999999994</v>
      </c>
      <c r="N73" s="2" t="s">
        <v>101</v>
      </c>
      <c r="O73" s="56" t="s">
        <v>142</v>
      </c>
      <c r="P73" s="2" t="s">
        <v>88</v>
      </c>
      <c r="Q73" s="3">
        <v>101.11999999999999</v>
      </c>
      <c r="R73" s="3"/>
    </row>
    <row r="74" spans="1:18">
      <c r="A74" s="2"/>
      <c r="B74" s="2"/>
      <c r="C74" s="2">
        <v>3</v>
      </c>
      <c r="D74" s="2" t="s">
        <v>83</v>
      </c>
      <c r="E74" s="2">
        <v>69.89</v>
      </c>
      <c r="F74" s="2"/>
      <c r="G74" s="2"/>
      <c r="H74" s="2">
        <v>5.69</v>
      </c>
      <c r="I74" s="2"/>
      <c r="J74" s="2"/>
      <c r="K74" s="2">
        <v>1.5</v>
      </c>
      <c r="L74" s="2"/>
      <c r="N74" s="2" t="s">
        <v>101</v>
      </c>
      <c r="O74" s="56" t="s">
        <v>93</v>
      </c>
      <c r="P74" s="2" t="s">
        <v>83</v>
      </c>
      <c r="Q74" s="3">
        <v>77.08</v>
      </c>
      <c r="R74" s="3"/>
    </row>
    <row r="75" spans="1:18">
      <c r="A75" s="2"/>
      <c r="B75" s="2"/>
      <c r="C75" s="2">
        <v>3</v>
      </c>
      <c r="D75" s="2" t="s">
        <v>85</v>
      </c>
      <c r="E75" s="2">
        <v>58.35</v>
      </c>
      <c r="F75" s="2"/>
      <c r="G75" s="2"/>
      <c r="H75" s="2">
        <v>10.11</v>
      </c>
      <c r="I75" s="2"/>
      <c r="J75" s="2"/>
      <c r="K75" s="2">
        <v>3.4</v>
      </c>
      <c r="L75" s="2"/>
      <c r="N75" s="2" t="s">
        <v>101</v>
      </c>
      <c r="O75" s="56" t="s">
        <v>93</v>
      </c>
      <c r="P75" s="2" t="s">
        <v>85</v>
      </c>
      <c r="Q75" s="3">
        <v>71.860000000000014</v>
      </c>
      <c r="R75" s="3"/>
    </row>
    <row r="76" spans="1:18">
      <c r="A76" s="2"/>
      <c r="B76" s="2"/>
      <c r="C76" s="2">
        <v>3</v>
      </c>
      <c r="D76" s="2" t="s">
        <v>87</v>
      </c>
      <c r="E76" s="2">
        <v>76.569999999999993</v>
      </c>
      <c r="F76" s="2"/>
      <c r="G76" s="2"/>
      <c r="H76" s="2">
        <v>8.23</v>
      </c>
      <c r="I76" s="2"/>
      <c r="J76" s="2"/>
      <c r="K76" s="2">
        <v>4.0999999999999996</v>
      </c>
      <c r="L76" s="2"/>
      <c r="N76" s="2" t="s">
        <v>101</v>
      </c>
      <c r="O76" s="56" t="s">
        <v>93</v>
      </c>
      <c r="P76" s="2" t="s">
        <v>87</v>
      </c>
      <c r="Q76" s="3">
        <v>88.899999999999991</v>
      </c>
      <c r="R76" s="3"/>
    </row>
    <row r="77" spans="1:18">
      <c r="A77" s="2"/>
      <c r="B77" s="2"/>
      <c r="C77" s="2">
        <v>3</v>
      </c>
      <c r="D77" s="2" t="s">
        <v>79</v>
      </c>
      <c r="E77" s="2">
        <v>84.97999999999999</v>
      </c>
      <c r="F77" s="2"/>
      <c r="G77" s="2"/>
      <c r="H77" s="2">
        <v>8.19</v>
      </c>
      <c r="I77" s="2"/>
      <c r="J77" s="2"/>
      <c r="K77" s="2">
        <v>4.2</v>
      </c>
      <c r="L77" s="2"/>
      <c r="N77" s="2" t="s">
        <v>101</v>
      </c>
      <c r="O77" s="56" t="s">
        <v>93</v>
      </c>
      <c r="P77" s="2" t="s">
        <v>79</v>
      </c>
      <c r="Q77" s="3">
        <v>97.36999999999999</v>
      </c>
      <c r="R77" s="3"/>
    </row>
    <row r="78" spans="1:18">
      <c r="A78" s="2"/>
      <c r="B78" s="2"/>
      <c r="C78" s="2">
        <v>3</v>
      </c>
      <c r="D78" s="2" t="s">
        <v>88</v>
      </c>
      <c r="E78" s="2">
        <v>74.679999999999993</v>
      </c>
      <c r="F78" s="2">
        <f>AVERAGE(E74:E78)</f>
        <v>72.893999999999991</v>
      </c>
      <c r="G78" s="2"/>
      <c r="H78" s="2">
        <v>8.18</v>
      </c>
      <c r="I78" s="2">
        <f>AVERAGE(H74:H78)</f>
        <v>8.08</v>
      </c>
      <c r="J78" s="2"/>
      <c r="K78" s="2">
        <v>2.5</v>
      </c>
      <c r="L78" s="2">
        <f>AVERAGE(K74:K78)</f>
        <v>3.1399999999999997</v>
      </c>
      <c r="N78" s="2" t="s">
        <v>101</v>
      </c>
      <c r="O78" s="56" t="s">
        <v>93</v>
      </c>
      <c r="P78" s="2" t="s">
        <v>88</v>
      </c>
      <c r="Q78" s="3">
        <v>85.359999999999985</v>
      </c>
      <c r="R78" s="3"/>
    </row>
    <row r="79" spans="1:18">
      <c r="A79" s="2"/>
      <c r="B79" s="2"/>
      <c r="C79" s="2">
        <v>4</v>
      </c>
      <c r="D79" s="2" t="s">
        <v>83</v>
      </c>
      <c r="E79" s="2">
        <v>61.530000000000008</v>
      </c>
      <c r="F79" s="2"/>
      <c r="G79" s="2"/>
      <c r="H79" s="2">
        <v>3.78</v>
      </c>
      <c r="I79" s="2"/>
      <c r="J79" s="2"/>
      <c r="K79" s="2">
        <v>3</v>
      </c>
      <c r="L79" s="2"/>
      <c r="N79" s="2" t="s">
        <v>101</v>
      </c>
      <c r="O79" s="56" t="s">
        <v>92</v>
      </c>
      <c r="P79" s="2" t="s">
        <v>83</v>
      </c>
      <c r="Q79" s="3">
        <v>68.31</v>
      </c>
      <c r="R79" s="3"/>
    </row>
    <row r="80" spans="1:18">
      <c r="A80" s="2"/>
      <c r="B80" s="2"/>
      <c r="C80" s="2">
        <v>4</v>
      </c>
      <c r="D80" s="2" t="s">
        <v>85</v>
      </c>
      <c r="E80" s="2">
        <v>71.429999999999993</v>
      </c>
      <c r="F80" s="2"/>
      <c r="G80" s="2"/>
      <c r="H80" s="2">
        <v>8.2100000000000009</v>
      </c>
      <c r="I80" s="2"/>
      <c r="J80" s="2"/>
      <c r="K80" s="2">
        <v>2.2000000000000002</v>
      </c>
      <c r="L80" s="2"/>
      <c r="N80" s="2" t="s">
        <v>101</v>
      </c>
      <c r="O80" s="56" t="s">
        <v>92</v>
      </c>
      <c r="P80" s="2" t="s">
        <v>85</v>
      </c>
      <c r="Q80" s="3">
        <v>81.839999999999989</v>
      </c>
      <c r="R80" s="3"/>
    </row>
    <row r="81" spans="1:18">
      <c r="A81" s="2"/>
      <c r="B81" s="2"/>
      <c r="C81" s="2">
        <v>4</v>
      </c>
      <c r="D81" s="2" t="s">
        <v>87</v>
      </c>
      <c r="E81" s="2">
        <v>92.03</v>
      </c>
      <c r="F81" s="2"/>
      <c r="G81" s="2"/>
      <c r="H81" s="2">
        <v>4.99</v>
      </c>
      <c r="I81" s="2"/>
      <c r="J81" s="2"/>
      <c r="K81" s="2">
        <v>3.7</v>
      </c>
      <c r="L81" s="2"/>
      <c r="N81" s="2" t="s">
        <v>101</v>
      </c>
      <c r="O81" s="56" t="s">
        <v>92</v>
      </c>
      <c r="P81" s="2" t="s">
        <v>87</v>
      </c>
      <c r="Q81" s="3">
        <v>100.72</v>
      </c>
      <c r="R81" s="3"/>
    </row>
    <row r="82" spans="1:18">
      <c r="A82" s="2"/>
      <c r="B82" s="2"/>
      <c r="C82" s="2">
        <v>4</v>
      </c>
      <c r="D82" s="2" t="s">
        <v>79</v>
      </c>
      <c r="E82" s="2">
        <v>60.87</v>
      </c>
      <c r="F82" s="2"/>
      <c r="G82" s="2"/>
      <c r="H82" s="2">
        <v>5.21</v>
      </c>
      <c r="I82" s="2"/>
      <c r="J82" s="2"/>
      <c r="K82" s="2">
        <v>2</v>
      </c>
      <c r="L82" s="2"/>
      <c r="N82" s="2" t="s">
        <v>101</v>
      </c>
      <c r="O82" s="56" t="s">
        <v>92</v>
      </c>
      <c r="P82" s="2" t="s">
        <v>79</v>
      </c>
      <c r="Q82" s="3">
        <v>68.08</v>
      </c>
      <c r="R82" s="3"/>
    </row>
    <row r="83" spans="1:18">
      <c r="A83" s="2"/>
      <c r="B83" s="2"/>
      <c r="C83" s="2">
        <v>4</v>
      </c>
      <c r="D83" s="2" t="s">
        <v>88</v>
      </c>
      <c r="E83" s="2">
        <v>95.679999999999993</v>
      </c>
      <c r="F83" s="2">
        <f>AVERAGE(E79:E83)</f>
        <v>76.308000000000007</v>
      </c>
      <c r="G83" s="2"/>
      <c r="H83" s="2">
        <v>11.96</v>
      </c>
      <c r="I83" s="2">
        <f>AVERAGE(H79:H83)</f>
        <v>6.830000000000001</v>
      </c>
      <c r="J83" s="2"/>
      <c r="K83" s="2">
        <v>8.4</v>
      </c>
      <c r="L83" s="2">
        <f>AVERAGE(K79:K83)</f>
        <v>3.8600000000000003</v>
      </c>
      <c r="N83" s="2" t="s">
        <v>101</v>
      </c>
      <c r="O83" s="56" t="s">
        <v>92</v>
      </c>
      <c r="P83" s="2" t="s">
        <v>88</v>
      </c>
      <c r="Q83" s="3">
        <v>116.03999999999999</v>
      </c>
      <c r="R83" s="3"/>
    </row>
    <row r="84" spans="1:18">
      <c r="A84" s="2" t="s">
        <v>78</v>
      </c>
      <c r="B84" s="2" t="s">
        <v>102</v>
      </c>
      <c r="C84" s="2">
        <v>1</v>
      </c>
      <c r="D84" s="2" t="s">
        <v>83</v>
      </c>
      <c r="E84" s="2">
        <v>72.059999999999988</v>
      </c>
      <c r="F84" s="2"/>
      <c r="G84" s="2"/>
      <c r="H84" s="2">
        <v>9.73</v>
      </c>
      <c r="I84" s="2"/>
      <c r="J84" s="2"/>
      <c r="K84" s="2">
        <v>3.1</v>
      </c>
      <c r="L84" s="2"/>
      <c r="N84" s="2" t="s">
        <v>102</v>
      </c>
      <c r="O84" s="56" t="s">
        <v>93</v>
      </c>
      <c r="P84" s="2" t="s">
        <v>83</v>
      </c>
      <c r="Q84" s="3">
        <v>84.889999999999986</v>
      </c>
      <c r="R84" s="3"/>
    </row>
    <row r="85" spans="1:18">
      <c r="A85" s="2"/>
      <c r="B85" s="2"/>
      <c r="C85" s="2">
        <v>1</v>
      </c>
      <c r="D85" s="2" t="s">
        <v>85</v>
      </c>
      <c r="E85" s="2">
        <v>57.440000000000005</v>
      </c>
      <c r="F85" s="2"/>
      <c r="G85" s="2"/>
      <c r="H85" s="2">
        <v>11.08</v>
      </c>
      <c r="I85" s="2"/>
      <c r="J85" s="2"/>
      <c r="K85" s="2">
        <v>5.6999999999999993</v>
      </c>
      <c r="L85" s="2"/>
      <c r="N85" s="2" t="s">
        <v>102</v>
      </c>
      <c r="O85" s="56" t="s">
        <v>93</v>
      </c>
      <c r="P85" s="2" t="s">
        <v>85</v>
      </c>
      <c r="Q85" s="3">
        <v>74.220000000000013</v>
      </c>
      <c r="R85" s="3"/>
    </row>
    <row r="86" spans="1:18">
      <c r="A86" s="2" t="s">
        <v>146</v>
      </c>
      <c r="B86" s="2"/>
      <c r="C86" s="2">
        <v>1</v>
      </c>
      <c r="D86" s="2" t="s">
        <v>87</v>
      </c>
      <c r="E86" s="2">
        <v>52.24</v>
      </c>
      <c r="F86" s="2"/>
      <c r="G86" s="2"/>
      <c r="H86" s="2">
        <v>9.9</v>
      </c>
      <c r="I86" s="2"/>
      <c r="J86" s="2"/>
      <c r="K86" s="4">
        <f>AVERAGE(K87:K88,K84:K85)</f>
        <v>4.75</v>
      </c>
      <c r="L86" s="2"/>
      <c r="N86" s="2" t="s">
        <v>102</v>
      </c>
      <c r="O86" s="56" t="s">
        <v>93</v>
      </c>
      <c r="P86" s="2" t="s">
        <v>87</v>
      </c>
      <c r="Q86" s="3">
        <v>66.89</v>
      </c>
      <c r="R86" s="3"/>
    </row>
    <row r="87" spans="1:18">
      <c r="A87" s="2"/>
      <c r="B87" s="2"/>
      <c r="C87" s="2">
        <v>1</v>
      </c>
      <c r="D87" s="2" t="s">
        <v>79</v>
      </c>
      <c r="E87" s="2">
        <v>57.339999999999996</v>
      </c>
      <c r="F87" s="2"/>
      <c r="G87" s="2"/>
      <c r="H87" s="21">
        <v>12.86</v>
      </c>
      <c r="I87" s="2"/>
      <c r="J87" s="2"/>
      <c r="K87" s="2">
        <v>2.2999999999999998</v>
      </c>
      <c r="L87" s="2"/>
      <c r="N87" s="2" t="s">
        <v>102</v>
      </c>
      <c r="O87" s="56" t="s">
        <v>93</v>
      </c>
      <c r="P87" s="2" t="s">
        <v>79</v>
      </c>
      <c r="Q87" s="3">
        <v>72.959999999999994</v>
      </c>
      <c r="R87" s="3"/>
    </row>
    <row r="88" spans="1:18">
      <c r="A88" s="2"/>
      <c r="B88" s="2"/>
      <c r="C88" s="2">
        <v>1</v>
      </c>
      <c r="D88" s="2" t="s">
        <v>88</v>
      </c>
      <c r="E88" s="2">
        <v>62.800000000000004</v>
      </c>
      <c r="F88" s="2">
        <f>AVERAGE(E84:E88)</f>
        <v>60.375999999999998</v>
      </c>
      <c r="G88" s="2"/>
      <c r="H88" s="21">
        <v>7.48</v>
      </c>
      <c r="I88" s="2">
        <f>AVERAGE(H84:H88)</f>
        <v>10.209999999999999</v>
      </c>
      <c r="J88" s="2"/>
      <c r="K88" s="2">
        <v>7.9</v>
      </c>
      <c r="L88" s="2">
        <f>AVERAGE(K84:K88)</f>
        <v>4.75</v>
      </c>
      <c r="N88" s="2" t="s">
        <v>102</v>
      </c>
      <c r="O88" s="56" t="s">
        <v>93</v>
      </c>
      <c r="P88" s="2" t="s">
        <v>88</v>
      </c>
      <c r="Q88" s="3">
        <v>79.27000000000001</v>
      </c>
      <c r="R88" s="3"/>
    </row>
    <row r="89" spans="1:18">
      <c r="A89" s="2"/>
      <c r="B89" s="2"/>
      <c r="C89" s="2">
        <v>2</v>
      </c>
      <c r="D89" s="2" t="s">
        <v>83</v>
      </c>
      <c r="E89" s="2">
        <v>45.92</v>
      </c>
      <c r="F89" s="2"/>
      <c r="G89" s="2"/>
      <c r="H89" s="2">
        <v>17.079999999999998</v>
      </c>
      <c r="I89" s="2"/>
      <c r="J89" s="2"/>
      <c r="K89" s="2">
        <v>4.0999999999999996</v>
      </c>
      <c r="L89" s="2"/>
      <c r="N89" s="2" t="s">
        <v>102</v>
      </c>
      <c r="O89" s="56" t="s">
        <v>90</v>
      </c>
      <c r="P89" s="2" t="s">
        <v>83</v>
      </c>
      <c r="Q89" s="3">
        <v>67.099999999999994</v>
      </c>
      <c r="R89" s="3"/>
    </row>
    <row r="90" spans="1:18">
      <c r="A90" s="2"/>
      <c r="B90" s="2"/>
      <c r="C90" s="2">
        <v>2</v>
      </c>
      <c r="D90" s="2" t="s">
        <v>85</v>
      </c>
      <c r="E90" s="2">
        <v>78.929999999999993</v>
      </c>
      <c r="F90" s="2"/>
      <c r="G90" s="2"/>
      <c r="H90" s="2">
        <v>8.91</v>
      </c>
      <c r="I90" s="2"/>
      <c r="J90" s="2"/>
      <c r="K90" s="2">
        <v>2.6</v>
      </c>
      <c r="L90" s="2"/>
      <c r="N90" s="2" t="s">
        <v>102</v>
      </c>
      <c r="O90" s="56" t="s">
        <v>90</v>
      </c>
      <c r="P90" s="2" t="s">
        <v>85</v>
      </c>
      <c r="Q90" s="3">
        <v>90.439999999999984</v>
      </c>
      <c r="R90" s="3"/>
    </row>
    <row r="91" spans="1:18">
      <c r="A91" s="2"/>
      <c r="B91" s="2"/>
      <c r="C91" s="2">
        <v>2</v>
      </c>
      <c r="D91" s="2" t="s">
        <v>87</v>
      </c>
      <c r="E91" s="2">
        <v>63.37</v>
      </c>
      <c r="F91" s="2"/>
      <c r="G91" s="2"/>
      <c r="H91" s="2">
        <v>12.1</v>
      </c>
      <c r="I91" s="2"/>
      <c r="J91" s="2"/>
      <c r="K91" s="2">
        <v>2.9</v>
      </c>
      <c r="L91" s="2"/>
      <c r="N91" s="2" t="s">
        <v>102</v>
      </c>
      <c r="O91" s="56" t="s">
        <v>90</v>
      </c>
      <c r="P91" s="2" t="s">
        <v>87</v>
      </c>
      <c r="Q91" s="3">
        <v>78.37</v>
      </c>
      <c r="R91" s="3"/>
    </row>
    <row r="92" spans="1:18">
      <c r="A92" s="2"/>
      <c r="B92" s="2"/>
      <c r="C92" s="2">
        <v>2</v>
      </c>
      <c r="D92" s="2" t="s">
        <v>79</v>
      </c>
      <c r="E92" s="2">
        <v>60.690000000000005</v>
      </c>
      <c r="F92" s="2"/>
      <c r="G92" s="2"/>
      <c r="H92" s="2">
        <v>21.07</v>
      </c>
      <c r="I92" s="2"/>
      <c r="J92" s="2"/>
      <c r="K92" s="2">
        <v>3.4</v>
      </c>
      <c r="L92" s="2"/>
      <c r="N92" s="2" t="s">
        <v>102</v>
      </c>
      <c r="O92" s="56" t="s">
        <v>90</v>
      </c>
      <c r="P92" s="2" t="s">
        <v>79</v>
      </c>
      <c r="Q92" s="3">
        <v>85.160000000000011</v>
      </c>
      <c r="R92" s="3"/>
    </row>
    <row r="93" spans="1:18">
      <c r="A93" s="2"/>
      <c r="B93" s="2"/>
      <c r="C93" s="2">
        <v>2</v>
      </c>
      <c r="D93" s="2" t="s">
        <v>88</v>
      </c>
      <c r="E93" s="2">
        <v>50.01</v>
      </c>
      <c r="F93" s="2">
        <f>AVERAGE(E89:E93)</f>
        <v>59.784000000000006</v>
      </c>
      <c r="G93" s="2"/>
      <c r="H93" s="2">
        <v>12.15</v>
      </c>
      <c r="I93" s="2">
        <f>AVERAGE(H89:H93)</f>
        <v>14.262</v>
      </c>
      <c r="J93" s="2"/>
      <c r="K93" s="2">
        <v>3.8</v>
      </c>
      <c r="L93" s="2">
        <f>AVERAGE(K89:K93)</f>
        <v>3.3600000000000003</v>
      </c>
      <c r="N93" s="2" t="s">
        <v>102</v>
      </c>
      <c r="O93" s="56" t="s">
        <v>90</v>
      </c>
      <c r="P93" s="2" t="s">
        <v>88</v>
      </c>
      <c r="Q93" s="3">
        <v>65.959999999999994</v>
      </c>
      <c r="R93" s="3"/>
    </row>
    <row r="94" spans="1:18">
      <c r="A94" s="2"/>
      <c r="B94" s="2"/>
      <c r="C94" s="2">
        <v>3</v>
      </c>
      <c r="D94" s="2" t="s">
        <v>83</v>
      </c>
      <c r="E94" s="2">
        <v>50.7</v>
      </c>
      <c r="F94" s="2"/>
      <c r="G94" s="2"/>
      <c r="H94" s="2">
        <v>14.04</v>
      </c>
      <c r="I94" s="2"/>
      <c r="J94" s="2"/>
      <c r="K94" s="2">
        <v>1.8</v>
      </c>
      <c r="L94" s="2"/>
      <c r="N94" s="2" t="s">
        <v>102</v>
      </c>
      <c r="O94" s="56" t="s">
        <v>92</v>
      </c>
      <c r="P94" s="2" t="s">
        <v>83</v>
      </c>
      <c r="Q94" s="3">
        <v>66.540000000000006</v>
      </c>
      <c r="R94" s="3"/>
    </row>
    <row r="95" spans="1:18">
      <c r="A95" s="2"/>
      <c r="B95" s="2"/>
      <c r="C95" s="2">
        <v>3</v>
      </c>
      <c r="D95" s="2" t="s">
        <v>85</v>
      </c>
      <c r="E95" s="2">
        <v>57.449999999999996</v>
      </c>
      <c r="F95" s="2"/>
      <c r="G95" s="2"/>
      <c r="H95" s="2">
        <v>22.36</v>
      </c>
      <c r="I95" s="2"/>
      <c r="J95" s="2"/>
      <c r="K95" s="2">
        <v>1.7</v>
      </c>
      <c r="L95" s="2"/>
      <c r="N95" s="2" t="s">
        <v>102</v>
      </c>
      <c r="O95" s="56" t="s">
        <v>92</v>
      </c>
      <c r="P95" s="2" t="s">
        <v>85</v>
      </c>
      <c r="Q95" s="3">
        <v>81.510000000000005</v>
      </c>
      <c r="R95" s="3"/>
    </row>
    <row r="96" spans="1:18">
      <c r="A96" s="2"/>
      <c r="B96" s="2"/>
      <c r="C96" s="2">
        <v>3</v>
      </c>
      <c r="D96" s="2" t="s">
        <v>87</v>
      </c>
      <c r="E96" s="2">
        <v>58.470000000000006</v>
      </c>
      <c r="F96" s="2"/>
      <c r="G96" s="2"/>
      <c r="H96" s="2">
        <v>10.95</v>
      </c>
      <c r="I96" s="2"/>
      <c r="J96" s="2"/>
      <c r="K96" s="2">
        <v>2.2000000000000002</v>
      </c>
      <c r="L96" s="2"/>
      <c r="N96" s="2" t="s">
        <v>102</v>
      </c>
      <c r="O96" s="56" t="s">
        <v>92</v>
      </c>
      <c r="P96" s="2" t="s">
        <v>87</v>
      </c>
      <c r="Q96" s="3">
        <v>71.62</v>
      </c>
      <c r="R96" s="3"/>
    </row>
    <row r="97" spans="1:18">
      <c r="A97" s="2"/>
      <c r="B97" s="2"/>
      <c r="C97" s="2">
        <v>3</v>
      </c>
      <c r="D97" s="2" t="s">
        <v>79</v>
      </c>
      <c r="E97" s="2">
        <v>49.660000000000004</v>
      </c>
      <c r="F97" s="2"/>
      <c r="G97" s="2"/>
      <c r="H97" s="21">
        <v>8.02</v>
      </c>
      <c r="I97" s="2"/>
      <c r="J97" s="2"/>
      <c r="K97" s="2">
        <v>2</v>
      </c>
      <c r="L97" s="2"/>
      <c r="N97" s="2" t="s">
        <v>102</v>
      </c>
      <c r="O97" s="56" t="s">
        <v>92</v>
      </c>
      <c r="P97" s="2" t="s">
        <v>79</v>
      </c>
      <c r="Q97" s="3">
        <v>61.17</v>
      </c>
      <c r="R97" s="3"/>
    </row>
    <row r="98" spans="1:18">
      <c r="A98" s="2"/>
      <c r="B98" s="2"/>
      <c r="C98" s="2">
        <v>3</v>
      </c>
      <c r="D98" s="2" t="s">
        <v>88</v>
      </c>
      <c r="E98" s="2">
        <v>49.15</v>
      </c>
      <c r="F98" s="2">
        <f>AVERAGE(E94:E98)</f>
        <v>53.085999999999999</v>
      </c>
      <c r="G98" s="2"/>
      <c r="H98" s="21">
        <v>20.81</v>
      </c>
      <c r="I98" s="2">
        <f>AVERAGE(H94:H98)</f>
        <v>15.235999999999999</v>
      </c>
      <c r="J98" s="2"/>
      <c r="K98" s="2">
        <v>2</v>
      </c>
      <c r="L98" s="2">
        <f>AVERAGE(K94:K98)</f>
        <v>1.94</v>
      </c>
      <c r="N98" s="2" t="s">
        <v>102</v>
      </c>
      <c r="O98" s="56" t="s">
        <v>92</v>
      </c>
      <c r="P98" s="2" t="s">
        <v>88</v>
      </c>
      <c r="Q98" s="3">
        <v>72.150000000000006</v>
      </c>
      <c r="R98" s="3"/>
    </row>
    <row r="99" spans="1:18">
      <c r="A99" s="2"/>
      <c r="B99" s="2"/>
      <c r="C99" s="2">
        <v>4</v>
      </c>
      <c r="D99" s="2" t="s">
        <v>83</v>
      </c>
      <c r="E99" s="2">
        <v>94.03</v>
      </c>
      <c r="F99" s="2"/>
      <c r="G99" s="2"/>
      <c r="H99" s="4">
        <f>AVERAGE(H100:H103)</f>
        <v>7.63</v>
      </c>
      <c r="I99" s="2"/>
      <c r="J99" s="2"/>
      <c r="K99" s="2">
        <v>4.9000000000000004</v>
      </c>
      <c r="L99" s="2"/>
      <c r="N99" s="2" t="s">
        <v>102</v>
      </c>
      <c r="O99" s="56" t="s">
        <v>142</v>
      </c>
      <c r="P99" s="2" t="s">
        <v>83</v>
      </c>
      <c r="Q99" s="3">
        <v>109.545</v>
      </c>
      <c r="R99" s="3"/>
    </row>
    <row r="100" spans="1:18">
      <c r="A100" s="2"/>
      <c r="B100" s="2"/>
      <c r="C100" s="2">
        <v>4</v>
      </c>
      <c r="D100" s="2" t="s">
        <v>85</v>
      </c>
      <c r="E100" s="2">
        <v>60.04</v>
      </c>
      <c r="F100" s="2"/>
      <c r="G100" s="2"/>
      <c r="H100" s="21">
        <v>8.76</v>
      </c>
      <c r="I100" s="2"/>
      <c r="J100" s="2"/>
      <c r="K100" s="2">
        <v>2.4</v>
      </c>
      <c r="L100" s="2"/>
      <c r="N100" s="2" t="s">
        <v>102</v>
      </c>
      <c r="O100" s="56" t="s">
        <v>142</v>
      </c>
      <c r="P100" s="2" t="s">
        <v>85</v>
      </c>
      <c r="Q100" s="3">
        <v>82.43</v>
      </c>
      <c r="R100" s="3"/>
    </row>
    <row r="101" spans="1:18">
      <c r="A101" s="2"/>
      <c r="B101" s="2"/>
      <c r="C101" s="2">
        <v>4</v>
      </c>
      <c r="D101" s="2" t="s">
        <v>87</v>
      </c>
      <c r="E101" s="2">
        <v>70.64</v>
      </c>
      <c r="F101" s="2"/>
      <c r="G101" s="2"/>
      <c r="H101" s="21">
        <v>6.48</v>
      </c>
      <c r="I101" s="2"/>
      <c r="J101" s="2"/>
      <c r="K101" s="2">
        <v>1.7</v>
      </c>
      <c r="L101" s="2"/>
      <c r="N101" s="2" t="s">
        <v>102</v>
      </c>
      <c r="O101" s="56" t="s">
        <v>142</v>
      </c>
      <c r="P101" s="2" t="s">
        <v>87</v>
      </c>
      <c r="Q101" s="3">
        <v>79.53</v>
      </c>
      <c r="R101" s="3"/>
    </row>
    <row r="102" spans="1:18">
      <c r="A102" s="2"/>
      <c r="B102" s="2"/>
      <c r="C102" s="2">
        <v>4</v>
      </c>
      <c r="D102" s="2" t="s">
        <v>79</v>
      </c>
      <c r="E102" s="2">
        <v>62.610000000000007</v>
      </c>
      <c r="F102" s="2"/>
      <c r="G102" s="2"/>
      <c r="H102" s="2">
        <v>6.64</v>
      </c>
      <c r="I102" s="2"/>
      <c r="J102" s="2"/>
      <c r="K102" s="2">
        <v>3.6</v>
      </c>
      <c r="L102" s="2"/>
      <c r="N102" s="2" t="s">
        <v>102</v>
      </c>
      <c r="O102" s="56" t="s">
        <v>142</v>
      </c>
      <c r="P102" s="2" t="s">
        <v>79</v>
      </c>
      <c r="Q102" s="3">
        <v>72.849999999999994</v>
      </c>
      <c r="R102" s="3"/>
    </row>
    <row r="103" spans="1:18">
      <c r="A103" s="2"/>
      <c r="B103" s="2"/>
      <c r="C103" s="2">
        <v>4</v>
      </c>
      <c r="D103" s="2" t="s">
        <v>88</v>
      </c>
      <c r="E103" s="2">
        <v>44.81</v>
      </c>
      <c r="F103" s="2">
        <f>AVERAGE(E99:E103)</f>
        <v>66.426000000000002</v>
      </c>
      <c r="G103" s="2"/>
      <c r="H103" s="2">
        <v>8.64</v>
      </c>
      <c r="I103" s="2">
        <f>AVERAGE(H99:H103)</f>
        <v>7.6300000000000008</v>
      </c>
      <c r="J103" s="2"/>
      <c r="K103" s="2">
        <v>2.5</v>
      </c>
      <c r="L103" s="2">
        <f>AVERAGE(K99:K103)</f>
        <v>3.02</v>
      </c>
      <c r="N103" s="2" t="s">
        <v>102</v>
      </c>
      <c r="O103" s="56" t="s">
        <v>142</v>
      </c>
      <c r="P103" s="2" t="s">
        <v>88</v>
      </c>
      <c r="Q103" s="3">
        <v>55.95</v>
      </c>
      <c r="R103" s="3"/>
    </row>
    <row r="104" spans="1:18">
      <c r="A104" s="2" t="s">
        <v>78</v>
      </c>
      <c r="B104" s="2" t="s">
        <v>104</v>
      </c>
      <c r="C104" s="2">
        <v>1</v>
      </c>
      <c r="D104" s="2" t="s">
        <v>83</v>
      </c>
      <c r="E104" s="2">
        <v>55.419999999999995</v>
      </c>
      <c r="F104" s="2"/>
      <c r="G104" s="2"/>
      <c r="H104" s="2">
        <v>4.9400000000000004</v>
      </c>
      <c r="I104" s="2"/>
      <c r="J104" s="2"/>
      <c r="K104" s="2">
        <v>1.2</v>
      </c>
      <c r="L104" s="2"/>
      <c r="N104" s="2" t="s">
        <v>104</v>
      </c>
      <c r="O104" s="56" t="s">
        <v>92</v>
      </c>
      <c r="P104" s="2" t="s">
        <v>83</v>
      </c>
      <c r="Q104" s="3">
        <v>61.559999999999995</v>
      </c>
      <c r="R104" s="3"/>
    </row>
    <row r="105" spans="1:18">
      <c r="A105" s="2"/>
      <c r="B105" s="2"/>
      <c r="C105" s="2">
        <v>1</v>
      </c>
      <c r="D105" s="2" t="s">
        <v>85</v>
      </c>
      <c r="E105" s="2">
        <v>79.929999999999993</v>
      </c>
      <c r="F105" s="2"/>
      <c r="G105" s="2"/>
      <c r="H105" s="2">
        <v>9.14</v>
      </c>
      <c r="I105" s="2"/>
      <c r="J105" s="2"/>
      <c r="K105" s="2">
        <v>2.4</v>
      </c>
      <c r="L105" s="2"/>
      <c r="N105" s="2" t="s">
        <v>104</v>
      </c>
      <c r="O105" s="56" t="s">
        <v>92</v>
      </c>
      <c r="P105" s="2" t="s">
        <v>85</v>
      </c>
      <c r="Q105" s="3">
        <v>91.47</v>
      </c>
      <c r="R105" s="3"/>
    </row>
    <row r="106" spans="1:18">
      <c r="A106" s="2" t="s">
        <v>147</v>
      </c>
      <c r="B106" s="2"/>
      <c r="C106" s="2">
        <v>1</v>
      </c>
      <c r="D106" s="2" t="s">
        <v>87</v>
      </c>
      <c r="E106" s="2">
        <v>67.77</v>
      </c>
      <c r="F106" s="2"/>
      <c r="G106" s="2"/>
      <c r="H106" s="2">
        <v>4.32</v>
      </c>
      <c r="I106" s="2"/>
      <c r="J106" s="2"/>
      <c r="K106" s="2">
        <v>1.8</v>
      </c>
      <c r="L106" s="2"/>
      <c r="N106" s="2" t="s">
        <v>104</v>
      </c>
      <c r="O106" s="56" t="s">
        <v>92</v>
      </c>
      <c r="P106" s="2" t="s">
        <v>87</v>
      </c>
      <c r="Q106" s="3">
        <v>73.89</v>
      </c>
      <c r="R106" s="3"/>
    </row>
    <row r="107" spans="1:18">
      <c r="A107" s="2"/>
      <c r="B107" s="2"/>
      <c r="C107" s="2">
        <v>1</v>
      </c>
      <c r="D107" s="2" t="s">
        <v>79</v>
      </c>
      <c r="E107" s="2">
        <v>87.88</v>
      </c>
      <c r="F107" s="2"/>
      <c r="G107" s="2"/>
      <c r="H107" s="2">
        <v>13.02</v>
      </c>
      <c r="I107" s="2"/>
      <c r="J107" s="2"/>
      <c r="K107" s="2">
        <v>1.9</v>
      </c>
      <c r="L107" s="2"/>
      <c r="N107" s="2" t="s">
        <v>104</v>
      </c>
      <c r="O107" s="56" t="s">
        <v>92</v>
      </c>
      <c r="P107" s="2" t="s">
        <v>79</v>
      </c>
      <c r="Q107" s="3">
        <v>102.8</v>
      </c>
      <c r="R107" s="3"/>
    </row>
    <row r="108" spans="1:18">
      <c r="A108" s="2"/>
      <c r="B108" s="2"/>
      <c r="C108" s="2">
        <v>1</v>
      </c>
      <c r="D108" s="2" t="s">
        <v>88</v>
      </c>
      <c r="E108" s="2">
        <v>61.410000000000004</v>
      </c>
      <c r="F108" s="2">
        <f>AVERAGE(E104:E108)</f>
        <v>70.481999999999999</v>
      </c>
      <c r="G108" s="2"/>
      <c r="H108" s="2">
        <v>6.24</v>
      </c>
      <c r="I108" s="2">
        <f>AVERAGE(H104:H108)</f>
        <v>7.5320000000000009</v>
      </c>
      <c r="J108" s="2"/>
      <c r="K108" s="2">
        <v>1.9</v>
      </c>
      <c r="L108" s="2">
        <f>AVERAGE(K104:K108)</f>
        <v>1.8399999999999999</v>
      </c>
      <c r="N108" s="2" t="s">
        <v>104</v>
      </c>
      <c r="O108" s="56" t="s">
        <v>92</v>
      </c>
      <c r="P108" s="2" t="s">
        <v>88</v>
      </c>
      <c r="Q108" s="3">
        <v>69.550000000000011</v>
      </c>
      <c r="R108" s="3"/>
    </row>
    <row r="109" spans="1:18">
      <c r="A109" s="2"/>
      <c r="B109" s="2"/>
      <c r="C109" s="2">
        <v>2</v>
      </c>
      <c r="D109" s="2" t="s">
        <v>83</v>
      </c>
      <c r="E109" s="2">
        <v>64.44</v>
      </c>
      <c r="F109" s="2"/>
      <c r="G109" s="2"/>
      <c r="H109" s="21">
        <v>6.76</v>
      </c>
      <c r="I109" s="2"/>
      <c r="J109" s="2"/>
      <c r="K109" s="2">
        <v>3.1</v>
      </c>
      <c r="L109" s="2"/>
      <c r="N109" s="2" t="s">
        <v>104</v>
      </c>
      <c r="O109" s="56" t="s">
        <v>142</v>
      </c>
      <c r="P109" s="2" t="s">
        <v>83</v>
      </c>
      <c r="Q109" s="3">
        <v>98.539999999999992</v>
      </c>
      <c r="R109" s="3"/>
    </row>
    <row r="110" spans="1:18">
      <c r="A110" s="2"/>
      <c r="B110" s="2"/>
      <c r="C110" s="2">
        <v>2</v>
      </c>
      <c r="D110" s="2" t="s">
        <v>85</v>
      </c>
      <c r="E110" s="2">
        <v>68.89</v>
      </c>
      <c r="F110" s="2"/>
      <c r="G110" s="2"/>
      <c r="H110" s="72">
        <v>10.91</v>
      </c>
      <c r="I110" s="2"/>
      <c r="J110" s="2"/>
      <c r="K110" s="2">
        <v>2.4</v>
      </c>
      <c r="L110" s="2"/>
      <c r="N110" s="2" t="s">
        <v>104</v>
      </c>
      <c r="O110" s="56" t="s">
        <v>142</v>
      </c>
      <c r="P110" s="2" t="s">
        <v>85</v>
      </c>
      <c r="Q110" s="3">
        <v>84.422500000000014</v>
      </c>
      <c r="R110" s="3"/>
    </row>
    <row r="111" spans="1:18">
      <c r="A111" s="2"/>
      <c r="B111" s="2"/>
      <c r="C111" s="2">
        <v>2</v>
      </c>
      <c r="D111" s="2" t="s">
        <v>87</v>
      </c>
      <c r="E111" s="2">
        <v>76.239999999999995</v>
      </c>
      <c r="F111" s="2"/>
      <c r="G111" s="2"/>
      <c r="H111" s="2">
        <v>7.88</v>
      </c>
      <c r="I111" s="2"/>
      <c r="J111" s="2"/>
      <c r="K111" s="2">
        <v>3.5</v>
      </c>
      <c r="L111" s="2"/>
      <c r="N111" s="2" t="s">
        <v>104</v>
      </c>
      <c r="O111" s="56" t="s">
        <v>142</v>
      </c>
      <c r="P111" s="2" t="s">
        <v>87</v>
      </c>
      <c r="Q111" s="3">
        <v>87.61999999999999</v>
      </c>
      <c r="R111" s="3"/>
    </row>
    <row r="112" spans="1:18">
      <c r="A112" s="2"/>
      <c r="B112" s="2"/>
      <c r="C112" s="2">
        <v>2</v>
      </c>
      <c r="D112" s="2" t="s">
        <v>79</v>
      </c>
      <c r="E112" s="2">
        <v>59.32</v>
      </c>
      <c r="F112" s="2"/>
      <c r="G112" s="2"/>
      <c r="H112" s="2">
        <v>6.92</v>
      </c>
      <c r="I112" s="2"/>
      <c r="J112" s="2"/>
      <c r="K112" s="2">
        <v>1.4</v>
      </c>
      <c r="L112" s="2"/>
      <c r="N112" s="2" t="s">
        <v>104</v>
      </c>
      <c r="O112" s="56" t="s">
        <v>142</v>
      </c>
      <c r="P112" s="2" t="s">
        <v>79</v>
      </c>
      <c r="Q112" s="3">
        <v>67.64</v>
      </c>
      <c r="R112" s="3"/>
    </row>
    <row r="113" spans="1:18">
      <c r="A113" s="2"/>
      <c r="B113" s="2"/>
      <c r="C113" s="2">
        <v>2</v>
      </c>
      <c r="D113" s="2" t="s">
        <v>88</v>
      </c>
      <c r="E113" s="2">
        <v>57.02</v>
      </c>
      <c r="F113" s="2">
        <f>AVERAGE(E109:E113)</f>
        <v>65.181999999999988</v>
      </c>
      <c r="G113" s="2"/>
      <c r="H113" s="2">
        <v>6.73</v>
      </c>
      <c r="I113" s="2">
        <f>AVERAGE(H109:H113)</f>
        <v>7.8400000000000007</v>
      </c>
      <c r="J113" s="2"/>
      <c r="K113" s="2">
        <v>2.4</v>
      </c>
      <c r="L113" s="2">
        <f>AVERAGE(K109:K113)</f>
        <v>2.56</v>
      </c>
      <c r="N113" s="2" t="s">
        <v>104</v>
      </c>
      <c r="O113" s="56" t="s">
        <v>142</v>
      </c>
      <c r="P113" s="2" t="s">
        <v>88</v>
      </c>
      <c r="Q113" s="3">
        <v>66.150000000000006</v>
      </c>
      <c r="R113" s="3"/>
    </row>
    <row r="114" spans="1:18">
      <c r="A114" s="2"/>
      <c r="B114" s="2"/>
      <c r="C114" s="2">
        <v>3</v>
      </c>
      <c r="D114" s="2" t="s">
        <v>83</v>
      </c>
      <c r="E114" s="2">
        <v>51.6</v>
      </c>
      <c r="F114" s="2"/>
      <c r="G114" s="2"/>
      <c r="H114" s="21">
        <v>8.1300000000000008</v>
      </c>
      <c r="I114" s="2"/>
      <c r="J114" s="2"/>
      <c r="K114" s="2">
        <v>2.2999999999999998</v>
      </c>
      <c r="L114" s="2"/>
      <c r="N114" s="2" t="s">
        <v>104</v>
      </c>
      <c r="O114" s="56" t="s">
        <v>93</v>
      </c>
      <c r="P114" s="2" t="s">
        <v>83</v>
      </c>
      <c r="Q114" s="3">
        <v>61.35</v>
      </c>
      <c r="R114" s="3"/>
    </row>
    <row r="115" spans="1:18">
      <c r="A115" s="2"/>
      <c r="B115" s="2"/>
      <c r="C115" s="2">
        <v>3</v>
      </c>
      <c r="D115" s="2" t="s">
        <v>85</v>
      </c>
      <c r="E115" s="2">
        <v>67.39</v>
      </c>
      <c r="F115" s="2"/>
      <c r="G115" s="2"/>
      <c r="H115" s="2">
        <v>6.77</v>
      </c>
      <c r="I115" s="2"/>
      <c r="J115" s="2"/>
      <c r="K115" s="2">
        <v>4.5</v>
      </c>
      <c r="L115" s="2"/>
      <c r="N115" s="2" t="s">
        <v>104</v>
      </c>
      <c r="O115" s="56" t="s">
        <v>93</v>
      </c>
      <c r="P115" s="2" t="s">
        <v>85</v>
      </c>
      <c r="Q115" s="3">
        <v>78.66</v>
      </c>
      <c r="R115" s="3"/>
    </row>
    <row r="116" spans="1:18">
      <c r="A116" s="2"/>
      <c r="B116" s="2"/>
      <c r="C116" s="2">
        <v>3</v>
      </c>
      <c r="D116" s="2" t="s">
        <v>87</v>
      </c>
      <c r="E116" s="2">
        <v>69.63</v>
      </c>
      <c r="F116" s="2"/>
      <c r="G116" s="2"/>
      <c r="H116" s="2">
        <v>6.72</v>
      </c>
      <c r="I116" s="2"/>
      <c r="J116" s="2"/>
      <c r="K116" s="2">
        <v>7.2</v>
      </c>
      <c r="L116" s="2"/>
      <c r="N116" s="2" t="s">
        <v>104</v>
      </c>
      <c r="O116" s="56" t="s">
        <v>93</v>
      </c>
      <c r="P116" s="2" t="s">
        <v>87</v>
      </c>
      <c r="Q116" s="3">
        <v>83.55</v>
      </c>
      <c r="R116" s="3"/>
    </row>
    <row r="117" spans="1:18">
      <c r="A117" s="2"/>
      <c r="B117" s="2"/>
      <c r="C117" s="2">
        <v>3</v>
      </c>
      <c r="D117" s="2" t="s">
        <v>79</v>
      </c>
      <c r="E117" s="2">
        <v>64.91</v>
      </c>
      <c r="F117" s="2"/>
      <c r="G117" s="2"/>
      <c r="H117" s="2">
        <v>8.11</v>
      </c>
      <c r="I117" s="2"/>
      <c r="J117" s="2"/>
      <c r="K117" s="2">
        <v>2.5</v>
      </c>
      <c r="L117" s="2"/>
      <c r="N117" s="2" t="s">
        <v>104</v>
      </c>
      <c r="O117" s="56" t="s">
        <v>93</v>
      </c>
      <c r="P117" s="2" t="s">
        <v>79</v>
      </c>
      <c r="Q117" s="3">
        <v>75.52</v>
      </c>
      <c r="R117" s="3"/>
    </row>
    <row r="118" spans="1:18">
      <c r="A118" s="2"/>
      <c r="B118" s="2"/>
      <c r="C118" s="2">
        <v>3</v>
      </c>
      <c r="D118" s="2" t="s">
        <v>88</v>
      </c>
      <c r="E118" s="2">
        <v>70.91</v>
      </c>
      <c r="F118" s="2">
        <f>AVERAGE(E114:E118)</f>
        <v>64.888000000000005</v>
      </c>
      <c r="G118" s="2"/>
      <c r="H118" s="2">
        <v>5.59</v>
      </c>
      <c r="I118" s="2">
        <f>AVERAGE(H114:H118)</f>
        <v>7.0640000000000001</v>
      </c>
      <c r="J118" s="2"/>
      <c r="K118" s="2">
        <v>2.4</v>
      </c>
      <c r="L118" s="2">
        <f>AVERAGE(K114:K118)</f>
        <v>3.78</v>
      </c>
      <c r="N118" s="2" t="s">
        <v>104</v>
      </c>
      <c r="O118" s="56" t="s">
        <v>93</v>
      </c>
      <c r="P118" s="2" t="s">
        <v>88</v>
      </c>
      <c r="Q118" s="3">
        <v>78.900000000000006</v>
      </c>
      <c r="R118" s="3"/>
    </row>
    <row r="119" spans="1:18">
      <c r="A119" s="2"/>
      <c r="B119" s="2"/>
      <c r="C119" s="2">
        <v>4</v>
      </c>
      <c r="D119" s="2" t="s">
        <v>83</v>
      </c>
      <c r="E119" s="2">
        <v>48.84</v>
      </c>
      <c r="F119" s="2"/>
      <c r="G119" s="2"/>
      <c r="H119" s="2">
        <v>10.89</v>
      </c>
      <c r="I119" s="2"/>
      <c r="J119" s="2"/>
      <c r="K119" s="2">
        <v>4.2</v>
      </c>
      <c r="L119" s="2"/>
      <c r="N119" s="2" t="s">
        <v>104</v>
      </c>
      <c r="O119" s="56" t="s">
        <v>90</v>
      </c>
      <c r="P119" s="2" t="s">
        <v>83</v>
      </c>
      <c r="Q119" s="3">
        <v>63.930000000000007</v>
      </c>
      <c r="R119" s="3"/>
    </row>
    <row r="120" spans="1:18">
      <c r="A120" s="2"/>
      <c r="B120" s="2"/>
      <c r="C120" s="2">
        <v>4</v>
      </c>
      <c r="D120" s="2" t="s">
        <v>85</v>
      </c>
      <c r="E120" s="2">
        <v>43.14</v>
      </c>
      <c r="F120" s="2"/>
      <c r="G120" s="2"/>
      <c r="H120" s="21">
        <v>14.16</v>
      </c>
      <c r="I120" s="2"/>
      <c r="J120" s="2"/>
      <c r="K120" s="2">
        <v>2.2000000000000002</v>
      </c>
      <c r="L120" s="2"/>
      <c r="N120" s="2" t="s">
        <v>104</v>
      </c>
      <c r="O120" s="56" t="s">
        <v>90</v>
      </c>
      <c r="P120" s="2" t="s">
        <v>85</v>
      </c>
      <c r="Q120" s="3">
        <v>60.34</v>
      </c>
      <c r="R120" s="3"/>
    </row>
    <row r="121" spans="1:18">
      <c r="A121" s="2"/>
      <c r="B121" s="2"/>
      <c r="C121" s="2">
        <v>4</v>
      </c>
      <c r="D121" s="2" t="s">
        <v>87</v>
      </c>
      <c r="E121" s="2">
        <v>49.31</v>
      </c>
      <c r="F121" s="2"/>
      <c r="G121" s="2"/>
      <c r="H121" s="2">
        <v>8.82</v>
      </c>
      <c r="I121" s="2"/>
      <c r="J121" s="2"/>
      <c r="K121" s="2">
        <v>1.9</v>
      </c>
      <c r="L121" s="2"/>
      <c r="N121" s="2" t="s">
        <v>104</v>
      </c>
      <c r="O121" s="56" t="s">
        <v>90</v>
      </c>
      <c r="P121" s="2" t="s">
        <v>87</v>
      </c>
      <c r="Q121" s="3">
        <v>60.03</v>
      </c>
      <c r="R121" s="3"/>
    </row>
    <row r="122" spans="1:18">
      <c r="A122" s="2"/>
      <c r="B122" s="2"/>
      <c r="C122" s="2">
        <v>4</v>
      </c>
      <c r="D122" s="2" t="s">
        <v>79</v>
      </c>
      <c r="E122" s="2">
        <v>61.68</v>
      </c>
      <c r="F122" s="2"/>
      <c r="G122" s="2"/>
      <c r="H122" s="2">
        <v>7.55</v>
      </c>
      <c r="I122" s="2"/>
      <c r="J122" s="2"/>
      <c r="K122" s="2">
        <v>3.7</v>
      </c>
      <c r="L122" s="2"/>
      <c r="N122" s="2" t="s">
        <v>104</v>
      </c>
      <c r="O122" s="56" t="s">
        <v>90</v>
      </c>
      <c r="P122" s="2" t="s">
        <v>79</v>
      </c>
      <c r="Q122" s="3">
        <v>72.930000000000007</v>
      </c>
      <c r="R122" s="3"/>
    </row>
    <row r="123" spans="1:18">
      <c r="A123" s="2"/>
      <c r="B123" s="2"/>
      <c r="C123" s="2">
        <v>4</v>
      </c>
      <c r="D123" s="2" t="s">
        <v>88</v>
      </c>
      <c r="E123" s="2">
        <v>62.580000000000005</v>
      </c>
      <c r="F123" s="2">
        <f>AVERAGE(E119:E123)</f>
        <v>53.11</v>
      </c>
      <c r="G123" s="2"/>
      <c r="H123" s="2">
        <v>6.77</v>
      </c>
      <c r="I123" s="2">
        <f>AVERAGE(H119:H123)</f>
        <v>9.6379999999999999</v>
      </c>
      <c r="J123" s="2"/>
      <c r="K123" s="2">
        <v>3.7</v>
      </c>
      <c r="L123" s="2">
        <f>AVERAGE(K119:K123)</f>
        <v>3.1399999999999997</v>
      </c>
      <c r="N123" s="2" t="s">
        <v>104</v>
      </c>
      <c r="O123" s="56" t="s">
        <v>90</v>
      </c>
      <c r="P123" s="2" t="s">
        <v>88</v>
      </c>
      <c r="Q123" s="3">
        <v>73.050000000000011</v>
      </c>
      <c r="R123" s="3"/>
    </row>
    <row r="124" spans="1:18">
      <c r="A124" s="2" t="s">
        <v>78</v>
      </c>
      <c r="B124" s="2" t="s">
        <v>105</v>
      </c>
      <c r="C124" s="2">
        <v>1</v>
      </c>
      <c r="D124" s="2" t="s">
        <v>83</v>
      </c>
      <c r="E124" s="2">
        <v>94.789999999999992</v>
      </c>
      <c r="F124" s="2"/>
      <c r="G124" s="2"/>
      <c r="H124" s="28">
        <v>5.52</v>
      </c>
      <c r="I124" s="2"/>
      <c r="J124" s="2"/>
      <c r="K124" s="2">
        <v>4.8</v>
      </c>
      <c r="L124" s="2"/>
      <c r="N124" s="2" t="s">
        <v>105</v>
      </c>
      <c r="O124" s="56" t="s">
        <v>142</v>
      </c>
      <c r="P124" s="2" t="s">
        <v>83</v>
      </c>
      <c r="Q124" s="3">
        <v>105.05999999999999</v>
      </c>
      <c r="R124" s="3"/>
    </row>
    <row r="125" spans="1:18">
      <c r="A125" s="2"/>
      <c r="B125" s="2"/>
      <c r="C125" s="2">
        <v>1</v>
      </c>
      <c r="D125" s="2" t="s">
        <v>85</v>
      </c>
      <c r="E125" s="2">
        <v>77.589999999999989</v>
      </c>
      <c r="F125" s="2"/>
      <c r="G125" s="2"/>
      <c r="H125" s="2">
        <v>2.2999999999999998</v>
      </c>
      <c r="I125" s="2"/>
      <c r="J125" s="2"/>
      <c r="K125" s="2">
        <v>3.1</v>
      </c>
      <c r="L125" s="2"/>
      <c r="N125" s="2" t="s">
        <v>105</v>
      </c>
      <c r="O125" s="56" t="s">
        <v>142</v>
      </c>
      <c r="P125" s="2" t="s">
        <v>85</v>
      </c>
      <c r="Q125" s="3">
        <v>82.989999999999981</v>
      </c>
      <c r="R125" s="3"/>
    </row>
    <row r="126" spans="1:18">
      <c r="A126" s="2" t="s">
        <v>148</v>
      </c>
      <c r="B126" s="2"/>
      <c r="C126" s="2">
        <v>1</v>
      </c>
      <c r="D126" s="2" t="s">
        <v>87</v>
      </c>
      <c r="E126" s="2">
        <v>81.22999999999999</v>
      </c>
      <c r="F126" s="2"/>
      <c r="G126" s="2"/>
      <c r="H126" s="28">
        <v>5.45</v>
      </c>
      <c r="I126" s="2"/>
      <c r="J126" s="2"/>
      <c r="K126" s="2">
        <v>3.9</v>
      </c>
      <c r="L126" s="2"/>
      <c r="N126" s="2" t="s">
        <v>105</v>
      </c>
      <c r="O126" s="56" t="s">
        <v>142</v>
      </c>
      <c r="P126" s="2" t="s">
        <v>87</v>
      </c>
      <c r="Q126" s="3">
        <v>90.69</v>
      </c>
      <c r="R126" s="3"/>
    </row>
    <row r="127" spans="1:18">
      <c r="A127" s="2"/>
      <c r="B127" s="2"/>
      <c r="C127" s="2">
        <v>1</v>
      </c>
      <c r="D127" s="2" t="s">
        <v>79</v>
      </c>
      <c r="E127" s="2">
        <v>87.14</v>
      </c>
      <c r="F127" s="2"/>
      <c r="G127" s="2"/>
      <c r="H127" s="2">
        <v>2.91</v>
      </c>
      <c r="I127" s="2"/>
      <c r="J127" s="2"/>
      <c r="K127" s="2">
        <v>3</v>
      </c>
      <c r="L127" s="2"/>
      <c r="N127" s="2" t="s">
        <v>105</v>
      </c>
      <c r="O127" s="56" t="s">
        <v>142</v>
      </c>
      <c r="P127" s="2" t="s">
        <v>79</v>
      </c>
      <c r="Q127" s="3">
        <v>93.05</v>
      </c>
      <c r="R127" s="3"/>
    </row>
    <row r="128" spans="1:18">
      <c r="A128" s="2"/>
      <c r="B128" s="2"/>
      <c r="C128" s="2">
        <v>1</v>
      </c>
      <c r="D128" s="2" t="s">
        <v>88</v>
      </c>
      <c r="E128" s="2">
        <v>61.21</v>
      </c>
      <c r="F128" s="2">
        <f>AVERAGE(E124:E128)</f>
        <v>80.391999999999996</v>
      </c>
      <c r="G128" s="2"/>
      <c r="H128" s="2">
        <v>4.6500000000000004</v>
      </c>
      <c r="I128" s="2">
        <f>AVERAGE(H124:H128)</f>
        <v>4.1659999999999995</v>
      </c>
      <c r="J128" s="2"/>
      <c r="K128" s="2">
        <v>1.6</v>
      </c>
      <c r="L128" s="2">
        <f>AVERAGE(K124:K128)</f>
        <v>3.2800000000000002</v>
      </c>
      <c r="N128" s="2" t="s">
        <v>105</v>
      </c>
      <c r="O128" s="56" t="s">
        <v>142</v>
      </c>
      <c r="P128" s="2" t="s">
        <v>88</v>
      </c>
      <c r="Q128" s="3">
        <v>67.459999999999994</v>
      </c>
      <c r="R128" s="3"/>
    </row>
    <row r="129" spans="1:18">
      <c r="A129" s="2"/>
      <c r="B129" s="2"/>
      <c r="C129" s="2">
        <v>2</v>
      </c>
      <c r="D129" s="2" t="s">
        <v>83</v>
      </c>
      <c r="E129" s="2">
        <v>60.21</v>
      </c>
      <c r="F129" s="2"/>
      <c r="G129" s="2"/>
      <c r="H129" s="28">
        <v>7.63</v>
      </c>
      <c r="I129" s="2"/>
      <c r="J129" s="2"/>
      <c r="K129" s="2">
        <v>3.4</v>
      </c>
      <c r="L129" s="2"/>
      <c r="N129" s="2" t="s">
        <v>105</v>
      </c>
      <c r="O129" s="56" t="s">
        <v>92</v>
      </c>
      <c r="P129" s="2" t="s">
        <v>83</v>
      </c>
      <c r="Q129" s="3">
        <v>71.53</v>
      </c>
      <c r="R129" s="3"/>
    </row>
    <row r="130" spans="1:18">
      <c r="A130" s="2"/>
      <c r="B130" s="2"/>
      <c r="C130" s="2">
        <v>2</v>
      </c>
      <c r="D130" s="2" t="s">
        <v>85</v>
      </c>
      <c r="E130" s="2">
        <v>40.35</v>
      </c>
      <c r="F130" s="2"/>
      <c r="G130" s="2"/>
      <c r="H130" s="2">
        <v>1.46</v>
      </c>
      <c r="I130" s="2"/>
      <c r="J130" s="2"/>
      <c r="K130" s="2">
        <v>2</v>
      </c>
      <c r="L130" s="2"/>
      <c r="N130" s="2" t="s">
        <v>105</v>
      </c>
      <c r="O130" s="56" t="s">
        <v>92</v>
      </c>
      <c r="P130" s="2" t="s">
        <v>85</v>
      </c>
      <c r="Q130" s="3">
        <v>43.81</v>
      </c>
      <c r="R130" s="3"/>
    </row>
    <row r="131" spans="1:18">
      <c r="A131" s="2"/>
      <c r="B131" s="2"/>
      <c r="C131" s="2">
        <v>2</v>
      </c>
      <c r="D131" s="2" t="s">
        <v>87</v>
      </c>
      <c r="E131" s="2">
        <v>49.9</v>
      </c>
      <c r="F131" s="2"/>
      <c r="G131" s="2"/>
      <c r="H131" s="2">
        <v>3.44</v>
      </c>
      <c r="I131" s="2"/>
      <c r="J131" s="2"/>
      <c r="K131" s="2">
        <v>2.9</v>
      </c>
      <c r="L131" s="2"/>
      <c r="N131" s="2" t="s">
        <v>105</v>
      </c>
      <c r="O131" s="56" t="s">
        <v>92</v>
      </c>
      <c r="P131" s="2" t="s">
        <v>87</v>
      </c>
      <c r="Q131" s="3">
        <v>56.239999999999995</v>
      </c>
      <c r="R131" s="3"/>
    </row>
    <row r="132" spans="1:18">
      <c r="A132" s="2"/>
      <c r="B132" s="2"/>
      <c r="C132" s="2">
        <v>2</v>
      </c>
      <c r="D132" s="2" t="s">
        <v>79</v>
      </c>
      <c r="E132" s="2">
        <v>72.099999999999994</v>
      </c>
      <c r="F132" s="2"/>
      <c r="G132" s="2"/>
      <c r="H132" s="2">
        <v>4.0999999999999996</v>
      </c>
      <c r="I132" s="2"/>
      <c r="J132" s="2"/>
      <c r="K132" s="2">
        <v>5</v>
      </c>
      <c r="L132" s="2"/>
      <c r="N132" s="2" t="s">
        <v>105</v>
      </c>
      <c r="O132" s="56" t="s">
        <v>92</v>
      </c>
      <c r="P132" s="2" t="s">
        <v>79</v>
      </c>
      <c r="Q132" s="3">
        <v>81.199999999999989</v>
      </c>
      <c r="R132" s="3"/>
    </row>
    <row r="133" spans="1:18">
      <c r="A133" s="2"/>
      <c r="B133" s="2"/>
      <c r="C133" s="2">
        <v>2</v>
      </c>
      <c r="D133" s="2" t="s">
        <v>88</v>
      </c>
      <c r="E133" s="2">
        <v>69.58</v>
      </c>
      <c r="F133" s="2">
        <f>AVERAGE(E129:E133)</f>
        <v>58.427999999999997</v>
      </c>
      <c r="G133" s="2"/>
      <c r="H133" s="28">
        <v>6.68</v>
      </c>
      <c r="I133" s="2">
        <f>AVERAGE(H129:H133)</f>
        <v>4.6619999999999999</v>
      </c>
      <c r="J133" s="2"/>
      <c r="K133" s="2">
        <v>1.5</v>
      </c>
      <c r="L133" s="2">
        <f>AVERAGE(K129:K133)</f>
        <v>2.96</v>
      </c>
      <c r="N133" s="2" t="s">
        <v>105</v>
      </c>
      <c r="O133" s="56" t="s">
        <v>92</v>
      </c>
      <c r="P133" s="2" t="s">
        <v>88</v>
      </c>
      <c r="Q133" s="3">
        <v>77.98</v>
      </c>
      <c r="R133" s="3"/>
    </row>
    <row r="134" spans="1:18">
      <c r="A134" s="2"/>
      <c r="B134" s="2"/>
      <c r="C134" s="2">
        <v>3</v>
      </c>
      <c r="D134" s="2" t="s">
        <v>83</v>
      </c>
      <c r="E134" s="2">
        <v>61.02</v>
      </c>
      <c r="F134" s="2"/>
      <c r="G134" s="2"/>
      <c r="H134" s="2">
        <v>4.0199999999999996</v>
      </c>
      <c r="I134" s="2"/>
      <c r="J134" s="2"/>
      <c r="K134" s="2">
        <v>2.8</v>
      </c>
      <c r="L134" s="2"/>
      <c r="N134" s="2" t="s">
        <v>105</v>
      </c>
      <c r="O134" s="56" t="s">
        <v>90</v>
      </c>
      <c r="P134" s="2" t="s">
        <v>83</v>
      </c>
      <c r="Q134" s="3">
        <v>67.84</v>
      </c>
      <c r="R134" s="3"/>
    </row>
    <row r="135" spans="1:18">
      <c r="A135" s="2"/>
      <c r="B135" s="2"/>
      <c r="C135" s="2">
        <v>3</v>
      </c>
      <c r="D135" s="2" t="s">
        <v>85</v>
      </c>
      <c r="E135" s="2">
        <v>56.720000000000006</v>
      </c>
      <c r="F135" s="2"/>
      <c r="G135" s="2"/>
      <c r="H135" s="28">
        <v>4.5599999999999996</v>
      </c>
      <c r="I135" s="2"/>
      <c r="J135" s="2"/>
      <c r="K135" s="2">
        <v>2.2000000000000002</v>
      </c>
      <c r="L135" s="2"/>
      <c r="N135" s="2" t="s">
        <v>105</v>
      </c>
      <c r="O135" s="56" t="s">
        <v>90</v>
      </c>
      <c r="P135" s="2" t="s">
        <v>85</v>
      </c>
      <c r="Q135" s="3">
        <v>63.480000000000011</v>
      </c>
      <c r="R135" s="3"/>
    </row>
    <row r="136" spans="1:18">
      <c r="A136" s="2"/>
      <c r="B136" s="2"/>
      <c r="C136" s="2">
        <v>3</v>
      </c>
      <c r="D136" s="2" t="s">
        <v>87</v>
      </c>
      <c r="E136" s="2">
        <v>73.919999999999987</v>
      </c>
      <c r="F136" s="2"/>
      <c r="G136" s="2"/>
      <c r="H136" s="2">
        <v>1.36</v>
      </c>
      <c r="I136" s="2"/>
      <c r="J136" s="2"/>
      <c r="K136" s="2">
        <v>1.7</v>
      </c>
      <c r="L136" s="2"/>
      <c r="N136" s="2" t="s">
        <v>105</v>
      </c>
      <c r="O136" s="56" t="s">
        <v>90</v>
      </c>
      <c r="P136" s="2" t="s">
        <v>87</v>
      </c>
      <c r="Q136" s="3">
        <v>76.97999999999999</v>
      </c>
      <c r="R136" s="3"/>
    </row>
    <row r="137" spans="1:18">
      <c r="A137" s="2"/>
      <c r="B137" s="2"/>
      <c r="C137" s="2">
        <v>3</v>
      </c>
      <c r="D137" s="2" t="s">
        <v>79</v>
      </c>
      <c r="E137" s="2">
        <v>73.069999999999993</v>
      </c>
      <c r="F137" s="2"/>
      <c r="G137" s="2"/>
      <c r="H137" s="28">
        <v>7.24</v>
      </c>
      <c r="I137" s="2"/>
      <c r="J137" s="2"/>
      <c r="K137" s="2">
        <v>2.1</v>
      </c>
      <c r="L137" s="2"/>
      <c r="N137" s="2" t="s">
        <v>105</v>
      </c>
      <c r="O137" s="56" t="s">
        <v>90</v>
      </c>
      <c r="P137" s="2" t="s">
        <v>79</v>
      </c>
      <c r="Q137" s="3">
        <v>82.269999999999982</v>
      </c>
      <c r="R137" s="3"/>
    </row>
    <row r="138" spans="1:18">
      <c r="A138" s="2"/>
      <c r="B138" s="2"/>
      <c r="C138" s="2">
        <v>3</v>
      </c>
      <c r="D138" s="2" t="s">
        <v>88</v>
      </c>
      <c r="E138" s="2">
        <v>84.28</v>
      </c>
      <c r="F138" s="2">
        <f>AVERAGE(E134:E138)</f>
        <v>69.801999999999992</v>
      </c>
      <c r="G138" s="2"/>
      <c r="H138" s="2">
        <v>5.67</v>
      </c>
      <c r="I138" s="2">
        <f>AVERAGE(H134:H138)</f>
        <v>4.57</v>
      </c>
      <c r="J138" s="2"/>
      <c r="K138" s="2">
        <v>3.3</v>
      </c>
      <c r="L138" s="2">
        <f>AVERAGE(K134:K138)</f>
        <v>2.4200000000000004</v>
      </c>
      <c r="N138" s="2" t="s">
        <v>105</v>
      </c>
      <c r="O138" s="56" t="s">
        <v>90</v>
      </c>
      <c r="P138" s="2" t="s">
        <v>88</v>
      </c>
      <c r="Q138" s="3">
        <v>93.25</v>
      </c>
      <c r="R138" s="3"/>
    </row>
    <row r="139" spans="1:18">
      <c r="A139" s="2"/>
      <c r="B139" s="2"/>
      <c r="C139" s="2">
        <v>4</v>
      </c>
      <c r="D139" s="2" t="s">
        <v>83</v>
      </c>
      <c r="E139" s="2">
        <v>59.71</v>
      </c>
      <c r="F139" s="2"/>
      <c r="G139" s="2"/>
      <c r="H139" s="2">
        <v>1.95</v>
      </c>
      <c r="I139" s="2"/>
      <c r="J139" s="2"/>
      <c r="K139" s="2">
        <v>3.8</v>
      </c>
      <c r="L139" s="2"/>
      <c r="N139" s="2" t="s">
        <v>105</v>
      </c>
      <c r="O139" s="56" t="s">
        <v>93</v>
      </c>
      <c r="P139" s="2" t="s">
        <v>83</v>
      </c>
      <c r="Q139" s="3">
        <v>65.460000000000008</v>
      </c>
      <c r="R139" s="3"/>
    </row>
    <row r="140" spans="1:18">
      <c r="A140" s="2"/>
      <c r="B140" s="2"/>
      <c r="C140" s="2">
        <v>4</v>
      </c>
      <c r="D140" s="2" t="s">
        <v>85</v>
      </c>
      <c r="E140" s="2">
        <v>66.039999999999992</v>
      </c>
      <c r="F140" s="2"/>
      <c r="G140" s="2"/>
      <c r="H140" s="2">
        <v>2.2200000000000002</v>
      </c>
      <c r="I140" s="2"/>
      <c r="J140" s="2"/>
      <c r="K140" s="2">
        <v>4.5</v>
      </c>
      <c r="L140" s="2"/>
      <c r="N140" s="2" t="s">
        <v>105</v>
      </c>
      <c r="O140" s="56" t="s">
        <v>93</v>
      </c>
      <c r="P140" s="2" t="s">
        <v>85</v>
      </c>
      <c r="Q140" s="3">
        <v>72.759999999999991</v>
      </c>
      <c r="R140" s="3"/>
    </row>
    <row r="141" spans="1:18">
      <c r="A141" s="2"/>
      <c r="B141" s="2"/>
      <c r="C141" s="2">
        <v>4</v>
      </c>
      <c r="D141" s="2" t="s">
        <v>87</v>
      </c>
      <c r="E141" s="2">
        <v>65.88</v>
      </c>
      <c r="F141" s="2"/>
      <c r="G141" s="2"/>
      <c r="H141" s="2">
        <v>3.31</v>
      </c>
      <c r="I141" s="2"/>
      <c r="J141" s="2"/>
      <c r="K141" s="2">
        <v>3.1</v>
      </c>
      <c r="L141" s="2"/>
      <c r="N141" s="2" t="s">
        <v>105</v>
      </c>
      <c r="O141" s="56" t="s">
        <v>93</v>
      </c>
      <c r="P141" s="2" t="s">
        <v>87</v>
      </c>
      <c r="Q141" s="3">
        <v>72.289999999999992</v>
      </c>
      <c r="R141" s="3"/>
    </row>
    <row r="142" spans="1:18">
      <c r="A142" s="2"/>
      <c r="B142" s="2"/>
      <c r="C142" s="2">
        <v>4</v>
      </c>
      <c r="D142" s="2" t="s">
        <v>79</v>
      </c>
      <c r="E142" s="2">
        <v>52.36</v>
      </c>
      <c r="F142" s="2"/>
      <c r="G142" s="2"/>
      <c r="H142" s="28">
        <v>0.94</v>
      </c>
      <c r="I142" s="2"/>
      <c r="J142" s="2"/>
      <c r="K142" s="2">
        <v>3.5</v>
      </c>
      <c r="L142" s="2"/>
      <c r="N142" s="2" t="s">
        <v>105</v>
      </c>
      <c r="O142" s="56" t="s">
        <v>93</v>
      </c>
      <c r="P142" s="2" t="s">
        <v>79</v>
      </c>
      <c r="Q142" s="3">
        <v>56.89</v>
      </c>
      <c r="R142" s="3"/>
    </row>
    <row r="143" spans="1:18">
      <c r="A143" s="2"/>
      <c r="B143" s="2"/>
      <c r="C143" s="2">
        <v>4</v>
      </c>
      <c r="D143" s="2" t="s">
        <v>88</v>
      </c>
      <c r="E143" s="2">
        <v>85.64</v>
      </c>
      <c r="F143" s="2">
        <f>AVERAGE(E139:E143)</f>
        <v>65.926000000000002</v>
      </c>
      <c r="G143" s="2"/>
      <c r="H143" s="2">
        <v>7.47</v>
      </c>
      <c r="I143" s="2">
        <f>AVERAGE(H139:H143)</f>
        <v>3.1779999999999999</v>
      </c>
      <c r="J143" s="2"/>
      <c r="K143" s="2">
        <v>4.2</v>
      </c>
      <c r="L143" s="2">
        <f>AVERAGE(K139:K143)</f>
        <v>3.8200000000000003</v>
      </c>
      <c r="N143" s="2" t="s">
        <v>105</v>
      </c>
      <c r="O143" s="56" t="s">
        <v>93</v>
      </c>
      <c r="P143" s="2" t="s">
        <v>88</v>
      </c>
      <c r="Q143" s="3">
        <v>97.31</v>
      </c>
      <c r="R143" s="3"/>
    </row>
    <row r="144" spans="1:18">
      <c r="A144" s="2" t="s">
        <v>106</v>
      </c>
      <c r="B144" s="2" t="s">
        <v>107</v>
      </c>
      <c r="C144" s="2">
        <v>1</v>
      </c>
      <c r="D144" s="2" t="s">
        <v>83</v>
      </c>
      <c r="E144" s="2">
        <v>63.610000000000007</v>
      </c>
      <c r="F144" s="2"/>
      <c r="G144" s="2"/>
      <c r="H144" s="2">
        <v>3.47</v>
      </c>
      <c r="I144" s="2"/>
      <c r="J144" s="2"/>
      <c r="K144" s="2">
        <v>5.2</v>
      </c>
      <c r="L144" s="2"/>
      <c r="N144" s="2" t="s">
        <v>107</v>
      </c>
      <c r="O144" s="56" t="s">
        <v>90</v>
      </c>
      <c r="P144" s="2" t="s">
        <v>83</v>
      </c>
      <c r="Q144" s="3">
        <v>72.280000000000015</v>
      </c>
      <c r="R144" s="3"/>
    </row>
    <row r="145" spans="1:18">
      <c r="A145" s="2"/>
      <c r="B145" s="2"/>
      <c r="C145" s="2">
        <v>1</v>
      </c>
      <c r="D145" s="2" t="s">
        <v>108</v>
      </c>
      <c r="E145" s="2">
        <v>84.57</v>
      </c>
      <c r="F145" s="2"/>
      <c r="G145" s="2"/>
      <c r="H145" s="21">
        <v>4.68</v>
      </c>
      <c r="I145" s="2"/>
      <c r="J145" s="2"/>
      <c r="K145" s="2">
        <v>4.8</v>
      </c>
      <c r="L145" s="2"/>
      <c r="N145" s="2" t="s">
        <v>107</v>
      </c>
      <c r="O145" s="56" t="s">
        <v>90</v>
      </c>
      <c r="P145" s="2" t="s">
        <v>108</v>
      </c>
      <c r="Q145" s="3">
        <v>94.97999999999999</v>
      </c>
      <c r="R145" s="3"/>
    </row>
    <row r="146" spans="1:18">
      <c r="A146" s="2" t="s">
        <v>144</v>
      </c>
      <c r="B146" s="2"/>
      <c r="C146" s="2">
        <v>1</v>
      </c>
      <c r="D146" s="2" t="s">
        <v>109</v>
      </c>
      <c r="E146" s="2">
        <v>83.02</v>
      </c>
      <c r="F146" s="2"/>
      <c r="G146" s="2"/>
      <c r="H146" s="2">
        <v>4.28</v>
      </c>
      <c r="I146" s="2"/>
      <c r="J146" s="2"/>
      <c r="K146" s="2">
        <v>12.6</v>
      </c>
      <c r="L146" s="2"/>
      <c r="N146" s="2" t="s">
        <v>107</v>
      </c>
      <c r="O146" s="56" t="s">
        <v>90</v>
      </c>
      <c r="P146" s="2" t="s">
        <v>109</v>
      </c>
      <c r="Q146" s="3">
        <v>99.899999999999991</v>
      </c>
      <c r="R146" s="3"/>
    </row>
    <row r="147" spans="1:18">
      <c r="A147" s="2"/>
      <c r="B147" s="2"/>
      <c r="C147" s="2">
        <v>1</v>
      </c>
      <c r="D147" s="2" t="s">
        <v>87</v>
      </c>
      <c r="E147" s="60">
        <v>132.09</v>
      </c>
      <c r="F147" s="2"/>
      <c r="G147" s="2"/>
      <c r="H147" s="21">
        <v>6.44</v>
      </c>
      <c r="I147" s="2"/>
      <c r="J147" s="2"/>
      <c r="K147" s="2">
        <v>12.4</v>
      </c>
      <c r="L147" s="2"/>
      <c r="N147" s="2" t="s">
        <v>107</v>
      </c>
      <c r="O147" s="56" t="s">
        <v>90</v>
      </c>
      <c r="P147" s="2" t="s">
        <v>87</v>
      </c>
      <c r="Q147" s="3">
        <v>159.71</v>
      </c>
      <c r="R147" s="3"/>
    </row>
    <row r="148" spans="1:18">
      <c r="A148" s="2"/>
      <c r="B148" s="2"/>
      <c r="C148" s="2">
        <v>1</v>
      </c>
      <c r="D148" s="28" t="s">
        <v>142</v>
      </c>
      <c r="E148" s="2">
        <v>92.94</v>
      </c>
      <c r="F148" s="2">
        <f>AVERAGE(E144:E148)</f>
        <v>91.245999999999995</v>
      </c>
      <c r="G148" s="2"/>
      <c r="H148" s="2">
        <v>6.67</v>
      </c>
      <c r="I148" s="2">
        <f>AVERAGE(H144:H148)</f>
        <v>5.1079999999999997</v>
      </c>
      <c r="J148" s="2"/>
      <c r="K148" s="2">
        <v>11</v>
      </c>
      <c r="L148" s="2">
        <f>AVERAGE(K144:K148)</f>
        <v>9.1999999999999993</v>
      </c>
      <c r="N148" s="2" t="s">
        <v>107</v>
      </c>
      <c r="O148" s="56" t="s">
        <v>90</v>
      </c>
      <c r="P148" s="2" t="s">
        <v>79</v>
      </c>
      <c r="Q148" s="3">
        <v>110.61</v>
      </c>
      <c r="R148" s="3"/>
    </row>
    <row r="149" spans="1:18">
      <c r="A149" s="2"/>
      <c r="B149" s="2"/>
      <c r="C149" s="2">
        <v>2</v>
      </c>
      <c r="D149" s="2" t="s">
        <v>83</v>
      </c>
      <c r="E149" s="2">
        <v>82.66</v>
      </c>
      <c r="F149" s="2"/>
      <c r="G149" s="2"/>
      <c r="H149" s="21">
        <v>5.12</v>
      </c>
      <c r="I149" s="2"/>
      <c r="J149" s="2"/>
      <c r="K149" s="2">
        <v>5.7</v>
      </c>
      <c r="L149" s="2"/>
      <c r="N149" s="2" t="s">
        <v>107</v>
      </c>
      <c r="O149" s="56" t="s">
        <v>93</v>
      </c>
      <c r="P149" s="2" t="s">
        <v>83</v>
      </c>
      <c r="Q149" s="3">
        <v>94.82</v>
      </c>
      <c r="R149" s="3"/>
    </row>
    <row r="150" spans="1:18">
      <c r="A150" s="2"/>
      <c r="B150" s="2"/>
      <c r="C150" s="2">
        <v>2</v>
      </c>
      <c r="D150" s="2" t="s">
        <v>108</v>
      </c>
      <c r="E150" s="2">
        <v>75.179999999999993</v>
      </c>
      <c r="F150" s="2"/>
      <c r="G150" s="2"/>
      <c r="H150" s="21">
        <v>8.7799999999999994</v>
      </c>
      <c r="I150" s="2"/>
      <c r="J150" s="2"/>
      <c r="K150" s="2">
        <v>4.9000000000000004</v>
      </c>
      <c r="L150" s="2"/>
      <c r="N150" s="2" t="s">
        <v>107</v>
      </c>
      <c r="O150" s="56" t="s">
        <v>93</v>
      </c>
      <c r="P150" s="2" t="s">
        <v>108</v>
      </c>
      <c r="Q150" s="3">
        <v>89.49</v>
      </c>
      <c r="R150" s="3"/>
    </row>
    <row r="151" spans="1:18">
      <c r="A151" s="2"/>
      <c r="B151" s="2"/>
      <c r="C151" s="2">
        <v>2</v>
      </c>
      <c r="D151" s="2" t="s">
        <v>109</v>
      </c>
      <c r="E151" s="2">
        <v>75.75</v>
      </c>
      <c r="F151" s="2"/>
      <c r="G151" s="2"/>
      <c r="H151" s="2">
        <v>6.75</v>
      </c>
      <c r="I151" s="2"/>
      <c r="J151" s="2"/>
      <c r="K151" s="2">
        <v>3.6</v>
      </c>
      <c r="L151" s="2"/>
      <c r="N151" s="2" t="s">
        <v>107</v>
      </c>
      <c r="O151" s="56" t="s">
        <v>93</v>
      </c>
      <c r="P151" s="2" t="s">
        <v>109</v>
      </c>
      <c r="Q151" s="3">
        <v>86.1</v>
      </c>
      <c r="R151" s="3"/>
    </row>
    <row r="152" spans="1:18">
      <c r="A152" s="2"/>
      <c r="B152" s="2"/>
      <c r="C152" s="2">
        <v>2</v>
      </c>
      <c r="D152" s="2" t="s">
        <v>87</v>
      </c>
      <c r="E152" s="2">
        <v>83.99</v>
      </c>
      <c r="F152" s="2"/>
      <c r="G152" s="2"/>
      <c r="H152" s="2">
        <v>7.27</v>
      </c>
      <c r="I152" s="2"/>
      <c r="J152" s="2"/>
      <c r="K152" s="2">
        <v>5.0999999999999996</v>
      </c>
      <c r="L152" s="2"/>
      <c r="N152" s="2" t="s">
        <v>107</v>
      </c>
      <c r="O152" s="56" t="s">
        <v>93</v>
      </c>
      <c r="P152" s="2" t="s">
        <v>87</v>
      </c>
      <c r="Q152" s="3">
        <v>96.359999999999985</v>
      </c>
      <c r="R152" s="3"/>
    </row>
    <row r="153" spans="1:18">
      <c r="A153" s="2"/>
      <c r="B153" s="2"/>
      <c r="C153" s="2">
        <v>2</v>
      </c>
      <c r="D153" s="2" t="s">
        <v>79</v>
      </c>
      <c r="E153" s="2">
        <v>90.69</v>
      </c>
      <c r="F153" s="2">
        <f>AVERAGE(E149:E153)</f>
        <v>81.653999999999996</v>
      </c>
      <c r="G153" s="2"/>
      <c r="H153" s="2">
        <v>6.88</v>
      </c>
      <c r="I153" s="2">
        <f>AVERAGE(H149:H153)</f>
        <v>6.9599999999999991</v>
      </c>
      <c r="J153" s="2"/>
      <c r="K153" s="2">
        <v>8.6999999999999993</v>
      </c>
      <c r="L153" s="2">
        <f>AVERAGE(K149:K153)</f>
        <v>5.6</v>
      </c>
      <c r="N153" s="2" t="s">
        <v>107</v>
      </c>
      <c r="O153" s="56" t="s">
        <v>93</v>
      </c>
      <c r="P153" s="2" t="s">
        <v>79</v>
      </c>
      <c r="Q153" s="3">
        <v>106.27</v>
      </c>
      <c r="R153" s="3"/>
    </row>
    <row r="154" spans="1:18">
      <c r="A154" s="2"/>
      <c r="B154" s="2"/>
      <c r="C154" s="2">
        <v>3</v>
      </c>
      <c r="D154" s="2" t="s">
        <v>83</v>
      </c>
      <c r="E154" s="2">
        <v>62.24</v>
      </c>
      <c r="F154" s="2"/>
      <c r="G154" s="2"/>
      <c r="H154" s="2">
        <v>11.54</v>
      </c>
      <c r="I154" s="2"/>
      <c r="J154" s="2"/>
      <c r="K154" s="2">
        <v>4.5</v>
      </c>
      <c r="L154" s="2"/>
      <c r="N154" s="2" t="s">
        <v>107</v>
      </c>
      <c r="O154" s="56" t="s">
        <v>142</v>
      </c>
      <c r="P154" s="2" t="s">
        <v>83</v>
      </c>
      <c r="Q154" s="3">
        <v>78.28</v>
      </c>
      <c r="R154" s="3"/>
    </row>
    <row r="155" spans="1:18">
      <c r="A155" s="2"/>
      <c r="B155" s="2"/>
      <c r="C155" s="2">
        <v>3</v>
      </c>
      <c r="D155" s="2" t="s">
        <v>108</v>
      </c>
      <c r="E155" s="2">
        <v>84.49</v>
      </c>
      <c r="F155" s="2"/>
      <c r="G155" s="2"/>
      <c r="H155" s="2">
        <v>6.08</v>
      </c>
      <c r="I155" s="2"/>
      <c r="J155" s="2"/>
      <c r="K155" s="2">
        <v>4.8</v>
      </c>
      <c r="L155" s="2"/>
      <c r="N155" s="2" t="s">
        <v>107</v>
      </c>
      <c r="O155" s="56" t="s">
        <v>142</v>
      </c>
      <c r="P155" s="2" t="s">
        <v>108</v>
      </c>
      <c r="Q155" s="3">
        <v>95.36999999999999</v>
      </c>
      <c r="R155" s="3"/>
    </row>
    <row r="156" spans="1:18">
      <c r="A156" s="2"/>
      <c r="B156" s="2"/>
      <c r="C156" s="2">
        <v>3</v>
      </c>
      <c r="D156" s="2" t="s">
        <v>109</v>
      </c>
      <c r="E156" s="2">
        <v>68.489999999999995</v>
      </c>
      <c r="F156" s="2"/>
      <c r="G156" s="2"/>
      <c r="H156" s="2">
        <v>6.87</v>
      </c>
      <c r="I156" s="2"/>
      <c r="J156" s="2"/>
      <c r="K156" s="2">
        <v>8.8000000000000007</v>
      </c>
      <c r="L156" s="2"/>
      <c r="N156" s="2" t="s">
        <v>107</v>
      </c>
      <c r="O156" s="56" t="s">
        <v>142</v>
      </c>
      <c r="P156" s="2" t="s">
        <v>109</v>
      </c>
      <c r="Q156" s="3">
        <v>84.16</v>
      </c>
      <c r="R156" s="3"/>
    </row>
    <row r="157" spans="1:18">
      <c r="A157" s="2"/>
      <c r="B157" s="2"/>
      <c r="C157" s="2">
        <v>3</v>
      </c>
      <c r="D157" s="2" t="s">
        <v>87</v>
      </c>
      <c r="E157" s="2">
        <v>68.209999999999994</v>
      </c>
      <c r="F157" s="2"/>
      <c r="G157" s="2"/>
      <c r="H157" s="76">
        <v>6.81</v>
      </c>
      <c r="I157" s="2"/>
      <c r="J157" s="2"/>
      <c r="K157" s="2">
        <v>7</v>
      </c>
      <c r="L157" s="2"/>
      <c r="N157" s="2" t="s">
        <v>107</v>
      </c>
      <c r="O157" s="56" t="s">
        <v>142</v>
      </c>
      <c r="P157" s="2" t="s">
        <v>87</v>
      </c>
      <c r="Q157" s="3">
        <v>82.039999999999992</v>
      </c>
      <c r="R157" s="3"/>
    </row>
    <row r="158" spans="1:18">
      <c r="A158" s="2"/>
      <c r="B158" s="2"/>
      <c r="C158" s="2">
        <v>3</v>
      </c>
      <c r="D158" s="2" t="s">
        <v>79</v>
      </c>
      <c r="E158" s="2">
        <v>72.259999999999991</v>
      </c>
      <c r="F158" s="2">
        <f>AVERAGE(E154:E158)</f>
        <v>71.137999999999991</v>
      </c>
      <c r="G158" s="2"/>
      <c r="H158" s="2">
        <v>5.95</v>
      </c>
      <c r="I158" s="2">
        <f>AVERAGE(H154:H158)</f>
        <v>7.45</v>
      </c>
      <c r="J158" s="2"/>
      <c r="K158" s="2">
        <v>4.4000000000000004</v>
      </c>
      <c r="L158" s="2">
        <f>AVERAGE(K154:K158)</f>
        <v>5.9</v>
      </c>
      <c r="N158" s="2" t="s">
        <v>107</v>
      </c>
      <c r="O158" s="56" t="s">
        <v>142</v>
      </c>
      <c r="P158" s="2" t="s">
        <v>79</v>
      </c>
      <c r="Q158" s="3">
        <v>82.61</v>
      </c>
      <c r="R158" s="3"/>
    </row>
    <row r="159" spans="1:18">
      <c r="A159" s="2"/>
      <c r="B159" s="2"/>
      <c r="C159" s="2">
        <v>4</v>
      </c>
      <c r="D159" s="2" t="s">
        <v>83</v>
      </c>
      <c r="E159" s="4">
        <v>67.400000000000006</v>
      </c>
      <c r="F159" s="2"/>
      <c r="G159" s="2"/>
      <c r="H159" s="2">
        <v>2.65</v>
      </c>
      <c r="I159" s="2"/>
      <c r="J159" s="2"/>
      <c r="K159" s="2">
        <v>7.3</v>
      </c>
      <c r="L159" s="2"/>
      <c r="N159" s="2" t="s">
        <v>107</v>
      </c>
      <c r="O159" s="56" t="s">
        <v>92</v>
      </c>
      <c r="P159" s="2" t="s">
        <v>83</v>
      </c>
      <c r="Q159" s="3">
        <v>77.350000000000009</v>
      </c>
      <c r="R159" s="3"/>
    </row>
    <row r="160" spans="1:18">
      <c r="A160" s="2"/>
      <c r="B160" s="2"/>
      <c r="C160" s="2">
        <v>4</v>
      </c>
      <c r="D160" s="2" t="s">
        <v>108</v>
      </c>
      <c r="E160" s="2">
        <v>80.5</v>
      </c>
      <c r="F160" s="2"/>
      <c r="G160" s="2"/>
      <c r="H160" s="2">
        <v>12.34</v>
      </c>
      <c r="I160" s="2"/>
      <c r="J160" s="2"/>
      <c r="K160" s="2">
        <v>6.7</v>
      </c>
      <c r="L160" s="2"/>
      <c r="N160" s="2" t="s">
        <v>107</v>
      </c>
      <c r="O160" s="56" t="s">
        <v>92</v>
      </c>
      <c r="P160" s="2" t="s">
        <v>108</v>
      </c>
      <c r="Q160" s="3">
        <v>99.54</v>
      </c>
      <c r="R160" s="3"/>
    </row>
    <row r="161" spans="1:18">
      <c r="A161" s="2"/>
      <c r="B161" s="2"/>
      <c r="C161" s="2">
        <v>4</v>
      </c>
      <c r="D161" s="2" t="s">
        <v>109</v>
      </c>
      <c r="E161" s="4">
        <v>75.400000000000006</v>
      </c>
      <c r="F161" s="2"/>
      <c r="G161" s="2"/>
      <c r="H161" s="2">
        <v>5.33</v>
      </c>
      <c r="I161" s="2"/>
      <c r="J161" s="2"/>
      <c r="K161" s="2">
        <v>6.6</v>
      </c>
      <c r="L161" s="2"/>
      <c r="N161" s="2" t="s">
        <v>107</v>
      </c>
      <c r="O161" s="56" t="s">
        <v>92</v>
      </c>
      <c r="P161" s="2" t="s">
        <v>109</v>
      </c>
      <c r="Q161" s="3">
        <v>87.33</v>
      </c>
      <c r="R161" s="3"/>
    </row>
    <row r="162" spans="1:18">
      <c r="A162" s="2"/>
      <c r="B162" s="2"/>
      <c r="C162" s="2">
        <v>4</v>
      </c>
      <c r="D162" s="2" t="s">
        <v>87</v>
      </c>
      <c r="E162" s="2">
        <v>82.4</v>
      </c>
      <c r="F162" s="2"/>
      <c r="G162" s="2"/>
      <c r="H162" s="2">
        <v>8.98</v>
      </c>
      <c r="I162" s="2"/>
      <c r="J162" s="2"/>
      <c r="K162" s="2">
        <v>5.8</v>
      </c>
      <c r="L162" s="2"/>
      <c r="N162" s="2" t="s">
        <v>107</v>
      </c>
      <c r="O162" s="56" t="s">
        <v>92</v>
      </c>
      <c r="P162" s="2" t="s">
        <v>87</v>
      </c>
      <c r="Q162" s="3">
        <v>97.18</v>
      </c>
      <c r="R162" s="3"/>
    </row>
    <row r="163" spans="1:18">
      <c r="A163" s="2"/>
      <c r="B163" s="2"/>
      <c r="C163" s="2">
        <v>4</v>
      </c>
      <c r="D163" s="2" t="s">
        <v>79</v>
      </c>
      <c r="E163" s="2">
        <v>84.7</v>
      </c>
      <c r="F163" s="2">
        <f>AVERAGE(E159:E163)</f>
        <v>78.080000000000013</v>
      </c>
      <c r="G163" s="2"/>
      <c r="H163" s="2">
        <v>4.91</v>
      </c>
      <c r="I163" s="2">
        <f>AVERAGE(H159:H163)</f>
        <v>6.8420000000000005</v>
      </c>
      <c r="J163" s="2"/>
      <c r="K163" s="2">
        <v>5.3</v>
      </c>
      <c r="L163" s="2">
        <f>AVERAGE(K159:K163)</f>
        <v>6.3400000000000007</v>
      </c>
      <c r="N163" s="2" t="s">
        <v>107</v>
      </c>
      <c r="O163" s="56" t="s">
        <v>92</v>
      </c>
      <c r="P163" s="2" t="s">
        <v>79</v>
      </c>
      <c r="Q163" s="3">
        <v>94.91</v>
      </c>
      <c r="R163" s="3"/>
    </row>
    <row r="164" spans="1:18">
      <c r="A164" s="2" t="s">
        <v>106</v>
      </c>
      <c r="B164" s="2" t="s">
        <v>110</v>
      </c>
      <c r="C164" s="2">
        <v>1</v>
      </c>
      <c r="D164" s="2" t="s">
        <v>83</v>
      </c>
      <c r="E164" s="2">
        <v>55.699999999999996</v>
      </c>
      <c r="F164" s="2"/>
      <c r="G164" s="2"/>
      <c r="H164" s="76">
        <v>12.04</v>
      </c>
      <c r="I164" s="2"/>
      <c r="J164" s="2"/>
      <c r="K164" s="2">
        <v>3.9</v>
      </c>
      <c r="L164" s="2"/>
      <c r="N164" s="2" t="s">
        <v>110</v>
      </c>
      <c r="O164" s="56" t="s">
        <v>92</v>
      </c>
      <c r="P164" s="2" t="s">
        <v>83</v>
      </c>
      <c r="Q164" s="3">
        <v>72.320000000000007</v>
      </c>
      <c r="R164" s="3"/>
    </row>
    <row r="165" spans="1:18">
      <c r="A165" s="2"/>
      <c r="B165" s="2"/>
      <c r="C165" s="2">
        <v>1</v>
      </c>
      <c r="D165" s="2" t="s">
        <v>85</v>
      </c>
      <c r="E165" s="2">
        <v>81.679999999999993</v>
      </c>
      <c r="F165" s="2"/>
      <c r="G165" s="2"/>
      <c r="H165" s="2">
        <v>11.71</v>
      </c>
      <c r="I165" s="2"/>
      <c r="J165" s="2"/>
      <c r="K165" s="2">
        <v>4.3</v>
      </c>
      <c r="L165" s="2"/>
      <c r="N165" s="2" t="s">
        <v>110</v>
      </c>
      <c r="O165" s="56" t="s">
        <v>92</v>
      </c>
      <c r="P165" s="2" t="s">
        <v>85</v>
      </c>
      <c r="Q165" s="3">
        <v>97.689999999999984</v>
      </c>
      <c r="R165" s="3"/>
    </row>
    <row r="166" spans="1:18">
      <c r="A166" s="2" t="s">
        <v>168</v>
      </c>
      <c r="B166" s="2"/>
      <c r="C166" s="2">
        <v>1</v>
      </c>
      <c r="D166" s="2" t="s">
        <v>109</v>
      </c>
      <c r="E166" s="2">
        <v>50</v>
      </c>
      <c r="F166" s="2"/>
      <c r="G166" s="2"/>
      <c r="H166" s="2">
        <v>13.77</v>
      </c>
      <c r="I166" s="2"/>
      <c r="J166" s="2"/>
      <c r="K166" s="2">
        <v>3.6</v>
      </c>
      <c r="L166" s="2"/>
      <c r="N166" s="2" t="s">
        <v>110</v>
      </c>
      <c r="O166" s="56" t="s">
        <v>92</v>
      </c>
      <c r="P166" s="2" t="s">
        <v>109</v>
      </c>
      <c r="Q166" s="3">
        <v>67.36999999999999</v>
      </c>
      <c r="R166" s="3"/>
    </row>
    <row r="167" spans="1:18">
      <c r="A167" s="2"/>
      <c r="B167" s="2"/>
      <c r="C167" s="2">
        <v>1</v>
      </c>
      <c r="D167" s="2" t="s">
        <v>111</v>
      </c>
      <c r="E167" s="2">
        <v>69.16</v>
      </c>
      <c r="F167" s="2"/>
      <c r="G167" s="2"/>
      <c r="H167" s="2">
        <v>6.67</v>
      </c>
      <c r="I167" s="2"/>
      <c r="J167" s="2"/>
      <c r="K167" s="2">
        <v>3.9</v>
      </c>
      <c r="L167" s="2"/>
      <c r="N167" s="2" t="s">
        <v>110</v>
      </c>
      <c r="O167" s="56" t="s">
        <v>92</v>
      </c>
      <c r="P167" s="2" t="s">
        <v>111</v>
      </c>
      <c r="Q167" s="3">
        <v>79.73</v>
      </c>
      <c r="R167" s="3"/>
    </row>
    <row r="168" spans="1:18">
      <c r="A168" s="2"/>
      <c r="B168" s="2"/>
      <c r="C168" s="2">
        <v>1</v>
      </c>
      <c r="D168" s="2" t="s">
        <v>79</v>
      </c>
      <c r="E168" s="2">
        <v>68.89</v>
      </c>
      <c r="F168" s="2">
        <f>AVERAGE(E164:E168)</f>
        <v>65.085999999999984</v>
      </c>
      <c r="G168" s="2"/>
      <c r="H168" s="2">
        <v>7.26</v>
      </c>
      <c r="I168" s="2">
        <f>AVERAGE(H164:H168)</f>
        <v>10.29</v>
      </c>
      <c r="J168" s="2"/>
      <c r="K168" s="2">
        <v>4.7</v>
      </c>
      <c r="L168" s="2">
        <f>AVERAGE(K164:K168)</f>
        <v>4.08</v>
      </c>
      <c r="N168" s="2" t="s">
        <v>110</v>
      </c>
      <c r="O168" s="56" t="s">
        <v>92</v>
      </c>
      <c r="P168" s="2" t="s">
        <v>79</v>
      </c>
      <c r="Q168" s="3">
        <v>80.850000000000009</v>
      </c>
      <c r="R168" s="3"/>
    </row>
    <row r="169" spans="1:18">
      <c r="A169" s="2"/>
      <c r="B169" s="2"/>
      <c r="C169" s="2">
        <v>2</v>
      </c>
      <c r="D169" s="2" t="s">
        <v>83</v>
      </c>
      <c r="E169" s="2">
        <v>82.97999999999999</v>
      </c>
      <c r="F169" s="2"/>
      <c r="G169" s="2"/>
      <c r="H169" s="2">
        <v>14.78</v>
      </c>
      <c r="I169" s="2"/>
      <c r="J169" s="2"/>
      <c r="K169" s="2">
        <v>5.9</v>
      </c>
      <c r="L169" s="2"/>
      <c r="N169" s="2" t="s">
        <v>110</v>
      </c>
      <c r="O169" s="56" t="s">
        <v>93</v>
      </c>
      <c r="P169" s="2" t="s">
        <v>83</v>
      </c>
      <c r="Q169" s="3">
        <v>103.66</v>
      </c>
      <c r="R169" s="3"/>
    </row>
    <row r="170" spans="1:18">
      <c r="A170" s="2"/>
      <c r="B170" s="2"/>
      <c r="C170" s="2">
        <v>2</v>
      </c>
      <c r="D170" s="2" t="s">
        <v>85</v>
      </c>
      <c r="E170" s="2">
        <v>66.28</v>
      </c>
      <c r="F170" s="2"/>
      <c r="G170" s="2"/>
      <c r="H170" s="21">
        <v>4.54</v>
      </c>
      <c r="I170" s="2"/>
      <c r="J170" s="2"/>
      <c r="K170" s="2">
        <v>4.9000000000000004</v>
      </c>
      <c r="L170" s="2"/>
      <c r="N170" s="2" t="s">
        <v>110</v>
      </c>
      <c r="O170" s="56" t="s">
        <v>93</v>
      </c>
      <c r="P170" s="2" t="s">
        <v>85</v>
      </c>
      <c r="Q170" s="3">
        <v>85.960000000000008</v>
      </c>
      <c r="R170" s="3"/>
    </row>
    <row r="171" spans="1:18">
      <c r="A171" s="2"/>
      <c r="B171" s="2"/>
      <c r="C171" s="2">
        <v>2</v>
      </c>
      <c r="D171" s="28" t="s">
        <v>87</v>
      </c>
      <c r="E171" s="2">
        <v>70.239999999999995</v>
      </c>
      <c r="F171" s="2"/>
      <c r="G171" s="2"/>
      <c r="H171" s="76">
        <v>4.5599999999999996</v>
      </c>
      <c r="I171" s="2"/>
      <c r="J171" s="2"/>
      <c r="K171" s="2">
        <v>4.3</v>
      </c>
      <c r="L171" s="2"/>
      <c r="N171" s="2" t="s">
        <v>110</v>
      </c>
      <c r="O171" s="56" t="s">
        <v>93</v>
      </c>
      <c r="P171" s="2" t="s">
        <v>111</v>
      </c>
      <c r="Q171" s="3">
        <v>89.32</v>
      </c>
      <c r="R171" s="3"/>
    </row>
    <row r="172" spans="1:18">
      <c r="A172" s="2"/>
      <c r="B172" s="2"/>
      <c r="C172" s="2">
        <v>2</v>
      </c>
      <c r="D172" s="2" t="s">
        <v>79</v>
      </c>
      <c r="E172" s="2">
        <v>68.47999999999999</v>
      </c>
      <c r="F172" s="2"/>
      <c r="G172" s="2"/>
      <c r="H172" s="2">
        <v>14.78</v>
      </c>
      <c r="I172" s="2"/>
      <c r="J172" s="2"/>
      <c r="K172" s="2">
        <v>7</v>
      </c>
      <c r="L172" s="2"/>
      <c r="N172" s="2" t="s">
        <v>110</v>
      </c>
      <c r="O172" s="56" t="s">
        <v>93</v>
      </c>
      <c r="P172" s="2" t="s">
        <v>79</v>
      </c>
      <c r="Q172" s="3">
        <v>90.259999999999991</v>
      </c>
      <c r="R172" s="3"/>
    </row>
    <row r="173" spans="1:18">
      <c r="A173" s="2"/>
      <c r="B173" s="2"/>
      <c r="C173" s="2">
        <v>2</v>
      </c>
      <c r="D173" s="2" t="s">
        <v>88</v>
      </c>
      <c r="E173" s="2">
        <v>69.25</v>
      </c>
      <c r="F173" s="2">
        <f>AVERAGE(E169:E173)</f>
        <v>71.445999999999998</v>
      </c>
      <c r="G173" s="2"/>
      <c r="H173" s="76">
        <v>7.21</v>
      </c>
      <c r="I173" s="2">
        <f>AVERAGE(H169:H173)</f>
        <v>9.1739999999999995</v>
      </c>
      <c r="J173" s="2"/>
      <c r="K173" s="2">
        <v>5.5</v>
      </c>
      <c r="L173" s="2">
        <f>AVERAGE(K169:K173)</f>
        <v>5.5200000000000005</v>
      </c>
      <c r="N173" s="2" t="s">
        <v>110</v>
      </c>
      <c r="O173" s="56" t="s">
        <v>93</v>
      </c>
      <c r="P173" s="2" t="s">
        <v>88</v>
      </c>
      <c r="Q173" s="3">
        <v>89.53</v>
      </c>
      <c r="R173" s="3"/>
    </row>
    <row r="174" spans="1:18">
      <c r="A174" s="2"/>
      <c r="B174" s="2"/>
      <c r="C174" s="2">
        <v>3</v>
      </c>
      <c r="D174" s="2" t="s">
        <v>83</v>
      </c>
      <c r="E174" s="2">
        <v>64.009999999999991</v>
      </c>
      <c r="F174" s="2"/>
      <c r="G174" s="2"/>
      <c r="H174" s="2">
        <v>6.72</v>
      </c>
      <c r="I174" s="2"/>
      <c r="J174" s="2"/>
      <c r="K174" s="2">
        <v>6.5</v>
      </c>
      <c r="L174" s="2"/>
      <c r="N174" s="2" t="s">
        <v>110</v>
      </c>
      <c r="O174" s="56" t="s">
        <v>90</v>
      </c>
      <c r="P174" s="2" t="s">
        <v>83</v>
      </c>
      <c r="Q174" s="3">
        <v>77.22999999999999</v>
      </c>
      <c r="R174" s="3"/>
    </row>
    <row r="175" spans="1:18">
      <c r="A175" s="2"/>
      <c r="B175" s="2"/>
      <c r="C175" s="2">
        <v>3</v>
      </c>
      <c r="D175" s="2" t="s">
        <v>85</v>
      </c>
      <c r="E175" s="2">
        <v>62.330000000000005</v>
      </c>
      <c r="F175" s="2"/>
      <c r="G175" s="2"/>
      <c r="H175" s="2">
        <v>8.19</v>
      </c>
      <c r="I175" s="2"/>
      <c r="J175" s="2"/>
      <c r="K175" s="2">
        <v>3</v>
      </c>
      <c r="L175" s="2"/>
      <c r="N175" s="2" t="s">
        <v>110</v>
      </c>
      <c r="O175" s="56" t="s">
        <v>90</v>
      </c>
      <c r="P175" s="2" t="s">
        <v>85</v>
      </c>
      <c r="Q175" s="3">
        <v>73.52000000000001</v>
      </c>
      <c r="R175" s="3"/>
    </row>
    <row r="176" spans="1:18">
      <c r="A176" s="2"/>
      <c r="B176" s="2"/>
      <c r="C176" s="2">
        <v>3</v>
      </c>
      <c r="D176" s="2" t="s">
        <v>109</v>
      </c>
      <c r="E176" s="2">
        <v>77.449999999999989</v>
      </c>
      <c r="F176" s="2"/>
      <c r="G176" s="2"/>
      <c r="H176" s="21">
        <v>15.11</v>
      </c>
      <c r="I176" s="2"/>
      <c r="J176" s="2"/>
      <c r="K176" s="2">
        <v>8.6000000000000014</v>
      </c>
      <c r="L176" s="2"/>
      <c r="N176" s="2" t="s">
        <v>110</v>
      </c>
      <c r="O176" s="56" t="s">
        <v>90</v>
      </c>
      <c r="P176" s="2" t="s">
        <v>109</v>
      </c>
      <c r="Q176" s="3">
        <v>103.10999999999999</v>
      </c>
      <c r="R176" s="3"/>
    </row>
    <row r="177" spans="1:18">
      <c r="A177" s="2"/>
      <c r="B177" s="2"/>
      <c r="C177" s="2">
        <v>3</v>
      </c>
      <c r="D177" s="2" t="s">
        <v>79</v>
      </c>
      <c r="E177" s="2">
        <v>75.14</v>
      </c>
      <c r="F177" s="2"/>
      <c r="G177" s="2"/>
      <c r="H177" s="2">
        <v>15.57</v>
      </c>
      <c r="I177" s="2"/>
      <c r="J177" s="2"/>
      <c r="K177" s="2">
        <v>5</v>
      </c>
      <c r="L177" s="2"/>
      <c r="N177" s="2" t="s">
        <v>110</v>
      </c>
      <c r="O177" s="56" t="s">
        <v>90</v>
      </c>
      <c r="P177" s="2" t="s">
        <v>79</v>
      </c>
      <c r="Q177" s="3">
        <v>95.710000000000008</v>
      </c>
      <c r="R177" s="3"/>
    </row>
    <row r="178" spans="1:18">
      <c r="A178" s="2"/>
      <c r="B178" s="2"/>
      <c r="C178" s="2">
        <v>3</v>
      </c>
      <c r="D178" s="2" t="s">
        <v>88</v>
      </c>
      <c r="E178" s="2">
        <v>59.890000000000008</v>
      </c>
      <c r="F178" s="2">
        <f>AVERAGE(E174:E178)</f>
        <v>67.763999999999996</v>
      </c>
      <c r="G178" s="2"/>
      <c r="H178" s="21">
        <v>6.25</v>
      </c>
      <c r="I178" s="2">
        <f>AVERAGE(H174:H178)</f>
        <v>10.368</v>
      </c>
      <c r="J178" s="2"/>
      <c r="K178" s="2">
        <v>6.2</v>
      </c>
      <c r="L178" s="2">
        <f>AVERAGE(K174:K178)</f>
        <v>5.86</v>
      </c>
      <c r="N178" s="2" t="s">
        <v>110</v>
      </c>
      <c r="O178" s="56" t="s">
        <v>90</v>
      </c>
      <c r="P178" s="2" t="s">
        <v>88</v>
      </c>
      <c r="Q178" s="3">
        <v>75.330000000000013</v>
      </c>
      <c r="R178" s="3"/>
    </row>
    <row r="179" spans="1:18">
      <c r="A179" s="2"/>
      <c r="B179" s="2"/>
      <c r="C179" s="2">
        <v>4</v>
      </c>
      <c r="D179" s="2" t="s">
        <v>83</v>
      </c>
      <c r="E179" s="2">
        <v>69.52</v>
      </c>
      <c r="F179" s="2"/>
      <c r="G179" s="2"/>
      <c r="H179" s="2">
        <v>9.48</v>
      </c>
      <c r="I179" s="2"/>
      <c r="J179" s="2"/>
      <c r="K179" s="2">
        <v>12.8</v>
      </c>
      <c r="L179" s="2"/>
      <c r="N179" s="2" t="s">
        <v>110</v>
      </c>
      <c r="O179" s="56" t="s">
        <v>142</v>
      </c>
      <c r="P179" s="2" t="s">
        <v>83</v>
      </c>
      <c r="Q179" s="3">
        <v>91.8</v>
      </c>
      <c r="R179" s="3"/>
    </row>
    <row r="180" spans="1:18">
      <c r="A180" s="2"/>
      <c r="B180" s="2"/>
      <c r="C180" s="2">
        <v>4</v>
      </c>
      <c r="D180" s="2" t="s">
        <v>85</v>
      </c>
      <c r="E180" s="2">
        <v>70.059999999999988</v>
      </c>
      <c r="F180" s="2"/>
      <c r="G180" s="2"/>
      <c r="H180" s="21">
        <v>23.94</v>
      </c>
      <c r="I180" s="2"/>
      <c r="J180" s="2"/>
      <c r="K180" s="2">
        <v>5.9</v>
      </c>
      <c r="L180" s="2"/>
      <c r="N180" s="2" t="s">
        <v>110</v>
      </c>
      <c r="O180" s="56" t="s">
        <v>142</v>
      </c>
      <c r="P180" s="2" t="s">
        <v>85</v>
      </c>
      <c r="Q180" s="3">
        <v>105.83</v>
      </c>
      <c r="R180" s="3"/>
    </row>
    <row r="181" spans="1:18">
      <c r="A181" s="2"/>
      <c r="B181" s="2"/>
      <c r="C181" s="2">
        <v>4</v>
      </c>
      <c r="D181" s="2" t="s">
        <v>87</v>
      </c>
      <c r="E181" s="2">
        <v>78.199999999999989</v>
      </c>
      <c r="F181" s="2"/>
      <c r="G181" s="2"/>
      <c r="H181" s="2">
        <v>21.59</v>
      </c>
      <c r="I181" s="2"/>
      <c r="J181" s="2"/>
      <c r="K181" s="2">
        <v>7.3</v>
      </c>
      <c r="L181" s="2"/>
      <c r="N181" s="2" t="s">
        <v>110</v>
      </c>
      <c r="O181" s="56" t="s">
        <v>142</v>
      </c>
      <c r="P181" s="2" t="s">
        <v>87</v>
      </c>
      <c r="Q181" s="3">
        <v>107.08999999999999</v>
      </c>
      <c r="R181" s="3"/>
    </row>
    <row r="182" spans="1:18">
      <c r="A182" s="2"/>
      <c r="B182" s="2"/>
      <c r="C182" s="2">
        <v>4</v>
      </c>
      <c r="D182" s="2" t="s">
        <v>79</v>
      </c>
      <c r="E182" s="2">
        <v>98.649999999999991</v>
      </c>
      <c r="F182" s="2"/>
      <c r="G182" s="2"/>
      <c r="H182" s="21">
        <v>26.76</v>
      </c>
      <c r="I182" s="2"/>
      <c r="J182" s="2"/>
      <c r="K182" s="2">
        <v>11.8</v>
      </c>
      <c r="L182" s="2"/>
      <c r="N182" s="2" t="s">
        <v>110</v>
      </c>
      <c r="O182" s="56" t="s">
        <v>142</v>
      </c>
      <c r="P182" s="2" t="s">
        <v>79</v>
      </c>
      <c r="Q182" s="3">
        <v>143.79000000000002</v>
      </c>
      <c r="R182" s="3"/>
    </row>
    <row r="183" spans="1:18">
      <c r="A183" s="2"/>
      <c r="B183" s="2"/>
      <c r="C183" s="2">
        <v>4</v>
      </c>
      <c r="D183" s="2" t="s">
        <v>88</v>
      </c>
      <c r="E183" s="2">
        <v>63.419999999999995</v>
      </c>
      <c r="F183" s="2">
        <f>AVERAGE(E179:E183)</f>
        <v>75.97</v>
      </c>
      <c r="G183" s="2"/>
      <c r="H183" s="2">
        <v>26.49</v>
      </c>
      <c r="I183" s="2">
        <f>AVERAGE(H179:H183)</f>
        <v>21.652000000000001</v>
      </c>
      <c r="J183" s="2"/>
      <c r="K183" s="2">
        <v>5.4</v>
      </c>
      <c r="L183" s="2">
        <f>AVERAGE(K179:K183)</f>
        <v>8.64</v>
      </c>
      <c r="N183" s="2" t="s">
        <v>110</v>
      </c>
      <c r="O183" s="56" t="s">
        <v>142</v>
      </c>
      <c r="P183" s="2" t="s">
        <v>88</v>
      </c>
      <c r="Q183" s="3">
        <v>95.31</v>
      </c>
      <c r="R183" s="3"/>
    </row>
    <row r="184" spans="1:18">
      <c r="A184" s="2" t="s">
        <v>112</v>
      </c>
      <c r="B184" s="2" t="s">
        <v>113</v>
      </c>
      <c r="C184" s="2">
        <v>1</v>
      </c>
      <c r="D184" s="2" t="s">
        <v>83</v>
      </c>
      <c r="E184" s="2">
        <v>73.449999999999989</v>
      </c>
      <c r="F184" s="2"/>
      <c r="G184" s="2"/>
      <c r="H184" s="2">
        <v>8.82</v>
      </c>
      <c r="I184" s="2"/>
      <c r="J184" s="2"/>
      <c r="K184" s="2">
        <v>6.8</v>
      </c>
      <c r="L184" s="2"/>
      <c r="N184" s="2" t="s">
        <v>113</v>
      </c>
      <c r="O184" s="56" t="s">
        <v>90</v>
      </c>
      <c r="P184" s="2" t="s">
        <v>83</v>
      </c>
      <c r="Q184" s="3">
        <v>89.069999999999979</v>
      </c>
      <c r="R184" s="3"/>
    </row>
    <row r="185" spans="1:18">
      <c r="A185" s="2"/>
      <c r="B185" s="2"/>
      <c r="C185" s="2">
        <v>1</v>
      </c>
      <c r="D185" s="2" t="s">
        <v>108</v>
      </c>
      <c r="E185" s="2">
        <v>66.63</v>
      </c>
      <c r="F185" s="2"/>
      <c r="G185" s="2"/>
      <c r="H185" s="2">
        <v>10.38</v>
      </c>
      <c r="I185" s="2"/>
      <c r="J185" s="2"/>
      <c r="K185" s="2">
        <v>4.7</v>
      </c>
      <c r="L185" s="2"/>
      <c r="N185" s="2" t="s">
        <v>113</v>
      </c>
      <c r="O185" s="56" t="s">
        <v>90</v>
      </c>
      <c r="P185" s="2" t="s">
        <v>108</v>
      </c>
      <c r="Q185" s="3">
        <v>81.709999999999994</v>
      </c>
      <c r="R185" s="3"/>
    </row>
    <row r="186" spans="1:18">
      <c r="A186" s="2" t="s">
        <v>179</v>
      </c>
      <c r="B186" s="2"/>
      <c r="C186" s="2">
        <v>1</v>
      </c>
      <c r="D186" s="2" t="s">
        <v>109</v>
      </c>
      <c r="E186" s="2">
        <v>59.970000000000006</v>
      </c>
      <c r="F186" s="2"/>
      <c r="G186" s="2"/>
      <c r="H186" s="2">
        <v>9.24</v>
      </c>
      <c r="I186" s="2"/>
      <c r="J186" s="2"/>
      <c r="K186" s="2">
        <v>2.8</v>
      </c>
      <c r="L186" s="2"/>
      <c r="N186" s="2" t="s">
        <v>113</v>
      </c>
      <c r="O186" s="56" t="s">
        <v>90</v>
      </c>
      <c r="P186" s="2" t="s">
        <v>109</v>
      </c>
      <c r="Q186" s="3">
        <v>72.010000000000005</v>
      </c>
      <c r="R186" s="3"/>
    </row>
    <row r="187" spans="1:18">
      <c r="A187" s="2"/>
      <c r="B187" s="2"/>
      <c r="C187" s="2">
        <v>1</v>
      </c>
      <c r="D187" s="2" t="s">
        <v>87</v>
      </c>
      <c r="E187" s="2">
        <v>67.489999999999995</v>
      </c>
      <c r="F187" s="2"/>
      <c r="G187" s="2"/>
      <c r="H187" s="2">
        <v>9.3800000000000008</v>
      </c>
      <c r="I187" s="2"/>
      <c r="J187" s="2"/>
      <c r="K187" s="2">
        <v>5.6</v>
      </c>
      <c r="L187" s="2"/>
      <c r="N187" s="2" t="s">
        <v>113</v>
      </c>
      <c r="O187" s="56" t="s">
        <v>90</v>
      </c>
      <c r="P187" s="2" t="s">
        <v>87</v>
      </c>
      <c r="Q187" s="3">
        <v>82.469999999999985</v>
      </c>
      <c r="R187" s="3"/>
    </row>
    <row r="188" spans="1:18">
      <c r="A188" s="2"/>
      <c r="B188" s="2"/>
      <c r="C188" s="2">
        <v>1</v>
      </c>
      <c r="D188" s="2" t="s">
        <v>79</v>
      </c>
      <c r="E188" s="2">
        <v>69.179999999999993</v>
      </c>
      <c r="F188" s="2">
        <f>AVERAGE(E184:E188)</f>
        <v>67.343999999999994</v>
      </c>
      <c r="G188" s="2"/>
      <c r="H188" s="2">
        <v>7.63</v>
      </c>
      <c r="I188" s="2">
        <f>AVERAGE(H184:H188)</f>
        <v>9.0900000000000016</v>
      </c>
      <c r="J188" s="2"/>
      <c r="K188" s="2">
        <v>3.9</v>
      </c>
      <c r="L188" s="2">
        <f>AVERAGE(K184:K188)</f>
        <v>4.76</v>
      </c>
      <c r="N188" s="2" t="s">
        <v>113</v>
      </c>
      <c r="O188" s="56" t="s">
        <v>90</v>
      </c>
      <c r="P188" s="28" t="s">
        <v>142</v>
      </c>
      <c r="Q188" s="3">
        <v>80.709999999999994</v>
      </c>
      <c r="R188" s="3"/>
    </row>
    <row r="189" spans="1:18">
      <c r="A189" s="2"/>
      <c r="B189" s="2"/>
      <c r="C189" s="2">
        <v>2</v>
      </c>
      <c r="D189" s="2" t="s">
        <v>83</v>
      </c>
      <c r="E189" s="2">
        <v>70.179999999999993</v>
      </c>
      <c r="F189" s="2"/>
      <c r="G189" s="2"/>
      <c r="H189" s="2">
        <v>6.96</v>
      </c>
      <c r="I189" s="2"/>
      <c r="J189" s="2"/>
      <c r="K189" s="2">
        <v>3.3</v>
      </c>
      <c r="L189" s="2"/>
      <c r="N189" s="2" t="s">
        <v>113</v>
      </c>
      <c r="O189" s="56" t="s">
        <v>92</v>
      </c>
      <c r="P189" s="2" t="s">
        <v>83</v>
      </c>
      <c r="Q189" s="3">
        <v>80.439999999999984</v>
      </c>
      <c r="R189" s="3"/>
    </row>
    <row r="190" spans="1:18">
      <c r="A190" s="2"/>
      <c r="B190" s="2"/>
      <c r="C190" s="2">
        <v>2</v>
      </c>
      <c r="D190" s="2" t="s">
        <v>108</v>
      </c>
      <c r="E190" s="2">
        <v>78.58</v>
      </c>
      <c r="F190" s="2"/>
      <c r="G190" s="2"/>
      <c r="H190" s="2">
        <v>5.93</v>
      </c>
      <c r="I190" s="2"/>
      <c r="J190" s="2"/>
      <c r="K190" s="2">
        <v>2.7</v>
      </c>
      <c r="L190" s="2"/>
      <c r="N190" s="2" t="s">
        <v>113</v>
      </c>
      <c r="O190" s="56" t="s">
        <v>92</v>
      </c>
      <c r="P190" s="2" t="s">
        <v>108</v>
      </c>
      <c r="Q190" s="3">
        <v>87.21</v>
      </c>
      <c r="R190" s="3"/>
    </row>
    <row r="191" spans="1:18">
      <c r="A191" s="2"/>
      <c r="B191" s="2"/>
      <c r="C191" s="2">
        <v>2</v>
      </c>
      <c r="D191" s="2" t="s">
        <v>109</v>
      </c>
      <c r="E191" s="2">
        <v>72.94</v>
      </c>
      <c r="F191" s="2"/>
      <c r="G191" s="2"/>
      <c r="H191" s="2">
        <v>8.7200000000000006</v>
      </c>
      <c r="I191" s="2"/>
      <c r="J191" s="2"/>
      <c r="K191" s="2">
        <v>4.2</v>
      </c>
      <c r="L191" s="2"/>
      <c r="N191" s="2" t="s">
        <v>113</v>
      </c>
      <c r="O191" s="56" t="s">
        <v>92</v>
      </c>
      <c r="P191" s="2" t="s">
        <v>109</v>
      </c>
      <c r="Q191" s="3">
        <v>85.86</v>
      </c>
      <c r="R191" s="3"/>
    </row>
    <row r="192" spans="1:18">
      <c r="A192" s="2"/>
      <c r="B192" s="2"/>
      <c r="C192" s="2">
        <v>2</v>
      </c>
      <c r="D192" s="2" t="s">
        <v>87</v>
      </c>
      <c r="E192" s="2">
        <v>68.47</v>
      </c>
      <c r="F192" s="2"/>
      <c r="G192" s="2"/>
      <c r="H192" s="2">
        <v>10.62</v>
      </c>
      <c r="I192" s="2"/>
      <c r="J192" s="2"/>
      <c r="K192" s="2">
        <v>4.3</v>
      </c>
      <c r="L192" s="2"/>
      <c r="N192" s="2" t="s">
        <v>113</v>
      </c>
      <c r="O192" s="56" t="s">
        <v>92</v>
      </c>
      <c r="P192" s="2" t="s">
        <v>87</v>
      </c>
      <c r="Q192" s="3">
        <v>83.39</v>
      </c>
      <c r="R192" s="3"/>
    </row>
    <row r="193" spans="1:18">
      <c r="A193" s="2"/>
      <c r="B193" s="2"/>
      <c r="C193" s="2">
        <v>2</v>
      </c>
      <c r="D193" s="2" t="s">
        <v>79</v>
      </c>
      <c r="E193" s="2">
        <v>73.459999999999994</v>
      </c>
      <c r="F193" s="2">
        <f>AVERAGE(E189:E193)</f>
        <v>72.725999999999985</v>
      </c>
      <c r="G193" s="2"/>
      <c r="H193" s="2">
        <v>6.72</v>
      </c>
      <c r="I193" s="2">
        <f>AVERAGE(H189:H193)</f>
        <v>7.7899999999999991</v>
      </c>
      <c r="J193" s="2"/>
      <c r="K193" s="2">
        <v>5.0999999999999996</v>
      </c>
      <c r="L193" s="2">
        <f>AVERAGE(K189:K193)</f>
        <v>3.9200000000000004</v>
      </c>
      <c r="N193" s="2" t="s">
        <v>113</v>
      </c>
      <c r="O193" s="56" t="s">
        <v>92</v>
      </c>
      <c r="P193" s="28" t="s">
        <v>114</v>
      </c>
      <c r="Q193" s="3">
        <v>85.279999999999987</v>
      </c>
      <c r="R193" s="3"/>
    </row>
    <row r="194" spans="1:18">
      <c r="A194" s="2"/>
      <c r="B194" s="2"/>
      <c r="C194" s="2">
        <v>3</v>
      </c>
      <c r="D194" s="2" t="s">
        <v>83</v>
      </c>
      <c r="E194" s="2">
        <v>74.3</v>
      </c>
      <c r="F194" s="2"/>
      <c r="G194" s="2"/>
      <c r="H194" s="2">
        <v>10.11</v>
      </c>
      <c r="I194" s="2"/>
      <c r="J194" s="2"/>
      <c r="K194" s="2">
        <v>3.1</v>
      </c>
      <c r="L194" s="2"/>
      <c r="N194" s="2" t="s">
        <v>113</v>
      </c>
      <c r="O194" s="56" t="s">
        <v>93</v>
      </c>
      <c r="P194" s="2" t="s">
        <v>83</v>
      </c>
      <c r="Q194" s="3">
        <v>87.509999999999991</v>
      </c>
      <c r="R194" s="3"/>
    </row>
    <row r="195" spans="1:18">
      <c r="A195" s="2"/>
      <c r="B195" s="2"/>
      <c r="C195" s="2">
        <v>3</v>
      </c>
      <c r="D195" s="2" t="s">
        <v>108</v>
      </c>
      <c r="E195" s="2">
        <v>89.3</v>
      </c>
      <c r="F195" s="2"/>
      <c r="G195" s="2"/>
      <c r="H195" s="2">
        <v>13.64</v>
      </c>
      <c r="I195" s="2"/>
      <c r="J195" s="2"/>
      <c r="K195" s="2">
        <v>2.6</v>
      </c>
      <c r="L195" s="2"/>
      <c r="N195" s="2" t="s">
        <v>113</v>
      </c>
      <c r="O195" s="56" t="s">
        <v>93</v>
      </c>
      <c r="P195" s="2" t="s">
        <v>108</v>
      </c>
      <c r="Q195" s="3">
        <v>105.53999999999999</v>
      </c>
      <c r="R195" s="3"/>
    </row>
    <row r="196" spans="1:18">
      <c r="A196" s="2"/>
      <c r="B196" s="2"/>
      <c r="C196" s="2">
        <v>3</v>
      </c>
      <c r="D196" s="2" t="s">
        <v>109</v>
      </c>
      <c r="E196" s="2">
        <v>62.1</v>
      </c>
      <c r="F196" s="2"/>
      <c r="G196" s="2"/>
      <c r="H196" s="2">
        <v>5.41</v>
      </c>
      <c r="I196" s="2"/>
      <c r="J196" s="2"/>
      <c r="K196" s="2">
        <v>3.1</v>
      </c>
      <c r="L196" s="2"/>
      <c r="N196" s="2" t="s">
        <v>113</v>
      </c>
      <c r="O196" s="56" t="s">
        <v>93</v>
      </c>
      <c r="P196" s="2" t="s">
        <v>109</v>
      </c>
      <c r="Q196" s="3">
        <v>70.61</v>
      </c>
      <c r="R196" s="3"/>
    </row>
    <row r="197" spans="1:18">
      <c r="A197" s="2"/>
      <c r="B197" s="2"/>
      <c r="C197" s="2">
        <v>3</v>
      </c>
      <c r="D197" s="2" t="s">
        <v>87</v>
      </c>
      <c r="E197" s="4">
        <v>89</v>
      </c>
      <c r="F197" s="2"/>
      <c r="G197" s="2"/>
      <c r="H197" s="2">
        <v>10.41</v>
      </c>
      <c r="I197" s="2"/>
      <c r="J197" s="2"/>
      <c r="K197" s="2">
        <v>4.0999999999999996</v>
      </c>
      <c r="L197" s="2"/>
      <c r="N197" s="2" t="s">
        <v>113</v>
      </c>
      <c r="O197" s="56" t="s">
        <v>93</v>
      </c>
      <c r="P197" s="2" t="s">
        <v>87</v>
      </c>
      <c r="Q197" s="3">
        <v>103.50999999999999</v>
      </c>
      <c r="R197" s="3"/>
    </row>
    <row r="198" spans="1:18">
      <c r="A198" s="2"/>
      <c r="B198" s="2"/>
      <c r="C198" s="2">
        <v>3</v>
      </c>
      <c r="D198" s="2" t="s">
        <v>79</v>
      </c>
      <c r="E198" s="2">
        <v>90.8</v>
      </c>
      <c r="F198" s="2">
        <f>AVERAGE(E194:E198)</f>
        <v>81.099999999999994</v>
      </c>
      <c r="G198" s="2"/>
      <c r="H198" s="2">
        <v>8.67</v>
      </c>
      <c r="I198" s="2">
        <f>AVERAGE(H194:H198)</f>
        <v>9.6479999999999997</v>
      </c>
      <c r="J198" s="2"/>
      <c r="K198" s="2">
        <v>4.8</v>
      </c>
      <c r="L198" s="2">
        <f>AVERAGE(K194:K198)</f>
        <v>3.54</v>
      </c>
      <c r="N198" s="2" t="s">
        <v>113</v>
      </c>
      <c r="O198" s="56" t="s">
        <v>93</v>
      </c>
      <c r="P198" s="28" t="s">
        <v>114</v>
      </c>
      <c r="Q198" s="3">
        <v>104.27</v>
      </c>
      <c r="R198" s="3"/>
    </row>
    <row r="199" spans="1:18">
      <c r="A199" s="2"/>
      <c r="B199" s="2"/>
      <c r="C199" s="2">
        <v>4</v>
      </c>
      <c r="D199" s="2" t="s">
        <v>83</v>
      </c>
      <c r="E199" s="2">
        <v>69.400000000000006</v>
      </c>
      <c r="F199" s="2"/>
      <c r="G199" s="2"/>
      <c r="H199" s="2">
        <v>7.39</v>
      </c>
      <c r="I199" s="2"/>
      <c r="J199" s="2"/>
      <c r="K199" s="2">
        <v>3.6</v>
      </c>
      <c r="L199" s="2"/>
      <c r="N199" s="2" t="s">
        <v>113</v>
      </c>
      <c r="O199" s="56" t="s">
        <v>142</v>
      </c>
      <c r="P199" s="2" t="s">
        <v>83</v>
      </c>
      <c r="Q199" s="3">
        <v>80.39</v>
      </c>
      <c r="R199" s="3"/>
    </row>
    <row r="200" spans="1:18">
      <c r="A200" s="2"/>
      <c r="B200" s="2"/>
      <c r="C200" s="2">
        <v>4</v>
      </c>
      <c r="D200" s="2" t="s">
        <v>108</v>
      </c>
      <c r="E200" s="2">
        <v>73.7</v>
      </c>
      <c r="F200" s="2"/>
      <c r="G200" s="2"/>
      <c r="H200" s="21">
        <v>7.33</v>
      </c>
      <c r="I200" s="2"/>
      <c r="J200" s="2"/>
      <c r="K200" s="2">
        <v>4.8</v>
      </c>
      <c r="L200" s="2"/>
      <c r="N200" s="2" t="s">
        <v>113</v>
      </c>
      <c r="O200" s="56" t="s">
        <v>142</v>
      </c>
      <c r="P200" s="2" t="s">
        <v>108</v>
      </c>
      <c r="Q200" s="3">
        <v>85.04</v>
      </c>
      <c r="R200" s="3"/>
    </row>
    <row r="201" spans="1:18">
      <c r="A201" s="2"/>
      <c r="B201" s="2"/>
      <c r="C201" s="2">
        <v>4</v>
      </c>
      <c r="D201" s="2" t="s">
        <v>109</v>
      </c>
      <c r="E201" s="2">
        <v>69.3</v>
      </c>
      <c r="F201" s="2"/>
      <c r="G201" s="2"/>
      <c r="H201" s="2">
        <v>7.43</v>
      </c>
      <c r="I201" s="2"/>
      <c r="J201" s="2"/>
      <c r="K201" s="2">
        <v>2.6</v>
      </c>
      <c r="L201" s="2"/>
      <c r="N201" s="2" t="s">
        <v>113</v>
      </c>
      <c r="O201" s="56" t="s">
        <v>142</v>
      </c>
      <c r="P201" s="2" t="s">
        <v>109</v>
      </c>
      <c r="Q201" s="3">
        <v>79.329999999999984</v>
      </c>
      <c r="R201" s="3"/>
    </row>
    <row r="202" spans="1:18">
      <c r="A202" s="2"/>
      <c r="B202" s="2"/>
      <c r="C202" s="2">
        <v>4</v>
      </c>
      <c r="D202" s="2" t="s">
        <v>87</v>
      </c>
      <c r="E202" s="2">
        <v>80.5</v>
      </c>
      <c r="F202" s="2"/>
      <c r="G202" s="2"/>
      <c r="H202" s="2">
        <v>8.57</v>
      </c>
      <c r="I202" s="2"/>
      <c r="J202" s="2"/>
      <c r="K202" s="2">
        <v>4.9000000000000004</v>
      </c>
      <c r="L202" s="2"/>
      <c r="N202" s="2" t="s">
        <v>113</v>
      </c>
      <c r="O202" s="56" t="s">
        <v>142</v>
      </c>
      <c r="P202" s="2" t="s">
        <v>87</v>
      </c>
      <c r="Q202" s="3">
        <v>93.97</v>
      </c>
      <c r="R202" s="3"/>
    </row>
    <row r="203" spans="1:18">
      <c r="A203" s="2"/>
      <c r="B203" s="2"/>
      <c r="C203" s="2">
        <v>4</v>
      </c>
      <c r="D203" s="2" t="s">
        <v>79</v>
      </c>
      <c r="E203" s="4">
        <v>72.2</v>
      </c>
      <c r="F203" s="2">
        <f>AVERAGE(E199:E203)</f>
        <v>73.02000000000001</v>
      </c>
      <c r="G203" s="2"/>
      <c r="H203" s="21">
        <v>8.24</v>
      </c>
      <c r="I203" s="2">
        <f>AVERAGE(H199:H203)</f>
        <v>7.7919999999999998</v>
      </c>
      <c r="J203" s="2"/>
      <c r="K203" s="2">
        <v>1.7</v>
      </c>
      <c r="L203" s="2">
        <f>AVERAGE(K199:K203)</f>
        <v>3.5200000000000005</v>
      </c>
      <c r="N203" s="2" t="s">
        <v>113</v>
      </c>
      <c r="O203" s="56" t="s">
        <v>142</v>
      </c>
      <c r="P203" s="28" t="s">
        <v>114</v>
      </c>
      <c r="Q203" s="3">
        <v>83.690000000000012</v>
      </c>
      <c r="R203" s="3"/>
    </row>
    <row r="204" spans="1:18">
      <c r="A204" s="2" t="s">
        <v>112</v>
      </c>
      <c r="B204" s="2" t="s">
        <v>115</v>
      </c>
      <c r="C204" s="2">
        <v>1</v>
      </c>
      <c r="D204" s="2" t="s">
        <v>83</v>
      </c>
      <c r="E204" s="2">
        <v>59.830000000000005</v>
      </c>
      <c r="F204" s="2"/>
      <c r="G204" s="2"/>
      <c r="H204" s="21">
        <v>6.22</v>
      </c>
      <c r="I204" s="2"/>
      <c r="J204" s="2"/>
      <c r="K204" s="2">
        <v>7.6</v>
      </c>
      <c r="L204" s="2"/>
      <c r="N204" s="2" t="s">
        <v>115</v>
      </c>
      <c r="O204" s="56" t="s">
        <v>90</v>
      </c>
      <c r="P204" s="2" t="s">
        <v>83</v>
      </c>
      <c r="Q204" s="3">
        <v>74.22</v>
      </c>
      <c r="R204" s="3"/>
    </row>
    <row r="205" spans="1:18">
      <c r="A205" s="2"/>
      <c r="B205" s="2"/>
      <c r="C205" s="2">
        <v>1</v>
      </c>
      <c r="D205" s="2" t="s">
        <v>85</v>
      </c>
      <c r="E205" s="2">
        <v>77.63</v>
      </c>
      <c r="F205" s="2"/>
      <c r="G205" s="2"/>
      <c r="H205" s="21">
        <v>7.29</v>
      </c>
      <c r="I205" s="2"/>
      <c r="J205" s="2"/>
      <c r="K205" s="2">
        <v>4.9000000000000004</v>
      </c>
      <c r="L205" s="2"/>
      <c r="N205" s="95" t="s">
        <v>115</v>
      </c>
      <c r="O205" s="96" t="s">
        <v>90</v>
      </c>
      <c r="P205" s="95" t="s">
        <v>85</v>
      </c>
      <c r="Q205" s="3">
        <v>90.75</v>
      </c>
      <c r="R205" s="3"/>
    </row>
    <row r="206" spans="1:18">
      <c r="A206" s="2" t="s">
        <v>179</v>
      </c>
      <c r="B206" s="2"/>
      <c r="C206" s="2">
        <v>1</v>
      </c>
      <c r="D206" s="2" t="s">
        <v>87</v>
      </c>
      <c r="E206" s="2">
        <v>68.66</v>
      </c>
      <c r="F206" s="2"/>
      <c r="G206" s="2"/>
      <c r="H206" s="21">
        <v>9.4499999999999993</v>
      </c>
      <c r="I206" s="2"/>
      <c r="J206" s="2"/>
      <c r="K206" s="2">
        <v>4.2</v>
      </c>
      <c r="L206" s="2"/>
      <c r="N206" s="2" t="s">
        <v>115</v>
      </c>
      <c r="O206" s="56" t="s">
        <v>90</v>
      </c>
      <c r="P206" s="2" t="s">
        <v>87</v>
      </c>
      <c r="Q206" s="3">
        <v>84.94</v>
      </c>
      <c r="R206" s="3"/>
    </row>
    <row r="207" spans="1:18">
      <c r="A207" s="2"/>
      <c r="B207" s="2"/>
      <c r="C207" s="2">
        <v>1</v>
      </c>
      <c r="D207" s="2" t="s">
        <v>79</v>
      </c>
      <c r="E207" s="2">
        <v>64.489999999999995</v>
      </c>
      <c r="F207" s="2"/>
      <c r="G207" s="2"/>
      <c r="H207" s="21">
        <v>6.93</v>
      </c>
      <c r="I207" s="2"/>
      <c r="J207" s="2"/>
      <c r="K207" s="2">
        <v>3.9</v>
      </c>
      <c r="L207" s="2"/>
      <c r="N207" s="2" t="s">
        <v>115</v>
      </c>
      <c r="O207" s="56" t="s">
        <v>90</v>
      </c>
      <c r="P207" s="28" t="s">
        <v>114</v>
      </c>
      <c r="Q207" s="3">
        <v>82.28</v>
      </c>
      <c r="R207" s="3"/>
    </row>
    <row r="208" spans="1:18">
      <c r="A208" s="2"/>
      <c r="B208" s="2"/>
      <c r="C208" s="2">
        <v>1</v>
      </c>
      <c r="D208" s="2" t="s">
        <v>88</v>
      </c>
      <c r="E208" s="2">
        <v>86.899999999999991</v>
      </c>
      <c r="F208" s="2">
        <f>AVERAGE(E204:E208)</f>
        <v>71.501999999999995</v>
      </c>
      <c r="G208" s="2"/>
      <c r="H208" s="2">
        <v>13.41</v>
      </c>
      <c r="I208" s="2">
        <f>AVERAGE(H204:H208)</f>
        <v>8.66</v>
      </c>
      <c r="J208" s="2"/>
      <c r="K208" s="2">
        <v>4.4000000000000004</v>
      </c>
      <c r="L208" s="2">
        <f>AVERAGE(K204:K208)</f>
        <v>5</v>
      </c>
      <c r="N208" s="95" t="s">
        <v>115</v>
      </c>
      <c r="O208" s="96" t="s">
        <v>90</v>
      </c>
      <c r="P208" s="95" t="s">
        <v>88</v>
      </c>
      <c r="Q208" s="3">
        <v>104.71</v>
      </c>
      <c r="R208" s="3"/>
    </row>
    <row r="209" spans="1:18">
      <c r="A209" s="2"/>
      <c r="B209" s="2"/>
      <c r="C209" s="2">
        <v>2</v>
      </c>
      <c r="D209" s="2" t="s">
        <v>83</v>
      </c>
      <c r="E209" s="2">
        <v>61.21</v>
      </c>
      <c r="F209" s="2"/>
      <c r="G209" s="2"/>
      <c r="H209" s="2">
        <v>12.17</v>
      </c>
      <c r="I209" s="2"/>
      <c r="J209" s="2"/>
      <c r="K209" s="2">
        <v>8.1</v>
      </c>
      <c r="L209" s="2"/>
      <c r="N209" s="2" t="s">
        <v>115</v>
      </c>
      <c r="O209" s="56" t="s">
        <v>92</v>
      </c>
      <c r="P209" s="2" t="s">
        <v>83</v>
      </c>
      <c r="Q209" s="3">
        <v>81.47999999999999</v>
      </c>
      <c r="R209" s="3"/>
    </row>
    <row r="210" spans="1:18">
      <c r="A210" s="2"/>
      <c r="B210" s="2"/>
      <c r="C210" s="2">
        <v>2</v>
      </c>
      <c r="D210" s="2" t="s">
        <v>85</v>
      </c>
      <c r="E210" s="2">
        <v>82.36999999999999</v>
      </c>
      <c r="F210" s="2"/>
      <c r="G210" s="2"/>
      <c r="H210" s="2">
        <v>13.59</v>
      </c>
      <c r="I210" s="2"/>
      <c r="J210" s="2"/>
      <c r="K210" s="2">
        <v>4.3</v>
      </c>
      <c r="L210" s="2"/>
      <c r="N210" s="2" t="s">
        <v>115</v>
      </c>
      <c r="O210" s="56" t="s">
        <v>92</v>
      </c>
      <c r="P210" s="2" t="s">
        <v>85</v>
      </c>
      <c r="Q210" s="3">
        <v>100.25999999999999</v>
      </c>
      <c r="R210" s="3"/>
    </row>
    <row r="211" spans="1:18">
      <c r="A211" s="2"/>
      <c r="B211" s="2"/>
      <c r="C211" s="2">
        <v>2</v>
      </c>
      <c r="D211" s="2" t="s">
        <v>87</v>
      </c>
      <c r="E211" s="2">
        <v>78.989999999999995</v>
      </c>
      <c r="F211" s="2"/>
      <c r="G211" s="2"/>
      <c r="H211" s="2">
        <v>12.3</v>
      </c>
      <c r="I211" s="2"/>
      <c r="J211" s="2"/>
      <c r="K211" s="2">
        <v>5.9</v>
      </c>
      <c r="L211" s="2"/>
      <c r="N211" s="2" t="s">
        <v>115</v>
      </c>
      <c r="O211" s="56" t="s">
        <v>92</v>
      </c>
      <c r="P211" s="2" t="s">
        <v>87</v>
      </c>
      <c r="Q211" s="3">
        <v>97.19</v>
      </c>
      <c r="R211" s="3"/>
    </row>
    <row r="212" spans="1:18">
      <c r="A212" s="2"/>
      <c r="B212" s="2"/>
      <c r="C212" s="2">
        <v>2</v>
      </c>
      <c r="D212" s="2" t="s">
        <v>79</v>
      </c>
      <c r="E212" s="2">
        <v>68.22</v>
      </c>
      <c r="F212" s="2"/>
      <c r="G212" s="2"/>
      <c r="H212" s="2">
        <v>9.1</v>
      </c>
      <c r="I212" s="2"/>
      <c r="J212" s="2"/>
      <c r="K212" s="2">
        <v>4.3</v>
      </c>
      <c r="L212" s="2"/>
      <c r="N212" s="2" t="s">
        <v>115</v>
      </c>
      <c r="O212" s="56" t="s">
        <v>92</v>
      </c>
      <c r="P212" s="2" t="s">
        <v>79</v>
      </c>
      <c r="Q212" s="3">
        <v>81.61999999999999</v>
      </c>
      <c r="R212" s="3"/>
    </row>
    <row r="213" spans="1:18">
      <c r="A213" s="2"/>
      <c r="B213" s="2"/>
      <c r="C213" s="2">
        <v>2</v>
      </c>
      <c r="D213" s="2" t="s">
        <v>88</v>
      </c>
      <c r="E213" s="2">
        <v>87.08</v>
      </c>
      <c r="F213" s="2">
        <f>AVERAGE(E209:E213)</f>
        <v>75.573999999999984</v>
      </c>
      <c r="G213" s="2"/>
      <c r="H213" s="2">
        <v>12.88</v>
      </c>
      <c r="I213" s="2">
        <f>AVERAGE(H209:H213)</f>
        <v>12.008000000000001</v>
      </c>
      <c r="J213" s="2"/>
      <c r="K213" s="2">
        <v>3.8</v>
      </c>
      <c r="L213" s="2">
        <f>AVERAGE(K209:K213)</f>
        <v>5.2799999999999994</v>
      </c>
      <c r="N213" s="2" t="s">
        <v>115</v>
      </c>
      <c r="O213" s="56" t="s">
        <v>92</v>
      </c>
      <c r="P213" s="2" t="s">
        <v>88</v>
      </c>
      <c r="Q213" s="3">
        <v>103.75999999999999</v>
      </c>
      <c r="R213" s="3"/>
    </row>
    <row r="214" spans="1:18">
      <c r="A214" s="2"/>
      <c r="B214" s="2"/>
      <c r="C214" s="2">
        <v>3</v>
      </c>
      <c r="D214" s="2" t="s">
        <v>83</v>
      </c>
      <c r="E214" s="2">
        <v>61.449999999999996</v>
      </c>
      <c r="F214" s="2"/>
      <c r="G214" s="2"/>
      <c r="H214" s="2">
        <v>11.33</v>
      </c>
      <c r="I214" s="2"/>
      <c r="J214" s="2"/>
      <c r="K214" s="2">
        <v>7.3</v>
      </c>
      <c r="L214" s="2"/>
      <c r="N214" s="2" t="s">
        <v>115</v>
      </c>
      <c r="O214" s="56" t="s">
        <v>93</v>
      </c>
      <c r="P214" s="2" t="s">
        <v>83</v>
      </c>
      <c r="Q214" s="3">
        <v>80.08</v>
      </c>
      <c r="R214" s="3"/>
    </row>
    <row r="215" spans="1:18">
      <c r="A215" s="2"/>
      <c r="B215" s="2"/>
      <c r="C215" s="2">
        <v>3</v>
      </c>
      <c r="D215" s="2" t="s">
        <v>85</v>
      </c>
      <c r="E215" s="2">
        <v>81.179999999999993</v>
      </c>
      <c r="F215" s="2"/>
      <c r="G215" s="2"/>
      <c r="H215" s="2">
        <v>15.02</v>
      </c>
      <c r="I215" s="2"/>
      <c r="J215" s="2"/>
      <c r="K215" s="2">
        <v>5.3</v>
      </c>
      <c r="L215" s="2"/>
      <c r="N215" s="2" t="s">
        <v>115</v>
      </c>
      <c r="O215" s="56" t="s">
        <v>93</v>
      </c>
      <c r="P215" s="2" t="s">
        <v>85</v>
      </c>
      <c r="Q215" s="3">
        <v>101.49999999999999</v>
      </c>
      <c r="R215" s="3"/>
    </row>
    <row r="216" spans="1:18">
      <c r="A216" s="2"/>
      <c r="B216" s="2"/>
      <c r="C216" s="2">
        <v>3</v>
      </c>
      <c r="D216" s="2" t="s">
        <v>87</v>
      </c>
      <c r="E216" s="2">
        <v>78.38</v>
      </c>
      <c r="F216" s="2"/>
      <c r="G216" s="2"/>
      <c r="H216" s="2">
        <v>12.72</v>
      </c>
      <c r="I216" s="2"/>
      <c r="J216" s="2"/>
      <c r="K216" s="2">
        <v>4.4000000000000004</v>
      </c>
      <c r="L216" s="2"/>
      <c r="N216" s="2" t="s">
        <v>115</v>
      </c>
      <c r="O216" s="56" t="s">
        <v>93</v>
      </c>
      <c r="P216" s="2" t="s">
        <v>87</v>
      </c>
      <c r="Q216" s="3">
        <v>95.5</v>
      </c>
      <c r="R216" s="3"/>
    </row>
    <row r="217" spans="1:18">
      <c r="A217" s="2"/>
      <c r="B217" s="2"/>
      <c r="C217" s="2">
        <v>3</v>
      </c>
      <c r="D217" s="2" t="s">
        <v>79</v>
      </c>
      <c r="E217" s="2">
        <v>72.11999999999999</v>
      </c>
      <c r="F217" s="2"/>
      <c r="G217" s="2"/>
      <c r="H217" s="21">
        <v>8.68</v>
      </c>
      <c r="I217" s="2"/>
      <c r="J217" s="2"/>
      <c r="K217" s="2">
        <v>7.3000000000000007</v>
      </c>
      <c r="L217" s="2"/>
      <c r="N217" s="2" t="s">
        <v>115</v>
      </c>
      <c r="O217" s="56" t="s">
        <v>93</v>
      </c>
      <c r="P217" s="2" t="s">
        <v>79</v>
      </c>
      <c r="Q217" s="3">
        <v>89.389999999999986</v>
      </c>
      <c r="R217" s="3"/>
    </row>
    <row r="218" spans="1:18">
      <c r="A218" s="2"/>
      <c r="B218" s="2"/>
      <c r="C218" s="2">
        <v>3</v>
      </c>
      <c r="D218" s="2" t="s">
        <v>88</v>
      </c>
      <c r="E218" s="2">
        <v>81.679999999999993</v>
      </c>
      <c r="F218" s="2">
        <f>AVERAGE(E214:E218)</f>
        <v>74.962000000000003</v>
      </c>
      <c r="G218" s="2"/>
      <c r="H218" s="2">
        <v>12.11</v>
      </c>
      <c r="I218" s="2">
        <f>AVERAGE(H214:H218)</f>
        <v>11.972</v>
      </c>
      <c r="J218" s="2"/>
      <c r="K218" s="2">
        <v>8.1</v>
      </c>
      <c r="L218" s="2">
        <f>AVERAGE(K214:K218)</f>
        <v>6.4799999999999995</v>
      </c>
      <c r="N218" s="2" t="s">
        <v>115</v>
      </c>
      <c r="O218" s="56" t="s">
        <v>93</v>
      </c>
      <c r="P218" s="2" t="s">
        <v>88</v>
      </c>
      <c r="Q218" s="3">
        <v>101.88999999999999</v>
      </c>
      <c r="R218" s="3"/>
    </row>
    <row r="219" spans="1:18">
      <c r="A219" s="2"/>
      <c r="B219" s="2"/>
      <c r="C219" s="2">
        <v>4</v>
      </c>
      <c r="D219" s="2" t="s">
        <v>83</v>
      </c>
      <c r="E219" s="2">
        <v>71.66</v>
      </c>
      <c r="F219" s="2"/>
      <c r="G219" s="2"/>
      <c r="H219" s="2">
        <v>8.89</v>
      </c>
      <c r="I219" s="2"/>
      <c r="J219" s="2"/>
      <c r="K219" s="2">
        <v>4.4000000000000004</v>
      </c>
      <c r="L219" s="2"/>
      <c r="N219" s="2" t="s">
        <v>115</v>
      </c>
      <c r="O219" s="56" t="s">
        <v>142</v>
      </c>
      <c r="P219" s="2" t="s">
        <v>83</v>
      </c>
      <c r="Q219" s="3">
        <v>84.95</v>
      </c>
      <c r="R219" s="3"/>
    </row>
    <row r="220" spans="1:18">
      <c r="A220" s="2"/>
      <c r="B220" s="2"/>
      <c r="C220" s="2">
        <v>4</v>
      </c>
      <c r="D220" s="2" t="s">
        <v>85</v>
      </c>
      <c r="E220" s="2">
        <v>73.339999999999989</v>
      </c>
      <c r="F220" s="2"/>
      <c r="G220" s="2"/>
      <c r="H220" s="2">
        <v>17.47</v>
      </c>
      <c r="I220" s="2"/>
      <c r="J220" s="2"/>
      <c r="K220" s="2">
        <v>3.9</v>
      </c>
      <c r="L220" s="2"/>
      <c r="N220" s="2" t="s">
        <v>115</v>
      </c>
      <c r="O220" s="56" t="s">
        <v>142</v>
      </c>
      <c r="P220" s="2" t="s">
        <v>85</v>
      </c>
      <c r="Q220" s="3">
        <v>94.71</v>
      </c>
      <c r="R220" s="3"/>
    </row>
    <row r="221" spans="1:18">
      <c r="A221" s="2"/>
      <c r="B221" s="2"/>
      <c r="C221" s="2">
        <v>4</v>
      </c>
      <c r="D221" s="2" t="s">
        <v>87</v>
      </c>
      <c r="E221" s="2">
        <v>71.539999999999992</v>
      </c>
      <c r="F221" s="2"/>
      <c r="G221" s="2"/>
      <c r="H221" s="76">
        <v>14.27</v>
      </c>
      <c r="I221" s="2"/>
      <c r="J221" s="2"/>
      <c r="K221" s="2">
        <v>4</v>
      </c>
      <c r="L221" s="2"/>
      <c r="N221" s="2" t="s">
        <v>115</v>
      </c>
      <c r="O221" s="56" t="s">
        <v>142</v>
      </c>
      <c r="P221" s="2" t="s">
        <v>87</v>
      </c>
      <c r="Q221" s="3">
        <v>89.36999999999999</v>
      </c>
      <c r="R221" s="3"/>
    </row>
    <row r="222" spans="1:18">
      <c r="A222" s="2"/>
      <c r="B222" s="2"/>
      <c r="C222" s="2">
        <v>4</v>
      </c>
      <c r="D222" s="2" t="s">
        <v>79</v>
      </c>
      <c r="E222" s="2">
        <v>79.27</v>
      </c>
      <c r="F222" s="2"/>
      <c r="G222" s="2"/>
      <c r="H222" s="2">
        <v>8.7100000000000009</v>
      </c>
      <c r="I222" s="2"/>
      <c r="J222" s="2"/>
      <c r="K222" s="2">
        <v>3.4</v>
      </c>
      <c r="L222" s="2"/>
      <c r="N222" s="2" t="s">
        <v>115</v>
      </c>
      <c r="O222" s="56" t="s">
        <v>142</v>
      </c>
      <c r="P222" s="2" t="s">
        <v>79</v>
      </c>
      <c r="Q222" s="3">
        <v>91.38</v>
      </c>
      <c r="R222" s="3"/>
    </row>
    <row r="223" spans="1:18">
      <c r="A223" s="2"/>
      <c r="B223" s="2"/>
      <c r="C223" s="2">
        <v>4</v>
      </c>
      <c r="D223" s="2" t="s">
        <v>88</v>
      </c>
      <c r="E223" s="2">
        <v>62.26</v>
      </c>
      <c r="F223" s="2">
        <f>AVERAGE(E219:E223)</f>
        <v>71.614000000000004</v>
      </c>
      <c r="G223" s="2"/>
      <c r="H223" s="2">
        <v>11.19</v>
      </c>
      <c r="I223" s="2">
        <f>AVERAGE(H219:H223)</f>
        <v>12.105999999999998</v>
      </c>
      <c r="J223" s="2"/>
      <c r="K223" s="2">
        <v>4.7</v>
      </c>
      <c r="L223" s="2">
        <f>AVERAGE(K219:K223)</f>
        <v>4.08</v>
      </c>
      <c r="N223" s="2" t="s">
        <v>115</v>
      </c>
      <c r="O223" s="56" t="s">
        <v>142</v>
      </c>
      <c r="P223" s="2" t="s">
        <v>88</v>
      </c>
      <c r="Q223" s="3">
        <v>78.150000000000006</v>
      </c>
      <c r="R223" s="3"/>
    </row>
    <row r="224" spans="1:18" ht="15.75" customHeight="1">
      <c r="A224" s="3"/>
      <c r="B224" s="3"/>
      <c r="C224" s="3"/>
      <c r="D224" s="3"/>
      <c r="E224" s="3"/>
      <c r="F224" s="3"/>
      <c r="G224" s="3"/>
      <c r="H224" s="3"/>
      <c r="I224" s="3"/>
      <c r="J224" s="3"/>
      <c r="K224" s="3"/>
      <c r="L224" s="3"/>
      <c r="N224" s="56"/>
      <c r="O224" s="3"/>
      <c r="P224" s="56"/>
    </row>
    <row r="225" spans="1:16" ht="15.75" customHeight="1">
      <c r="A225" s="3"/>
      <c r="B225" s="3"/>
      <c r="C225" s="3"/>
      <c r="D225" s="3"/>
      <c r="E225" s="56">
        <f>MAX(E3:E223)</f>
        <v>132.09</v>
      </c>
      <c r="F225" s="3"/>
      <c r="G225" s="3"/>
      <c r="H225" s="3">
        <f>MAX(H3:H223)</f>
        <v>26.76</v>
      </c>
      <c r="I225" s="3"/>
      <c r="J225" s="3"/>
      <c r="K225" s="56">
        <f>MAX(K3:K223)</f>
        <v>14.2</v>
      </c>
      <c r="L225" s="3"/>
      <c r="N225" s="56"/>
      <c r="O225" s="3"/>
      <c r="P225" s="56"/>
    </row>
    <row r="226" spans="1:16" ht="15.75" customHeight="1">
      <c r="A226" s="3"/>
      <c r="B226" s="3"/>
      <c r="C226" s="3"/>
      <c r="D226" s="3"/>
      <c r="E226" s="3">
        <f>MIN(E3:E223)</f>
        <v>40.35</v>
      </c>
      <c r="F226" s="3"/>
      <c r="G226" s="3"/>
      <c r="H226" s="3"/>
      <c r="I226" s="3"/>
      <c r="J226" s="3"/>
      <c r="K226" s="3"/>
      <c r="L226" s="3"/>
      <c r="N226" s="56"/>
      <c r="O226" s="3"/>
      <c r="P226" s="56"/>
    </row>
    <row r="227" spans="1:16" ht="15.75" customHeight="1">
      <c r="A227" s="3"/>
      <c r="B227" s="3"/>
      <c r="C227" s="3"/>
      <c r="D227" s="3"/>
      <c r="E227" s="3"/>
      <c r="F227" s="3"/>
      <c r="G227" s="3"/>
      <c r="H227" s="3"/>
      <c r="I227" s="3"/>
      <c r="J227" s="3"/>
      <c r="K227" s="3"/>
      <c r="L227" s="3"/>
      <c r="N227" s="56"/>
      <c r="O227" s="3"/>
      <c r="P227" s="56"/>
    </row>
    <row r="228" spans="1:16" ht="15.75" customHeight="1">
      <c r="A228" s="3"/>
      <c r="B228" s="3"/>
      <c r="C228" s="3"/>
      <c r="D228" s="3"/>
      <c r="E228" s="3"/>
      <c r="F228" s="3"/>
      <c r="G228" s="3"/>
      <c r="H228" s="3"/>
      <c r="I228" s="3"/>
      <c r="J228" s="3"/>
      <c r="K228" s="3"/>
      <c r="L228" s="3"/>
      <c r="N228" s="56"/>
      <c r="O228" s="3"/>
      <c r="P228" s="56"/>
    </row>
    <row r="229" spans="1:16" ht="15.75" customHeight="1">
      <c r="A229" s="3"/>
      <c r="B229" s="3"/>
      <c r="C229" s="3"/>
      <c r="D229" s="3"/>
      <c r="E229" s="3" t="s">
        <v>136</v>
      </c>
      <c r="F229" s="3"/>
      <c r="G229" s="3"/>
      <c r="H229" s="3" t="s">
        <v>203</v>
      </c>
      <c r="I229" s="3"/>
      <c r="J229" s="3"/>
      <c r="K229" s="3"/>
      <c r="L229" s="3"/>
      <c r="N229" s="56"/>
      <c r="O229" s="3"/>
      <c r="P229" s="56"/>
    </row>
    <row r="230" spans="1:16" ht="15.75" customHeight="1">
      <c r="A230" s="3"/>
      <c r="B230" s="3"/>
      <c r="C230" s="3"/>
      <c r="D230" s="3"/>
      <c r="E230" s="3" t="s">
        <v>122</v>
      </c>
      <c r="F230" s="3"/>
      <c r="G230" s="3"/>
      <c r="H230" s="3"/>
      <c r="I230" s="3"/>
      <c r="J230" s="3"/>
      <c r="K230" s="3"/>
      <c r="L230" s="3"/>
      <c r="N230" s="56"/>
      <c r="O230" s="3"/>
      <c r="P230" s="56"/>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I235"/>
  <sheetViews>
    <sheetView workbookViewId="0"/>
  </sheetViews>
  <sheetFormatPr defaultColWidth="17.28515625" defaultRowHeight="15" customHeight="1"/>
  <cols>
    <col min="1" max="3" width="9.140625" customWidth="1"/>
    <col min="4" max="6" width="6.5703125" customWidth="1"/>
    <col min="7" max="7" width="15.28515625" customWidth="1"/>
    <col min="8" max="16" width="6.5703125" customWidth="1"/>
    <col min="17" max="17" width="12.5703125" customWidth="1"/>
    <col min="18" max="18" width="18.42578125" customWidth="1"/>
    <col min="19" max="19" width="17" customWidth="1"/>
    <col min="20" max="20" width="11.85546875" customWidth="1"/>
    <col min="21" max="28" width="9.140625" customWidth="1"/>
    <col min="29" max="29" width="8.7109375" customWidth="1"/>
    <col min="30" max="35" width="17.28515625" customWidth="1"/>
  </cols>
  <sheetData>
    <row r="1" spans="1:35" ht="18" customHeight="1">
      <c r="A1" s="73"/>
      <c r="B1" s="74"/>
      <c r="C1" s="74"/>
      <c r="D1" s="74"/>
      <c r="E1" s="165" t="s">
        <v>159</v>
      </c>
      <c r="F1" s="166"/>
      <c r="G1" s="166"/>
      <c r="H1" s="166"/>
      <c r="I1" s="166"/>
      <c r="J1" s="166"/>
      <c r="K1" s="166"/>
      <c r="L1" s="166"/>
      <c r="M1" s="166"/>
      <c r="N1" s="166"/>
      <c r="O1" s="166"/>
      <c r="P1" s="166"/>
      <c r="Q1" s="166"/>
      <c r="R1" s="166"/>
      <c r="S1" s="167"/>
      <c r="T1" s="74"/>
      <c r="U1" s="74"/>
      <c r="V1" s="74"/>
      <c r="W1" s="75" t="s">
        <v>160</v>
      </c>
      <c r="X1" s="74"/>
      <c r="Y1" s="74"/>
      <c r="Z1" s="74"/>
      <c r="AA1" s="75" t="s">
        <v>161</v>
      </c>
      <c r="AB1" s="74"/>
      <c r="AC1" s="77"/>
      <c r="AD1" s="78"/>
      <c r="AE1" s="79"/>
      <c r="AF1" s="79"/>
      <c r="AG1" s="79"/>
      <c r="AH1" s="79"/>
      <c r="AI1" s="79"/>
    </row>
    <row r="2" spans="1:35">
      <c r="A2" s="80" t="s">
        <v>51</v>
      </c>
      <c r="B2" s="80" t="s">
        <v>52</v>
      </c>
      <c r="C2" s="80" t="s">
        <v>53</v>
      </c>
      <c r="D2" s="80" t="s">
        <v>54</v>
      </c>
      <c r="E2" s="80" t="s">
        <v>55</v>
      </c>
      <c r="F2" s="80" t="s">
        <v>59</v>
      </c>
      <c r="G2" s="80" t="s">
        <v>162</v>
      </c>
      <c r="H2" s="80" t="s">
        <v>163</v>
      </c>
      <c r="I2" s="80" t="s">
        <v>58</v>
      </c>
      <c r="J2" s="80" t="s">
        <v>59</v>
      </c>
      <c r="K2" s="80" t="s">
        <v>60</v>
      </c>
      <c r="L2" s="80" t="s">
        <v>61</v>
      </c>
      <c r="M2" s="80" t="s">
        <v>62</v>
      </c>
      <c r="N2" s="74" t="s">
        <v>63</v>
      </c>
      <c r="O2" s="74" t="s">
        <v>66</v>
      </c>
      <c r="P2" s="74" t="s">
        <v>67</v>
      </c>
      <c r="Q2" s="74" t="s">
        <v>164</v>
      </c>
      <c r="R2" s="74" t="s">
        <v>165</v>
      </c>
      <c r="S2" s="74" t="s">
        <v>166</v>
      </c>
      <c r="T2" s="74" t="s">
        <v>73</v>
      </c>
      <c r="U2" s="74" t="s">
        <v>74</v>
      </c>
      <c r="V2" s="74"/>
      <c r="W2" s="74" t="s">
        <v>75</v>
      </c>
      <c r="X2" s="74" t="s">
        <v>74</v>
      </c>
      <c r="Y2" s="74"/>
      <c r="Z2" s="74"/>
      <c r="AA2" s="74" t="s">
        <v>75</v>
      </c>
      <c r="AB2" s="74" t="s">
        <v>74</v>
      </c>
      <c r="AC2" s="77"/>
      <c r="AD2" s="78" t="s">
        <v>167</v>
      </c>
      <c r="AE2" s="79"/>
      <c r="AF2" s="79"/>
      <c r="AG2" s="79"/>
      <c r="AH2" s="79"/>
      <c r="AI2" s="79"/>
    </row>
    <row r="3" spans="1:35">
      <c r="A3" s="74" t="s">
        <v>78</v>
      </c>
      <c r="B3" s="74" t="s">
        <v>79</v>
      </c>
      <c r="C3" s="74">
        <v>1</v>
      </c>
      <c r="D3" s="74" t="s">
        <v>83</v>
      </c>
      <c r="E3" s="81"/>
      <c r="F3" s="81"/>
      <c r="G3" s="81"/>
      <c r="H3" s="81"/>
      <c r="I3" s="81"/>
      <c r="J3" s="81"/>
      <c r="K3" s="81"/>
      <c r="L3" s="81"/>
      <c r="M3" s="81"/>
      <c r="N3" s="81"/>
      <c r="O3" s="81"/>
      <c r="P3" s="81"/>
      <c r="Q3" s="81"/>
      <c r="R3" s="81"/>
      <c r="S3" s="81"/>
      <c r="T3" s="74">
        <v>59.7</v>
      </c>
      <c r="U3" s="74"/>
      <c r="V3" s="74"/>
      <c r="W3" s="74">
        <v>8.4</v>
      </c>
      <c r="X3" s="74"/>
      <c r="Y3" s="74"/>
      <c r="Z3" s="74"/>
      <c r="AA3" s="74">
        <v>4.29</v>
      </c>
      <c r="AB3" s="74"/>
      <c r="AC3" s="74"/>
      <c r="AD3" s="78">
        <f t="shared" ref="AD3:AD222" si="0">SUM(T3,W3,AA3)</f>
        <v>72.390000000000015</v>
      </c>
      <c r="AE3" s="79"/>
      <c r="AF3" s="79"/>
      <c r="AG3" s="79"/>
      <c r="AH3" s="79"/>
      <c r="AI3" s="79"/>
    </row>
    <row r="4" spans="1:35">
      <c r="A4" s="74"/>
      <c r="B4" s="74"/>
      <c r="C4" s="74">
        <v>1</v>
      </c>
      <c r="D4" s="74" t="s">
        <v>85</v>
      </c>
      <c r="E4" s="81"/>
      <c r="F4" s="81"/>
      <c r="G4" s="81"/>
      <c r="H4" s="81"/>
      <c r="I4" s="81"/>
      <c r="J4" s="81"/>
      <c r="K4" s="81"/>
      <c r="L4" s="81"/>
      <c r="M4" s="81"/>
      <c r="N4" s="81"/>
      <c r="O4" s="81"/>
      <c r="P4" s="81"/>
      <c r="Q4" s="81"/>
      <c r="R4" s="81"/>
      <c r="S4" s="81"/>
      <c r="T4" s="74">
        <v>49.7</v>
      </c>
      <c r="U4" s="74"/>
      <c r="V4" s="74"/>
      <c r="W4" s="74">
        <v>14.1</v>
      </c>
      <c r="X4" s="74"/>
      <c r="Y4" s="74"/>
      <c r="Z4" s="74"/>
      <c r="AA4" s="74">
        <v>4.37</v>
      </c>
      <c r="AB4" s="74"/>
      <c r="AC4" s="74"/>
      <c r="AD4" s="78">
        <f t="shared" si="0"/>
        <v>68.17</v>
      </c>
      <c r="AE4" s="79"/>
      <c r="AF4" s="79"/>
      <c r="AG4" s="79"/>
      <c r="AH4" s="79"/>
      <c r="AI4" s="79"/>
    </row>
    <row r="5" spans="1:35">
      <c r="A5" s="74"/>
      <c r="B5" s="74"/>
      <c r="C5" s="74">
        <v>1</v>
      </c>
      <c r="D5" s="74" t="s">
        <v>87</v>
      </c>
      <c r="E5" s="81"/>
      <c r="F5" s="81"/>
      <c r="G5" s="81"/>
      <c r="H5" s="81"/>
      <c r="I5" s="81"/>
      <c r="J5" s="81"/>
      <c r="K5" s="81"/>
      <c r="L5" s="81"/>
      <c r="M5" s="81"/>
      <c r="N5" s="81"/>
      <c r="O5" s="81"/>
      <c r="P5" s="81"/>
      <c r="Q5" s="81"/>
      <c r="R5" s="81"/>
      <c r="S5" s="81"/>
      <c r="T5" s="83">
        <v>155.39999999999998</v>
      </c>
      <c r="U5" s="74"/>
      <c r="V5" s="74"/>
      <c r="W5" s="74">
        <v>12.1</v>
      </c>
      <c r="X5" s="74"/>
      <c r="Y5" s="74"/>
      <c r="Z5" s="74"/>
      <c r="AA5" s="74">
        <v>5.75</v>
      </c>
      <c r="AB5" s="74"/>
      <c r="AC5" s="74"/>
      <c r="AD5" s="78">
        <f t="shared" si="0"/>
        <v>173.24999999999997</v>
      </c>
      <c r="AE5" s="79"/>
      <c r="AF5" s="79"/>
      <c r="AG5" s="79"/>
      <c r="AH5" s="79"/>
      <c r="AI5" s="79"/>
    </row>
    <row r="6" spans="1:35">
      <c r="A6" s="74"/>
      <c r="B6" s="74"/>
      <c r="C6" s="74">
        <v>1</v>
      </c>
      <c r="D6" s="74" t="s">
        <v>79</v>
      </c>
      <c r="E6" s="81"/>
      <c r="F6" s="81"/>
      <c r="G6" s="81"/>
      <c r="H6" s="81"/>
      <c r="I6" s="81"/>
      <c r="J6" s="81"/>
      <c r="K6" s="81"/>
      <c r="L6" s="81"/>
      <c r="M6" s="81"/>
      <c r="N6" s="81"/>
      <c r="O6" s="81"/>
      <c r="P6" s="81"/>
      <c r="Q6" s="81"/>
      <c r="R6" s="81"/>
      <c r="S6" s="81"/>
      <c r="T6" s="74">
        <v>64.599999999999994</v>
      </c>
      <c r="U6" s="74"/>
      <c r="V6" s="74"/>
      <c r="W6" s="74">
        <v>32.799999999999997</v>
      </c>
      <c r="X6" s="74"/>
      <c r="Y6" s="74"/>
      <c r="Z6" s="74"/>
      <c r="AA6" s="84">
        <v>4.3499999999999996</v>
      </c>
      <c r="AB6" s="74"/>
      <c r="AC6" s="74"/>
      <c r="AD6" s="78">
        <f t="shared" si="0"/>
        <v>101.74999999999999</v>
      </c>
      <c r="AE6" s="79"/>
      <c r="AF6" s="79"/>
      <c r="AG6" s="79"/>
      <c r="AH6" s="79"/>
      <c r="AI6" s="79"/>
    </row>
    <row r="7" spans="1:35">
      <c r="A7" s="74"/>
      <c r="B7" s="74"/>
      <c r="C7" s="74">
        <v>1</v>
      </c>
      <c r="D7" s="74" t="s">
        <v>88</v>
      </c>
      <c r="E7" s="81"/>
      <c r="F7" s="81"/>
      <c r="G7" s="81"/>
      <c r="H7" s="81"/>
      <c r="I7" s="81"/>
      <c r="J7" s="81"/>
      <c r="K7" s="81"/>
      <c r="L7" s="81"/>
      <c r="M7" s="81"/>
      <c r="N7" s="81"/>
      <c r="O7" s="81"/>
      <c r="P7" s="81"/>
      <c r="Q7" s="81"/>
      <c r="R7" s="81"/>
      <c r="S7" s="81"/>
      <c r="T7" s="74">
        <v>67.3</v>
      </c>
      <c r="U7" s="74">
        <f>AVERAGE(T3:T7)</f>
        <v>79.34</v>
      </c>
      <c r="V7" s="74"/>
      <c r="W7" s="74">
        <v>11.3</v>
      </c>
      <c r="X7" s="74">
        <f>AVERAGE(W3:W7)</f>
        <v>15.74</v>
      </c>
      <c r="Y7" s="74"/>
      <c r="Z7" s="74"/>
      <c r="AA7" s="84">
        <v>6.34</v>
      </c>
      <c r="AB7" s="84">
        <v>5</v>
      </c>
      <c r="AC7" s="74"/>
      <c r="AD7" s="78">
        <f t="shared" si="0"/>
        <v>84.94</v>
      </c>
      <c r="AE7" s="79"/>
      <c r="AF7" s="85" t="s">
        <v>92</v>
      </c>
      <c r="AG7" s="85" t="s">
        <v>93</v>
      </c>
      <c r="AH7" s="85" t="s">
        <v>91</v>
      </c>
      <c r="AI7" s="85" t="s">
        <v>90</v>
      </c>
    </row>
    <row r="8" spans="1:35">
      <c r="A8" s="74"/>
      <c r="B8" s="74"/>
      <c r="C8" s="74">
        <v>2</v>
      </c>
      <c r="D8" s="74" t="s">
        <v>83</v>
      </c>
      <c r="E8" s="81"/>
      <c r="F8" s="81"/>
      <c r="G8" s="81"/>
      <c r="H8" s="81"/>
      <c r="I8" s="81"/>
      <c r="J8" s="81"/>
      <c r="K8" s="81"/>
      <c r="L8" s="81"/>
      <c r="M8" s="81"/>
      <c r="N8" s="81"/>
      <c r="O8" s="81"/>
      <c r="P8" s="81"/>
      <c r="Q8" s="81"/>
      <c r="R8" s="81"/>
      <c r="S8" s="81"/>
      <c r="T8" s="74">
        <v>56.9</v>
      </c>
      <c r="U8" s="74"/>
      <c r="V8" s="74"/>
      <c r="W8" s="74">
        <v>3.7</v>
      </c>
      <c r="X8" s="74"/>
      <c r="Y8" s="74"/>
      <c r="Z8" s="74"/>
      <c r="AA8" s="84">
        <v>2.1</v>
      </c>
      <c r="AB8" s="74"/>
      <c r="AC8" s="74"/>
      <c r="AD8" s="78">
        <f t="shared" si="0"/>
        <v>62.7</v>
      </c>
      <c r="AE8" s="79"/>
      <c r="AF8" s="77">
        <v>72.390000000000015</v>
      </c>
      <c r="AG8" s="77">
        <v>63.89</v>
      </c>
      <c r="AH8" s="77">
        <v>90.614999999999981</v>
      </c>
      <c r="AI8" s="77">
        <v>91.149999999999991</v>
      </c>
    </row>
    <row r="9" spans="1:35">
      <c r="A9" s="74"/>
      <c r="B9" s="74"/>
      <c r="C9" s="74">
        <v>2</v>
      </c>
      <c r="D9" s="74" t="s">
        <v>85</v>
      </c>
      <c r="E9" s="81"/>
      <c r="F9" s="81"/>
      <c r="G9" s="81"/>
      <c r="H9" s="81"/>
      <c r="I9" s="81"/>
      <c r="J9" s="81"/>
      <c r="K9" s="81"/>
      <c r="L9" s="81"/>
      <c r="M9" s="81"/>
      <c r="N9" s="81"/>
      <c r="O9" s="81"/>
      <c r="P9" s="81"/>
      <c r="Q9" s="81"/>
      <c r="R9" s="81"/>
      <c r="S9" s="81"/>
      <c r="T9" s="74">
        <v>78.5</v>
      </c>
      <c r="U9" s="74"/>
      <c r="V9" s="74"/>
      <c r="W9" s="74">
        <v>13.7</v>
      </c>
      <c r="X9" s="74"/>
      <c r="Y9" s="74"/>
      <c r="Z9" s="74"/>
      <c r="AA9" s="84">
        <v>3.55</v>
      </c>
      <c r="AB9" s="74"/>
      <c r="AC9" s="74"/>
      <c r="AD9" s="78">
        <f t="shared" si="0"/>
        <v>95.75</v>
      </c>
      <c r="AE9" s="79"/>
      <c r="AF9" s="77">
        <v>68.17</v>
      </c>
      <c r="AG9" s="77">
        <v>96.17</v>
      </c>
      <c r="AH9" s="77">
        <v>129.45999999999998</v>
      </c>
      <c r="AI9" s="77">
        <v>73.820000000000007</v>
      </c>
    </row>
    <row r="10" spans="1:35">
      <c r="A10" s="74"/>
      <c r="B10" s="74"/>
      <c r="C10" s="74">
        <v>2</v>
      </c>
      <c r="D10" s="74" t="s">
        <v>87</v>
      </c>
      <c r="E10" s="81"/>
      <c r="F10" s="81"/>
      <c r="G10" s="81"/>
      <c r="H10" s="81"/>
      <c r="I10" s="81"/>
      <c r="J10" s="81"/>
      <c r="K10" s="81"/>
      <c r="L10" s="81"/>
      <c r="M10" s="81"/>
      <c r="N10" s="81"/>
      <c r="O10" s="81"/>
      <c r="P10" s="81"/>
      <c r="Q10" s="81"/>
      <c r="R10" s="81"/>
      <c r="S10" s="81"/>
      <c r="T10" s="74">
        <v>52.1</v>
      </c>
      <c r="U10" s="74"/>
      <c r="V10" s="74"/>
      <c r="W10" s="74">
        <v>9.1</v>
      </c>
      <c r="X10" s="74"/>
      <c r="Y10" s="74"/>
      <c r="Z10" s="74"/>
      <c r="AA10" s="84">
        <v>5.44</v>
      </c>
      <c r="AB10" s="74"/>
      <c r="AC10" s="74"/>
      <c r="AD10" s="78">
        <f t="shared" si="0"/>
        <v>66.64</v>
      </c>
      <c r="AE10" s="79"/>
      <c r="AF10" s="77">
        <v>173.24999999999997</v>
      </c>
      <c r="AG10" s="77">
        <v>63.82</v>
      </c>
      <c r="AH10" s="77">
        <v>107.31000000000002</v>
      </c>
      <c r="AI10" s="77">
        <v>98.08</v>
      </c>
    </row>
    <row r="11" spans="1:35">
      <c r="A11" s="74"/>
      <c r="B11" s="74"/>
      <c r="C11" s="74">
        <v>2</v>
      </c>
      <c r="D11" s="74" t="s">
        <v>79</v>
      </c>
      <c r="E11" s="81"/>
      <c r="F11" s="81"/>
      <c r="G11" s="81"/>
      <c r="H11" s="81"/>
      <c r="I11" s="81"/>
      <c r="J11" s="81"/>
      <c r="K11" s="81"/>
      <c r="L11" s="81"/>
      <c r="M11" s="81"/>
      <c r="N11" s="81"/>
      <c r="O11" s="81"/>
      <c r="P11" s="81"/>
      <c r="Q11" s="81"/>
      <c r="R11" s="81"/>
      <c r="S11" s="81"/>
      <c r="T11" s="74">
        <v>62.7</v>
      </c>
      <c r="U11" s="74"/>
      <c r="V11" s="74"/>
      <c r="W11" s="74">
        <v>6.6</v>
      </c>
      <c r="X11" s="74"/>
      <c r="Y11" s="74"/>
      <c r="Z11" s="74"/>
      <c r="AA11" s="84">
        <v>4.88</v>
      </c>
      <c r="AB11" s="74"/>
      <c r="AC11" s="74"/>
      <c r="AD11" s="78">
        <f t="shared" si="0"/>
        <v>74.179999999999993</v>
      </c>
      <c r="AE11" s="79"/>
      <c r="AF11" s="77">
        <v>101.88</v>
      </c>
      <c r="AG11" s="77">
        <v>75.22</v>
      </c>
      <c r="AH11" s="77">
        <v>73.039999999999992</v>
      </c>
      <c r="AI11" s="77">
        <v>82.82</v>
      </c>
    </row>
    <row r="12" spans="1:35">
      <c r="A12" s="74"/>
      <c r="B12" s="74"/>
      <c r="C12" s="74">
        <v>2</v>
      </c>
      <c r="D12" s="74" t="s">
        <v>88</v>
      </c>
      <c r="E12" s="81"/>
      <c r="F12" s="81"/>
      <c r="G12" s="81"/>
      <c r="H12" s="81"/>
      <c r="I12" s="81"/>
      <c r="J12" s="81"/>
      <c r="K12" s="81"/>
      <c r="L12" s="81"/>
      <c r="M12" s="81"/>
      <c r="N12" s="81"/>
      <c r="O12" s="81"/>
      <c r="P12" s="81"/>
      <c r="Q12" s="81"/>
      <c r="R12" s="81"/>
      <c r="S12" s="81"/>
      <c r="T12" s="74">
        <v>63.4</v>
      </c>
      <c r="U12" s="74">
        <f>AVERAGE(T8:T12)</f>
        <v>62.719999999999992</v>
      </c>
      <c r="V12" s="74"/>
      <c r="W12" s="74">
        <v>12.4</v>
      </c>
      <c r="X12" s="74">
        <f>AVERAGE(W8:W12)</f>
        <v>9.1</v>
      </c>
      <c r="Y12" s="74"/>
      <c r="Z12" s="74"/>
      <c r="AA12" s="88">
        <v>3.53</v>
      </c>
      <c r="AB12" s="84">
        <v>3.9</v>
      </c>
      <c r="AC12" s="74"/>
      <c r="AD12" s="78">
        <f t="shared" si="0"/>
        <v>79.33</v>
      </c>
      <c r="AE12" s="79"/>
      <c r="AF12" s="77">
        <v>84.94</v>
      </c>
      <c r="AG12" s="77">
        <v>79.33</v>
      </c>
      <c r="AH12" s="77">
        <v>74.67</v>
      </c>
      <c r="AI12" s="77">
        <v>96.13000000000001</v>
      </c>
    </row>
    <row r="13" spans="1:35">
      <c r="A13" s="74"/>
      <c r="B13" s="74"/>
      <c r="C13" s="74">
        <v>3</v>
      </c>
      <c r="D13" s="74" t="s">
        <v>83</v>
      </c>
      <c r="E13" s="81"/>
      <c r="F13" s="81"/>
      <c r="G13" s="81"/>
      <c r="H13" s="81"/>
      <c r="I13" s="81"/>
      <c r="J13" s="81"/>
      <c r="K13" s="81"/>
      <c r="L13" s="81"/>
      <c r="M13" s="81"/>
      <c r="N13" s="81"/>
      <c r="O13" s="81"/>
      <c r="P13" s="81"/>
      <c r="Q13" s="81"/>
      <c r="R13" s="81"/>
      <c r="S13" s="81"/>
      <c r="T13" s="74">
        <v>52.730000000000004</v>
      </c>
      <c r="U13" s="74"/>
      <c r="V13" s="74"/>
      <c r="W13" s="74">
        <v>12.6</v>
      </c>
      <c r="X13" s="74"/>
      <c r="Y13" s="74"/>
      <c r="Z13" s="74"/>
      <c r="AA13" s="74">
        <v>1.99</v>
      </c>
      <c r="AB13" s="74"/>
      <c r="AC13" s="74"/>
      <c r="AD13" s="78">
        <f t="shared" si="0"/>
        <v>67.319999999999993</v>
      </c>
      <c r="AE13" s="79"/>
      <c r="AF13" s="79"/>
      <c r="AG13" s="79"/>
      <c r="AH13" s="79"/>
      <c r="AI13" s="79"/>
    </row>
    <row r="14" spans="1:35">
      <c r="A14" s="74"/>
      <c r="B14" s="74"/>
      <c r="C14" s="74">
        <v>3</v>
      </c>
      <c r="D14" s="74" t="s">
        <v>85</v>
      </c>
      <c r="E14" s="81"/>
      <c r="F14" s="81"/>
      <c r="G14" s="81"/>
      <c r="H14" s="81"/>
      <c r="I14" s="81"/>
      <c r="J14" s="81"/>
      <c r="K14" s="81"/>
      <c r="L14" s="81"/>
      <c r="M14" s="81"/>
      <c r="N14" s="81"/>
      <c r="O14" s="81"/>
      <c r="P14" s="81"/>
      <c r="Q14" s="81"/>
      <c r="R14" s="81"/>
      <c r="S14" s="81"/>
      <c r="T14" s="90">
        <v>69.3</v>
      </c>
      <c r="U14" s="90"/>
      <c r="V14" s="74"/>
      <c r="W14" s="74">
        <v>12.1</v>
      </c>
      <c r="X14" s="74"/>
      <c r="Y14" s="74"/>
      <c r="Z14" s="74"/>
      <c r="AA14" s="74">
        <v>3.06</v>
      </c>
      <c r="AB14" s="74"/>
      <c r="AC14" s="74"/>
      <c r="AD14" s="78">
        <f t="shared" si="0"/>
        <v>84.46</v>
      </c>
      <c r="AE14" s="79"/>
      <c r="AF14" s="85" t="s">
        <v>90</v>
      </c>
      <c r="AG14" s="85" t="s">
        <v>142</v>
      </c>
      <c r="AH14" s="85" t="s">
        <v>92</v>
      </c>
      <c r="AI14" s="85" t="s">
        <v>93</v>
      </c>
    </row>
    <row r="15" spans="1:35">
      <c r="A15" s="74"/>
      <c r="B15" s="74"/>
      <c r="C15" s="74">
        <v>3</v>
      </c>
      <c r="D15" s="74" t="s">
        <v>87</v>
      </c>
      <c r="E15" s="81"/>
      <c r="F15" s="81"/>
      <c r="G15" s="81"/>
      <c r="H15" s="81"/>
      <c r="I15" s="81"/>
      <c r="J15" s="81"/>
      <c r="K15" s="81"/>
      <c r="L15" s="81"/>
      <c r="M15" s="81"/>
      <c r="N15" s="81"/>
      <c r="O15" s="81"/>
      <c r="P15" s="81"/>
      <c r="Q15" s="81"/>
      <c r="R15" s="81"/>
      <c r="S15" s="81"/>
      <c r="T15" s="74">
        <v>67.2</v>
      </c>
      <c r="U15" s="74"/>
      <c r="V15" s="74"/>
      <c r="W15" s="74">
        <v>35.6</v>
      </c>
      <c r="X15" s="74"/>
      <c r="Y15" s="74"/>
      <c r="Z15" s="73"/>
      <c r="AA15" s="84">
        <v>3.96</v>
      </c>
      <c r="AB15" s="74"/>
      <c r="AC15" s="74"/>
      <c r="AD15" s="78">
        <f t="shared" si="0"/>
        <v>106.76</v>
      </c>
      <c r="AE15" s="79"/>
      <c r="AF15" s="77">
        <v>104.75</v>
      </c>
      <c r="AG15" s="77">
        <v>91.469999999999985</v>
      </c>
      <c r="AH15" s="77">
        <v>116.44</v>
      </c>
      <c r="AI15" s="77">
        <v>88.060000000000016</v>
      </c>
    </row>
    <row r="16" spans="1:35">
      <c r="A16" s="74"/>
      <c r="B16" s="74"/>
      <c r="C16" s="74">
        <v>3</v>
      </c>
      <c r="D16" s="74" t="s">
        <v>79</v>
      </c>
      <c r="E16" s="81"/>
      <c r="F16" s="81"/>
      <c r="G16" s="81"/>
      <c r="H16" s="81"/>
      <c r="I16" s="81"/>
      <c r="J16" s="81"/>
      <c r="K16" s="81"/>
      <c r="L16" s="81"/>
      <c r="M16" s="81"/>
      <c r="N16" s="81"/>
      <c r="O16" s="81"/>
      <c r="P16" s="81"/>
      <c r="Q16" s="81"/>
      <c r="R16" s="81"/>
      <c r="S16" s="81"/>
      <c r="T16" s="74">
        <v>63.7</v>
      </c>
      <c r="U16" s="74"/>
      <c r="V16" s="74"/>
      <c r="W16" s="74">
        <v>3.6</v>
      </c>
      <c r="X16" s="74"/>
      <c r="Y16" s="74"/>
      <c r="Z16" s="74"/>
      <c r="AA16" s="84">
        <v>4.5</v>
      </c>
      <c r="AB16" s="74"/>
      <c r="AC16" s="74"/>
      <c r="AD16" s="78">
        <f t="shared" si="0"/>
        <v>71.8</v>
      </c>
      <c r="AE16" s="79"/>
      <c r="AF16" s="77">
        <v>76.55</v>
      </c>
      <c r="AG16" s="77">
        <v>83.43</v>
      </c>
      <c r="AH16" s="77">
        <v>69.73</v>
      </c>
      <c r="AI16" s="77">
        <v>73.23</v>
      </c>
    </row>
    <row r="17" spans="1:35">
      <c r="A17" s="74"/>
      <c r="B17" s="74"/>
      <c r="C17" s="74">
        <v>3</v>
      </c>
      <c r="D17" s="74" t="s">
        <v>88</v>
      </c>
      <c r="E17" s="81"/>
      <c r="F17" s="81"/>
      <c r="G17" s="81"/>
      <c r="H17" s="81"/>
      <c r="I17" s="81"/>
      <c r="J17" s="81"/>
      <c r="K17" s="81"/>
      <c r="L17" s="81"/>
      <c r="M17" s="81"/>
      <c r="N17" s="81"/>
      <c r="O17" s="81"/>
      <c r="P17" s="81"/>
      <c r="Q17" s="81"/>
      <c r="R17" s="81"/>
      <c r="S17" s="81"/>
      <c r="T17" s="74">
        <v>58.9</v>
      </c>
      <c r="U17" s="74">
        <f>AVERAGE(T13:T17)</f>
        <v>62.366</v>
      </c>
      <c r="V17" s="74"/>
      <c r="W17" s="74">
        <v>11.5</v>
      </c>
      <c r="X17" s="74">
        <f>AVERAGE(W13:W17)</f>
        <v>15.080000000000002</v>
      </c>
      <c r="Y17" s="74"/>
      <c r="Z17" s="74"/>
      <c r="AA17" s="84">
        <v>3.73</v>
      </c>
      <c r="AB17" s="84">
        <v>3.448</v>
      </c>
      <c r="AC17" s="74"/>
      <c r="AD17" s="78">
        <f t="shared" si="0"/>
        <v>74.13000000000001</v>
      </c>
      <c r="AE17" s="79"/>
      <c r="AF17" s="77">
        <v>84.61</v>
      </c>
      <c r="AG17" s="77">
        <v>87.88</v>
      </c>
      <c r="AH17" s="77">
        <v>174.85999999999996</v>
      </c>
      <c r="AI17" s="77">
        <v>105.30999999999999</v>
      </c>
    </row>
    <row r="18" spans="1:35">
      <c r="A18" s="74"/>
      <c r="B18" s="74"/>
      <c r="C18" s="74">
        <v>4</v>
      </c>
      <c r="D18" s="74" t="s">
        <v>83</v>
      </c>
      <c r="E18" s="81"/>
      <c r="F18" s="81"/>
      <c r="G18" s="81"/>
      <c r="H18" s="81"/>
      <c r="I18" s="81"/>
      <c r="J18" s="81"/>
      <c r="K18" s="81"/>
      <c r="L18" s="81"/>
      <c r="M18" s="81"/>
      <c r="N18" s="81"/>
      <c r="O18" s="81"/>
      <c r="P18" s="81"/>
      <c r="Q18" s="81"/>
      <c r="R18" s="81"/>
      <c r="S18" s="81"/>
      <c r="T18" s="74">
        <v>72.3</v>
      </c>
      <c r="U18" s="74"/>
      <c r="V18" s="74"/>
      <c r="W18" s="74">
        <v>10.6</v>
      </c>
      <c r="X18" s="74"/>
      <c r="Y18" s="74"/>
      <c r="Z18" s="74"/>
      <c r="AA18" s="84">
        <v>7.36</v>
      </c>
      <c r="AB18" s="74"/>
      <c r="AC18" s="74"/>
      <c r="AD18" s="78">
        <f t="shared" si="0"/>
        <v>90.259999999999991</v>
      </c>
      <c r="AE18" s="79"/>
      <c r="AF18" s="77">
        <v>79.06</v>
      </c>
      <c r="AG18" s="77">
        <v>115.83000000000001</v>
      </c>
      <c r="AH18" s="77">
        <v>126.78999999999999</v>
      </c>
      <c r="AI18" s="77">
        <v>85.359999999999985</v>
      </c>
    </row>
    <row r="19" spans="1:35">
      <c r="A19" s="74"/>
      <c r="B19" s="74"/>
      <c r="C19" s="74">
        <v>4</v>
      </c>
      <c r="D19" s="74" t="s">
        <v>85</v>
      </c>
      <c r="E19" s="81"/>
      <c r="F19" s="81"/>
      <c r="G19" s="81"/>
      <c r="H19" s="81"/>
      <c r="I19" s="81"/>
      <c r="J19" s="81"/>
      <c r="K19" s="81"/>
      <c r="L19" s="81"/>
      <c r="M19" s="81"/>
      <c r="N19" s="81"/>
      <c r="O19" s="81"/>
      <c r="P19" s="81"/>
      <c r="Q19" s="81"/>
      <c r="R19" s="81"/>
      <c r="S19" s="81"/>
      <c r="T19" s="74">
        <v>58.2</v>
      </c>
      <c r="U19" s="74"/>
      <c r="V19" s="74"/>
      <c r="W19" s="74">
        <v>11.4</v>
      </c>
      <c r="X19" s="74"/>
      <c r="Y19" s="74"/>
      <c r="Z19" s="74"/>
      <c r="AA19" s="74">
        <v>4.22</v>
      </c>
      <c r="AB19" s="74"/>
      <c r="AC19" s="74"/>
      <c r="AD19" s="78">
        <f t="shared" si="0"/>
        <v>73.820000000000007</v>
      </c>
      <c r="AE19" s="79"/>
      <c r="AF19" s="77">
        <v>84.76</v>
      </c>
      <c r="AG19" s="77">
        <v>81.13</v>
      </c>
      <c r="AH19" s="77">
        <v>107.62000000000002</v>
      </c>
      <c r="AI19" s="77">
        <v>94.29</v>
      </c>
    </row>
    <row r="20" spans="1:35">
      <c r="A20" s="74"/>
      <c r="B20" s="74"/>
      <c r="C20" s="74">
        <v>4</v>
      </c>
      <c r="D20" s="74" t="s">
        <v>87</v>
      </c>
      <c r="E20" s="81"/>
      <c r="F20" s="81"/>
      <c r="G20" s="81"/>
      <c r="H20" s="81"/>
      <c r="I20" s="81"/>
      <c r="J20" s="81"/>
      <c r="K20" s="81"/>
      <c r="L20" s="81"/>
      <c r="M20" s="81"/>
      <c r="N20" s="81"/>
      <c r="O20" s="81"/>
      <c r="P20" s="81"/>
      <c r="Q20" s="81"/>
      <c r="R20" s="81"/>
      <c r="S20" s="81"/>
      <c r="T20" s="74">
        <v>78.5</v>
      </c>
      <c r="U20" s="74"/>
      <c r="V20" s="74"/>
      <c r="W20" s="74">
        <v>14.2</v>
      </c>
      <c r="X20" s="74"/>
      <c r="Y20" s="74"/>
      <c r="Z20" s="74"/>
      <c r="AA20" s="84">
        <v>4.7699999999999996</v>
      </c>
      <c r="AB20" s="74"/>
      <c r="AC20" s="74"/>
      <c r="AD20" s="78">
        <f t="shared" si="0"/>
        <v>97.47</v>
      </c>
      <c r="AE20" s="79"/>
      <c r="AF20" s="79"/>
      <c r="AG20" s="79"/>
      <c r="AH20" s="79"/>
      <c r="AI20" s="79"/>
    </row>
    <row r="21" spans="1:35">
      <c r="A21" s="74"/>
      <c r="B21" s="74"/>
      <c r="C21" s="74">
        <v>4</v>
      </c>
      <c r="D21" s="74" t="s">
        <v>79</v>
      </c>
      <c r="E21" s="81"/>
      <c r="F21" s="81"/>
      <c r="G21" s="81"/>
      <c r="H21" s="81"/>
      <c r="I21" s="81"/>
      <c r="J21" s="81"/>
      <c r="K21" s="81"/>
      <c r="L21" s="81"/>
      <c r="M21" s="81"/>
      <c r="N21" s="81"/>
      <c r="O21" s="81"/>
      <c r="P21" s="81"/>
      <c r="Q21" s="81"/>
      <c r="R21" s="81"/>
      <c r="S21" s="81"/>
      <c r="T21" s="74">
        <v>67.3</v>
      </c>
      <c r="U21" s="74"/>
      <c r="V21" s="74"/>
      <c r="W21" s="74">
        <v>11.3</v>
      </c>
      <c r="X21" s="74"/>
      <c r="Y21" s="74"/>
      <c r="Z21" s="74"/>
      <c r="AA21" s="84">
        <v>3.97</v>
      </c>
      <c r="AB21" s="74"/>
      <c r="AC21" s="74"/>
      <c r="AD21" s="78">
        <f t="shared" si="0"/>
        <v>82.57</v>
      </c>
      <c r="AE21" s="79"/>
      <c r="AF21" s="79"/>
      <c r="AG21" s="79"/>
      <c r="AH21" s="79"/>
      <c r="AI21" s="79"/>
    </row>
    <row r="22" spans="1:35">
      <c r="A22" s="74"/>
      <c r="B22" s="74"/>
      <c r="C22" s="74">
        <v>4</v>
      </c>
      <c r="D22" s="74" t="s">
        <v>88</v>
      </c>
      <c r="E22" s="81"/>
      <c r="F22" s="81"/>
      <c r="G22" s="81"/>
      <c r="H22" s="81"/>
      <c r="I22" s="81"/>
      <c r="J22" s="81"/>
      <c r="K22" s="81"/>
      <c r="L22" s="81"/>
      <c r="M22" s="81"/>
      <c r="N22" s="81"/>
      <c r="O22" s="81"/>
      <c r="P22" s="81"/>
      <c r="Q22" s="81"/>
      <c r="R22" s="81"/>
      <c r="S22" s="81"/>
      <c r="T22" s="74">
        <v>68.7</v>
      </c>
      <c r="U22" s="74">
        <f>AVERAGE(T18:T22)</f>
        <v>69</v>
      </c>
      <c r="V22" s="74"/>
      <c r="W22" s="74">
        <v>21.1</v>
      </c>
      <c r="X22" s="74">
        <f>AVERAGE(W18:W22)</f>
        <v>13.719999999999999</v>
      </c>
      <c r="Y22" s="74"/>
      <c r="Z22" s="74"/>
      <c r="AA22" s="74">
        <v>6.33</v>
      </c>
      <c r="AB22" s="84">
        <v>5.33</v>
      </c>
      <c r="AC22" s="88" t="s">
        <v>201</v>
      </c>
      <c r="AD22" s="78">
        <f t="shared" si="0"/>
        <v>96.13000000000001</v>
      </c>
      <c r="AE22" s="79"/>
      <c r="AF22" s="79"/>
      <c r="AG22" s="79"/>
      <c r="AH22" s="79"/>
      <c r="AI22" s="79"/>
    </row>
    <row r="23" spans="1:35">
      <c r="A23" s="74" t="s">
        <v>78</v>
      </c>
      <c r="B23" s="74" t="s">
        <v>94</v>
      </c>
      <c r="C23" s="74">
        <v>1</v>
      </c>
      <c r="D23" s="74" t="s">
        <v>83</v>
      </c>
      <c r="E23" s="74"/>
      <c r="F23" s="74">
        <v>20.399999999999999</v>
      </c>
      <c r="G23" s="74">
        <v>8.4</v>
      </c>
      <c r="H23" s="74">
        <v>1.1000000000000001</v>
      </c>
      <c r="I23" s="74">
        <v>1.9</v>
      </c>
      <c r="J23" s="74">
        <v>19.100000000000001</v>
      </c>
      <c r="K23" s="74">
        <v>0.4</v>
      </c>
      <c r="L23" s="74">
        <v>0.5</v>
      </c>
      <c r="M23" s="74">
        <v>1.9</v>
      </c>
      <c r="N23" s="74">
        <v>19.100000000000001</v>
      </c>
      <c r="O23" s="74">
        <v>0.4</v>
      </c>
      <c r="P23" s="74">
        <v>0.5</v>
      </c>
      <c r="Q23" s="74"/>
      <c r="R23" s="74"/>
      <c r="S23" s="74"/>
      <c r="T23" s="74">
        <f t="shared" ref="T23:T42" si="1">SUM(E23:S23)</f>
        <v>73.7</v>
      </c>
      <c r="U23" s="74"/>
      <c r="V23" s="74"/>
      <c r="W23" s="97">
        <v>47.42</v>
      </c>
      <c r="X23" s="74"/>
      <c r="Y23" s="74"/>
      <c r="Z23" s="74"/>
      <c r="AA23" s="74">
        <v>5.53</v>
      </c>
      <c r="AB23" s="74"/>
      <c r="AC23" s="74"/>
      <c r="AD23" s="78">
        <f t="shared" si="0"/>
        <v>126.65</v>
      </c>
      <c r="AE23" s="79"/>
      <c r="AF23" s="79"/>
      <c r="AG23" s="79"/>
      <c r="AH23" s="79"/>
      <c r="AI23" s="79"/>
    </row>
    <row r="24" spans="1:35">
      <c r="A24" s="74"/>
      <c r="B24" s="74"/>
      <c r="C24" s="74">
        <v>1</v>
      </c>
      <c r="D24" s="74" t="s">
        <v>85</v>
      </c>
      <c r="E24" s="74"/>
      <c r="F24" s="74"/>
      <c r="G24" s="74">
        <v>19.7</v>
      </c>
      <c r="H24" s="74">
        <v>1.4</v>
      </c>
      <c r="I24" s="74"/>
      <c r="J24" s="74"/>
      <c r="K24" s="74"/>
      <c r="L24" s="74"/>
      <c r="M24" s="74">
        <v>2</v>
      </c>
      <c r="N24" s="74">
        <v>8.1999999999999993</v>
      </c>
      <c r="O24" s="74"/>
      <c r="P24" s="74"/>
      <c r="Q24" s="74"/>
      <c r="R24" s="74"/>
      <c r="S24" s="74"/>
      <c r="T24" s="74">
        <f t="shared" si="1"/>
        <v>31.299999999999997</v>
      </c>
      <c r="U24" s="74"/>
      <c r="V24" s="74"/>
      <c r="W24" s="97">
        <v>15.02</v>
      </c>
      <c r="X24" s="74"/>
      <c r="Y24" s="74"/>
      <c r="Z24" s="74"/>
      <c r="AA24" s="84">
        <v>2.9</v>
      </c>
      <c r="AB24" s="74"/>
      <c r="AC24" s="74"/>
      <c r="AD24" s="78">
        <f t="shared" si="0"/>
        <v>49.219999999999992</v>
      </c>
      <c r="AE24" s="79"/>
      <c r="AF24" s="79"/>
      <c r="AG24" s="79"/>
      <c r="AH24" s="79"/>
      <c r="AI24" s="79"/>
    </row>
    <row r="25" spans="1:35">
      <c r="A25" s="74"/>
      <c r="B25" s="74"/>
      <c r="C25" s="74">
        <v>1</v>
      </c>
      <c r="D25" s="74" t="s">
        <v>87</v>
      </c>
      <c r="E25" s="74">
        <v>0.2</v>
      </c>
      <c r="F25" s="74">
        <v>23.7</v>
      </c>
      <c r="G25" s="74">
        <v>5.9</v>
      </c>
      <c r="H25" s="74">
        <v>1.8</v>
      </c>
      <c r="I25" s="74"/>
      <c r="J25" s="74"/>
      <c r="K25" s="74"/>
      <c r="L25" s="74"/>
      <c r="M25" s="74">
        <v>1.2</v>
      </c>
      <c r="N25" s="74">
        <v>26</v>
      </c>
      <c r="O25" s="74"/>
      <c r="P25" s="74">
        <v>6.1</v>
      </c>
      <c r="Q25" s="74"/>
      <c r="R25" s="74"/>
      <c r="S25" s="74"/>
      <c r="T25" s="74">
        <f t="shared" si="1"/>
        <v>64.899999999999991</v>
      </c>
      <c r="U25" s="74"/>
      <c r="V25" s="74"/>
      <c r="W25" s="97">
        <v>13.99</v>
      </c>
      <c r="X25" s="74"/>
      <c r="Y25" s="74"/>
      <c r="Z25" s="74"/>
      <c r="AA25" s="84">
        <v>5.3</v>
      </c>
      <c r="AB25" s="74"/>
      <c r="AC25" s="74"/>
      <c r="AD25" s="78">
        <f t="shared" si="0"/>
        <v>84.189999999999984</v>
      </c>
      <c r="AE25" s="79"/>
      <c r="AF25" s="79"/>
      <c r="AG25" s="79"/>
      <c r="AH25" s="79"/>
      <c r="AI25" s="79"/>
    </row>
    <row r="26" spans="1:35">
      <c r="A26" s="74"/>
      <c r="B26" s="74"/>
      <c r="C26" s="74">
        <v>1</v>
      </c>
      <c r="D26" s="74" t="s">
        <v>79</v>
      </c>
      <c r="E26" s="74"/>
      <c r="F26" s="74"/>
      <c r="G26" s="74">
        <v>4.7</v>
      </c>
      <c r="H26" s="74">
        <v>2.1</v>
      </c>
      <c r="I26" s="74"/>
      <c r="J26" s="74"/>
      <c r="K26" s="74"/>
      <c r="L26" s="74"/>
      <c r="M26" s="74">
        <v>1.6</v>
      </c>
      <c r="N26" s="74">
        <v>22.3</v>
      </c>
      <c r="O26" s="74"/>
      <c r="P26" s="74"/>
      <c r="Q26" s="74"/>
      <c r="R26" s="74"/>
      <c r="S26" s="74"/>
      <c r="T26" s="74">
        <f t="shared" si="1"/>
        <v>30.700000000000003</v>
      </c>
      <c r="U26" s="74"/>
      <c r="V26" s="74"/>
      <c r="W26" s="97">
        <v>17.8</v>
      </c>
      <c r="X26" s="74"/>
      <c r="Y26" s="74"/>
      <c r="Z26" s="74"/>
      <c r="AA26" s="99">
        <v>4.5999999999999996</v>
      </c>
      <c r="AB26" s="74"/>
      <c r="AC26" s="74"/>
      <c r="AD26" s="78">
        <f t="shared" si="0"/>
        <v>53.1</v>
      </c>
      <c r="AE26" s="79"/>
      <c r="AF26" s="79"/>
      <c r="AG26" s="79"/>
      <c r="AH26" s="79"/>
      <c r="AI26" s="79"/>
    </row>
    <row r="27" spans="1:35">
      <c r="A27" s="74"/>
      <c r="B27" s="74"/>
      <c r="C27" s="74">
        <v>1</v>
      </c>
      <c r="D27" s="74" t="s">
        <v>88</v>
      </c>
      <c r="E27" s="74"/>
      <c r="F27" s="74">
        <v>40</v>
      </c>
      <c r="G27" s="74">
        <v>3.6</v>
      </c>
      <c r="H27" s="74">
        <v>1.2</v>
      </c>
      <c r="I27" s="74"/>
      <c r="J27" s="74"/>
      <c r="K27" s="74"/>
      <c r="L27" s="74"/>
      <c r="M27" s="74">
        <v>1.4</v>
      </c>
      <c r="N27" s="74">
        <v>2.6</v>
      </c>
      <c r="O27" s="74"/>
      <c r="P27" s="74"/>
      <c r="Q27" s="74"/>
      <c r="R27" s="74"/>
      <c r="S27" s="74"/>
      <c r="T27" s="74">
        <f t="shared" si="1"/>
        <v>48.800000000000004</v>
      </c>
      <c r="U27" s="74">
        <f>AVERAGE(T23:T27)</f>
        <v>49.879999999999995</v>
      </c>
      <c r="V27" s="74"/>
      <c r="W27" s="97">
        <v>30.12</v>
      </c>
      <c r="X27" s="97">
        <f>AVERAGE(W23:W27)</f>
        <v>24.869999999999997</v>
      </c>
      <c r="Y27" s="74"/>
      <c r="Z27" s="74"/>
      <c r="AA27" s="99">
        <v>6.1</v>
      </c>
      <c r="AB27" s="73">
        <f>AVERAGE(AA23:AA27)</f>
        <v>4.8860000000000001</v>
      </c>
      <c r="AC27" s="74"/>
      <c r="AD27" s="78">
        <f t="shared" si="0"/>
        <v>85.02</v>
      </c>
      <c r="AE27" s="79"/>
      <c r="AF27" s="79"/>
      <c r="AG27" s="79"/>
      <c r="AH27" s="79"/>
      <c r="AI27" s="79"/>
    </row>
    <row r="28" spans="1:35">
      <c r="A28" s="74"/>
      <c r="B28" s="74"/>
      <c r="C28" s="74">
        <v>2</v>
      </c>
      <c r="D28" s="74" t="s">
        <v>83</v>
      </c>
      <c r="E28" s="74"/>
      <c r="F28" s="74">
        <v>15.6</v>
      </c>
      <c r="G28" s="74">
        <v>2.2999999999999998</v>
      </c>
      <c r="H28" s="74">
        <v>2.8</v>
      </c>
      <c r="I28" s="74"/>
      <c r="J28" s="74"/>
      <c r="K28" s="74"/>
      <c r="L28" s="74"/>
      <c r="M28" s="74">
        <v>3.7</v>
      </c>
      <c r="N28" s="74">
        <v>54.3</v>
      </c>
      <c r="O28" s="74">
        <v>0.1</v>
      </c>
      <c r="P28" s="74"/>
      <c r="Q28" s="74"/>
      <c r="R28" s="74"/>
      <c r="S28" s="74"/>
      <c r="T28" s="74">
        <f t="shared" si="1"/>
        <v>78.799999999999983</v>
      </c>
      <c r="U28" s="74"/>
      <c r="V28" s="74"/>
      <c r="W28" s="97">
        <v>9.74</v>
      </c>
      <c r="X28" s="74"/>
      <c r="Y28" s="74"/>
      <c r="Z28" s="74"/>
      <c r="AA28" s="100">
        <v>5.6</v>
      </c>
      <c r="AB28" s="101"/>
      <c r="AC28" s="101"/>
      <c r="AD28" s="78">
        <f t="shared" si="0"/>
        <v>94.139999999999972</v>
      </c>
      <c r="AE28" s="79"/>
      <c r="AF28" s="79"/>
      <c r="AG28" s="79"/>
      <c r="AH28" s="79"/>
      <c r="AI28" s="79"/>
    </row>
    <row r="29" spans="1:35">
      <c r="A29" s="74"/>
      <c r="B29" s="74"/>
      <c r="C29" s="74">
        <v>2</v>
      </c>
      <c r="D29" s="74" t="s">
        <v>85</v>
      </c>
      <c r="E29" s="74"/>
      <c r="F29" s="74">
        <v>11.5</v>
      </c>
      <c r="G29" s="74">
        <v>34.200000000000003</v>
      </c>
      <c r="H29" s="74">
        <v>1.4</v>
      </c>
      <c r="I29" s="74"/>
      <c r="J29" s="74"/>
      <c r="K29" s="74"/>
      <c r="L29" s="74"/>
      <c r="M29" s="74">
        <v>3.4</v>
      </c>
      <c r="N29" s="74">
        <v>12.7</v>
      </c>
      <c r="O29" s="74"/>
      <c r="P29" s="74"/>
      <c r="Q29" s="74"/>
      <c r="R29" s="74"/>
      <c r="S29" s="74"/>
      <c r="T29" s="74">
        <f t="shared" si="1"/>
        <v>63.2</v>
      </c>
      <c r="U29" s="74"/>
      <c r="V29" s="74"/>
      <c r="W29" s="97">
        <v>16.53</v>
      </c>
      <c r="X29" s="74"/>
      <c r="Y29" s="74"/>
      <c r="Z29" s="74"/>
      <c r="AA29" s="102">
        <v>3.7</v>
      </c>
      <c r="AB29" s="74"/>
      <c r="AC29" s="74"/>
      <c r="AD29" s="78">
        <f t="shared" si="0"/>
        <v>83.43</v>
      </c>
      <c r="AE29" s="79"/>
      <c r="AF29" s="79"/>
      <c r="AG29" s="79"/>
      <c r="AH29" s="79"/>
      <c r="AI29" s="79"/>
    </row>
    <row r="30" spans="1:35">
      <c r="A30" s="74"/>
      <c r="B30" s="74"/>
      <c r="C30" s="74">
        <v>2</v>
      </c>
      <c r="D30" s="74" t="s">
        <v>87</v>
      </c>
      <c r="E30" s="74">
        <v>3</v>
      </c>
      <c r="F30" s="74"/>
      <c r="G30" s="74">
        <v>39.799999999999997</v>
      </c>
      <c r="H30" s="74">
        <v>1.5</v>
      </c>
      <c r="I30" s="74"/>
      <c r="J30" s="74"/>
      <c r="K30" s="74"/>
      <c r="L30" s="74"/>
      <c r="M30" s="74">
        <v>5.6</v>
      </c>
      <c r="N30" s="74">
        <v>4.4000000000000004</v>
      </c>
      <c r="O30" s="74"/>
      <c r="P30" s="74"/>
      <c r="Q30" s="74"/>
      <c r="R30" s="74"/>
      <c r="S30" s="74"/>
      <c r="T30" s="74">
        <f t="shared" si="1"/>
        <v>54.3</v>
      </c>
      <c r="U30" s="74"/>
      <c r="V30" s="74"/>
      <c r="W30" s="97">
        <v>12.67</v>
      </c>
      <c r="X30" s="74"/>
      <c r="Y30" s="74"/>
      <c r="Z30" s="74"/>
      <c r="AA30" s="99">
        <v>3.4</v>
      </c>
      <c r="AB30" s="74"/>
      <c r="AC30" s="74"/>
      <c r="AD30" s="78">
        <f t="shared" si="0"/>
        <v>70.37</v>
      </c>
      <c r="AE30" s="79"/>
      <c r="AF30" s="79"/>
      <c r="AG30" s="79"/>
      <c r="AH30" s="79"/>
      <c r="AI30" s="79"/>
    </row>
    <row r="31" spans="1:35">
      <c r="A31" s="74"/>
      <c r="B31" s="74"/>
      <c r="C31" s="74">
        <v>2</v>
      </c>
      <c r="D31" s="74" t="s">
        <v>79</v>
      </c>
      <c r="E31" s="74"/>
      <c r="F31" s="74">
        <v>9.1999999999999993</v>
      </c>
      <c r="G31" s="74">
        <v>15.7</v>
      </c>
      <c r="H31" s="74">
        <v>2.8</v>
      </c>
      <c r="I31" s="74"/>
      <c r="J31" s="74"/>
      <c r="K31" s="74"/>
      <c r="L31" s="74"/>
      <c r="M31" s="74">
        <v>4.7</v>
      </c>
      <c r="N31" s="74">
        <v>65.5</v>
      </c>
      <c r="O31" s="74"/>
      <c r="P31" s="74"/>
      <c r="Q31" s="74"/>
      <c r="R31" s="74"/>
      <c r="S31" s="74"/>
      <c r="T31" s="74">
        <f t="shared" si="1"/>
        <v>97.9</v>
      </c>
      <c r="U31" s="74"/>
      <c r="V31" s="74"/>
      <c r="W31" s="97">
        <v>11.96</v>
      </c>
      <c r="X31" s="74"/>
      <c r="Y31" s="74"/>
      <c r="Z31" s="74"/>
      <c r="AA31" s="99">
        <v>6.1</v>
      </c>
      <c r="AB31" s="74"/>
      <c r="AC31" s="74"/>
      <c r="AD31" s="78">
        <f t="shared" si="0"/>
        <v>115.96000000000001</v>
      </c>
      <c r="AE31" s="79"/>
      <c r="AF31" s="79"/>
      <c r="AG31" s="79"/>
      <c r="AH31" s="79"/>
      <c r="AI31" s="79"/>
    </row>
    <row r="32" spans="1:35">
      <c r="A32" s="74"/>
      <c r="B32" s="74"/>
      <c r="C32" s="74">
        <v>2</v>
      </c>
      <c r="D32" s="74" t="s">
        <v>88</v>
      </c>
      <c r="E32" s="74"/>
      <c r="F32" s="74">
        <v>38.299999999999997</v>
      </c>
      <c r="G32" s="74">
        <v>16.7</v>
      </c>
      <c r="H32" s="74">
        <v>1.6</v>
      </c>
      <c r="I32" s="74"/>
      <c r="J32" s="74"/>
      <c r="K32" s="74"/>
      <c r="L32" s="74"/>
      <c r="M32" s="74">
        <v>3.6</v>
      </c>
      <c r="N32" s="74">
        <v>0.1</v>
      </c>
      <c r="O32" s="74"/>
      <c r="P32" s="74">
        <v>0.1</v>
      </c>
      <c r="Q32" s="74"/>
      <c r="R32" s="74"/>
      <c r="S32" s="74"/>
      <c r="T32" s="74">
        <f t="shared" si="1"/>
        <v>60.400000000000006</v>
      </c>
      <c r="U32" s="74">
        <f>AVERAGE(T28:T32)</f>
        <v>70.92</v>
      </c>
      <c r="V32" s="74"/>
      <c r="W32" s="97">
        <v>17.46</v>
      </c>
      <c r="X32" s="97">
        <f>AVERAGE(W28:W32)</f>
        <v>13.672000000000002</v>
      </c>
      <c r="Y32" s="74"/>
      <c r="Z32" s="74"/>
      <c r="AA32" s="99">
        <v>3</v>
      </c>
      <c r="AB32" s="103">
        <f>AVERAGE(AA28:AA32)</f>
        <v>4.3600000000000003</v>
      </c>
      <c r="AC32" s="74"/>
      <c r="AD32" s="78">
        <f t="shared" si="0"/>
        <v>80.860000000000014</v>
      </c>
      <c r="AE32" s="79"/>
      <c r="AF32" s="79"/>
      <c r="AG32" s="79"/>
      <c r="AH32" s="79"/>
      <c r="AI32" s="79"/>
    </row>
    <row r="33" spans="1:35">
      <c r="A33" s="74"/>
      <c r="B33" s="74"/>
      <c r="C33" s="74">
        <v>3</v>
      </c>
      <c r="D33" s="74" t="s">
        <v>83</v>
      </c>
      <c r="E33" s="74"/>
      <c r="F33" s="74"/>
      <c r="G33" s="74">
        <v>19.600000000000001</v>
      </c>
      <c r="H33" s="74">
        <v>4.3</v>
      </c>
      <c r="I33" s="74"/>
      <c r="J33" s="74"/>
      <c r="K33" s="74"/>
      <c r="L33" s="74"/>
      <c r="M33" s="74"/>
      <c r="N33" s="74">
        <v>69.599999999999994</v>
      </c>
      <c r="O33" s="74"/>
      <c r="P33" s="74"/>
      <c r="Q33" s="74">
        <v>1.3</v>
      </c>
      <c r="R33" s="74"/>
      <c r="S33" s="74"/>
      <c r="T33" s="74">
        <f t="shared" si="1"/>
        <v>94.8</v>
      </c>
      <c r="U33" s="74"/>
      <c r="V33" s="74"/>
      <c r="W33" s="97">
        <v>18.11</v>
      </c>
      <c r="X33" s="74"/>
      <c r="Y33" s="74"/>
      <c r="Z33" s="74"/>
      <c r="AA33" s="99">
        <v>2.8</v>
      </c>
      <c r="AB33" s="74"/>
      <c r="AC33" s="74"/>
      <c r="AD33" s="78">
        <f t="shared" si="0"/>
        <v>115.71</v>
      </c>
      <c r="AE33" s="79"/>
      <c r="AF33" s="79"/>
      <c r="AG33" s="79"/>
      <c r="AH33" s="79"/>
      <c r="AI33" s="79"/>
    </row>
    <row r="34" spans="1:35">
      <c r="A34" s="74"/>
      <c r="B34" s="74"/>
      <c r="C34" s="74">
        <v>3</v>
      </c>
      <c r="D34" s="74" t="s">
        <v>85</v>
      </c>
      <c r="E34" s="74"/>
      <c r="F34" s="74">
        <v>25.1</v>
      </c>
      <c r="G34" s="74">
        <v>6.7</v>
      </c>
      <c r="H34" s="74">
        <v>1.6</v>
      </c>
      <c r="I34" s="74"/>
      <c r="J34" s="74"/>
      <c r="K34" s="74"/>
      <c r="L34" s="74"/>
      <c r="M34" s="74"/>
      <c r="N34" s="74">
        <v>9.1999999999999993</v>
      </c>
      <c r="O34" s="74"/>
      <c r="P34" s="74">
        <v>4.7</v>
      </c>
      <c r="Q34" s="74"/>
      <c r="R34" s="74">
        <v>11.9</v>
      </c>
      <c r="S34" s="74"/>
      <c r="T34" s="74">
        <f t="shared" si="1"/>
        <v>59.199999999999996</v>
      </c>
      <c r="U34" s="74"/>
      <c r="V34" s="74"/>
      <c r="W34" s="97">
        <v>6.13</v>
      </c>
      <c r="X34" s="74"/>
      <c r="Y34" s="74"/>
      <c r="Z34" s="74"/>
      <c r="AA34" s="99">
        <v>3.9</v>
      </c>
      <c r="AB34" s="74"/>
      <c r="AC34" s="74"/>
      <c r="AD34" s="78">
        <f t="shared" si="0"/>
        <v>69.23</v>
      </c>
      <c r="AE34" s="79"/>
      <c r="AF34" s="79"/>
      <c r="AG34" s="79"/>
      <c r="AH34" s="79"/>
      <c r="AI34" s="79"/>
    </row>
    <row r="35" spans="1:35">
      <c r="A35" s="74"/>
      <c r="B35" s="74"/>
      <c r="C35" s="74">
        <v>3</v>
      </c>
      <c r="D35" s="74" t="s">
        <v>87</v>
      </c>
      <c r="E35" s="74">
        <v>0.8</v>
      </c>
      <c r="F35" s="74">
        <v>36.5</v>
      </c>
      <c r="G35" s="74">
        <v>9.3000000000000007</v>
      </c>
      <c r="H35" s="74">
        <v>1.5</v>
      </c>
      <c r="I35" s="74"/>
      <c r="J35" s="74"/>
      <c r="K35" s="74"/>
      <c r="L35" s="74"/>
      <c r="M35" s="74">
        <v>6.3</v>
      </c>
      <c r="N35" s="74">
        <v>9.9</v>
      </c>
      <c r="O35" s="74"/>
      <c r="P35" s="74">
        <v>9.5</v>
      </c>
      <c r="Q35" s="74"/>
      <c r="R35" s="74"/>
      <c r="S35" s="74"/>
      <c r="T35" s="74">
        <f t="shared" si="1"/>
        <v>73.8</v>
      </c>
      <c r="U35" s="74"/>
      <c r="V35" s="74"/>
      <c r="W35" s="97">
        <v>16.45</v>
      </c>
      <c r="X35" s="74"/>
      <c r="Y35" s="74"/>
      <c r="Z35" s="74"/>
      <c r="AA35" s="99">
        <v>5.5</v>
      </c>
      <c r="AB35" s="74"/>
      <c r="AC35" s="74"/>
      <c r="AD35" s="78">
        <f t="shared" si="0"/>
        <v>95.75</v>
      </c>
      <c r="AE35" s="79"/>
      <c r="AF35" s="79"/>
      <c r="AG35" s="79"/>
      <c r="AH35" s="79"/>
      <c r="AI35" s="79"/>
    </row>
    <row r="36" spans="1:35">
      <c r="A36" s="74"/>
      <c r="B36" s="74"/>
      <c r="C36" s="74">
        <v>3</v>
      </c>
      <c r="D36" s="74" t="s">
        <v>79</v>
      </c>
      <c r="E36" s="74">
        <v>6.7</v>
      </c>
      <c r="F36" s="74">
        <v>19.3</v>
      </c>
      <c r="G36" s="74">
        <v>27.4</v>
      </c>
      <c r="H36" s="74">
        <v>2.7</v>
      </c>
      <c r="I36" s="74"/>
      <c r="J36" s="74"/>
      <c r="K36" s="74"/>
      <c r="L36" s="74"/>
      <c r="M36" s="74">
        <v>4.7</v>
      </c>
      <c r="N36" s="74">
        <v>20.9</v>
      </c>
      <c r="O36" s="74"/>
      <c r="P36" s="74">
        <v>2</v>
      </c>
      <c r="Q36" s="74"/>
      <c r="R36" s="74"/>
      <c r="S36" s="74"/>
      <c r="T36" s="74">
        <f t="shared" si="1"/>
        <v>83.7</v>
      </c>
      <c r="U36" s="74"/>
      <c r="V36" s="74"/>
      <c r="W36" s="97">
        <v>39.869999999999997</v>
      </c>
      <c r="X36" s="74"/>
      <c r="Y36" s="74"/>
      <c r="Z36" s="74"/>
      <c r="AA36" s="99">
        <v>3.2</v>
      </c>
      <c r="AB36" s="74"/>
      <c r="AC36" s="74"/>
      <c r="AD36" s="78">
        <f t="shared" si="0"/>
        <v>126.77</v>
      </c>
      <c r="AE36" s="79"/>
      <c r="AF36" s="79"/>
      <c r="AG36" s="79"/>
      <c r="AH36" s="79"/>
      <c r="AI36" s="79"/>
    </row>
    <row r="37" spans="1:35">
      <c r="A37" s="74"/>
      <c r="B37" s="74"/>
      <c r="C37" s="74">
        <v>3</v>
      </c>
      <c r="D37" s="74" t="s">
        <v>88</v>
      </c>
      <c r="E37" s="74">
        <v>3.8</v>
      </c>
      <c r="F37" s="74">
        <v>19.3</v>
      </c>
      <c r="G37" s="74">
        <v>31.1</v>
      </c>
      <c r="H37" s="74">
        <v>1.3</v>
      </c>
      <c r="I37" s="74"/>
      <c r="J37" s="74"/>
      <c r="K37" s="74"/>
      <c r="L37" s="74"/>
      <c r="M37" s="74">
        <v>3.1</v>
      </c>
      <c r="N37" s="74">
        <v>14.5</v>
      </c>
      <c r="O37" s="74"/>
      <c r="P37" s="74">
        <v>0.9</v>
      </c>
      <c r="Q37" s="74"/>
      <c r="R37" s="74"/>
      <c r="S37" s="74"/>
      <c r="T37" s="74">
        <f t="shared" si="1"/>
        <v>74</v>
      </c>
      <c r="U37" s="74">
        <f>AVERAGE(T33:T37)</f>
        <v>77.099999999999994</v>
      </c>
      <c r="V37" s="74"/>
      <c r="W37" s="97">
        <v>28.12</v>
      </c>
      <c r="X37" s="97">
        <f>AVERAGE(W33:W37)</f>
        <v>21.736000000000001</v>
      </c>
      <c r="Y37" s="74"/>
      <c r="Z37" s="74"/>
      <c r="AA37" s="99">
        <v>2.8</v>
      </c>
      <c r="AB37" s="103">
        <f>AVERAGE(AA33:AA37)</f>
        <v>3.6399999999999997</v>
      </c>
      <c r="AC37" s="74"/>
      <c r="AD37" s="78">
        <f t="shared" si="0"/>
        <v>104.92</v>
      </c>
      <c r="AE37" s="79"/>
      <c r="AF37" s="79"/>
      <c r="AG37" s="79"/>
      <c r="AH37" s="79"/>
      <c r="AI37" s="79"/>
    </row>
    <row r="38" spans="1:35">
      <c r="A38" s="74"/>
      <c r="B38" s="74"/>
      <c r="C38" s="74">
        <v>4</v>
      </c>
      <c r="D38" s="74" t="s">
        <v>83</v>
      </c>
      <c r="E38" s="74"/>
      <c r="F38" s="74">
        <v>10.9</v>
      </c>
      <c r="G38" s="74"/>
      <c r="H38" s="74">
        <v>5.4</v>
      </c>
      <c r="I38" s="74"/>
      <c r="J38" s="74"/>
      <c r="K38" s="74"/>
      <c r="L38" s="74"/>
      <c r="M38" s="74">
        <v>5.4</v>
      </c>
      <c r="N38" s="74">
        <v>17</v>
      </c>
      <c r="O38" s="74"/>
      <c r="P38" s="74">
        <v>3.4</v>
      </c>
      <c r="Q38" s="74"/>
      <c r="R38" s="74"/>
      <c r="S38" s="74">
        <v>25.8</v>
      </c>
      <c r="T38" s="74">
        <f t="shared" si="1"/>
        <v>67.900000000000006</v>
      </c>
      <c r="U38" s="74"/>
      <c r="V38" s="74"/>
      <c r="W38" s="97">
        <v>12.93</v>
      </c>
      <c r="X38" s="74"/>
      <c r="Y38" s="74"/>
      <c r="Z38" s="74"/>
      <c r="AA38" s="99">
        <v>7.1</v>
      </c>
      <c r="AB38" s="74"/>
      <c r="AC38" s="74"/>
      <c r="AD38" s="78">
        <f t="shared" si="0"/>
        <v>87.93</v>
      </c>
      <c r="AE38" s="79"/>
      <c r="AF38" s="79"/>
      <c r="AG38" s="79"/>
      <c r="AH38" s="79"/>
      <c r="AI38" s="79"/>
    </row>
    <row r="39" spans="1:35">
      <c r="A39" s="74"/>
      <c r="B39" s="74"/>
      <c r="C39" s="74">
        <v>4</v>
      </c>
      <c r="D39" s="74" t="s">
        <v>85</v>
      </c>
      <c r="E39" s="74"/>
      <c r="F39" s="74">
        <v>19.399999999999999</v>
      </c>
      <c r="G39" s="74"/>
      <c r="H39" s="74">
        <v>1.8</v>
      </c>
      <c r="I39" s="74"/>
      <c r="J39" s="74"/>
      <c r="K39" s="74"/>
      <c r="L39" s="74"/>
      <c r="M39" s="74">
        <v>4.8</v>
      </c>
      <c r="N39" s="74">
        <v>9.3000000000000007</v>
      </c>
      <c r="O39" s="74"/>
      <c r="P39" s="74">
        <v>0.4</v>
      </c>
      <c r="Q39" s="74"/>
      <c r="R39" s="74"/>
      <c r="S39" s="74">
        <v>11.6</v>
      </c>
      <c r="T39" s="74">
        <f t="shared" si="1"/>
        <v>47.3</v>
      </c>
      <c r="U39" s="74"/>
      <c r="V39" s="74"/>
      <c r="W39" s="97">
        <v>20.95</v>
      </c>
      <c r="X39" s="74"/>
      <c r="Y39" s="74"/>
      <c r="Z39" s="74"/>
      <c r="AA39" s="104">
        <v>5</v>
      </c>
      <c r="AB39" s="74"/>
      <c r="AC39" s="74"/>
      <c r="AD39" s="78">
        <f t="shared" si="0"/>
        <v>73.25</v>
      </c>
      <c r="AE39" s="79"/>
      <c r="AF39" s="79"/>
      <c r="AG39" s="79"/>
      <c r="AH39" s="79"/>
      <c r="AI39" s="79"/>
    </row>
    <row r="40" spans="1:35">
      <c r="A40" s="74"/>
      <c r="B40" s="74"/>
      <c r="C40" s="74">
        <v>4</v>
      </c>
      <c r="D40" s="74" t="s">
        <v>87</v>
      </c>
      <c r="E40" s="74"/>
      <c r="F40" s="74">
        <v>34.799999999999997</v>
      </c>
      <c r="G40" s="74"/>
      <c r="H40" s="74">
        <v>3</v>
      </c>
      <c r="I40" s="74"/>
      <c r="J40" s="74"/>
      <c r="K40" s="74"/>
      <c r="L40" s="74"/>
      <c r="M40" s="74">
        <v>1</v>
      </c>
      <c r="N40" s="74">
        <v>28.7</v>
      </c>
      <c r="O40" s="74"/>
      <c r="P40" s="74">
        <v>1</v>
      </c>
      <c r="Q40" s="74"/>
      <c r="R40" s="74"/>
      <c r="S40" s="74">
        <v>4.3</v>
      </c>
      <c r="T40" s="74">
        <f t="shared" si="1"/>
        <v>72.8</v>
      </c>
      <c r="U40" s="74"/>
      <c r="V40" s="74"/>
      <c r="W40" s="97">
        <v>24.81</v>
      </c>
      <c r="X40" s="74"/>
      <c r="Y40" s="74"/>
      <c r="Z40" s="74"/>
      <c r="AA40" s="102">
        <v>5.6</v>
      </c>
      <c r="AB40" s="74"/>
      <c r="AC40" s="74"/>
      <c r="AD40" s="78">
        <f t="shared" si="0"/>
        <v>103.21</v>
      </c>
      <c r="AE40" s="79"/>
      <c r="AF40" s="79"/>
      <c r="AG40" s="79"/>
      <c r="AH40" s="79"/>
      <c r="AI40" s="79"/>
    </row>
    <row r="41" spans="1:35">
      <c r="A41" s="74"/>
      <c r="B41" s="74"/>
      <c r="C41" s="74">
        <v>4</v>
      </c>
      <c r="D41" s="74" t="s">
        <v>79</v>
      </c>
      <c r="E41" s="74"/>
      <c r="F41" s="74">
        <v>20.9</v>
      </c>
      <c r="G41" s="74"/>
      <c r="H41" s="74">
        <v>2.2999999999999998</v>
      </c>
      <c r="I41" s="74"/>
      <c r="J41" s="74"/>
      <c r="K41" s="74"/>
      <c r="L41" s="74"/>
      <c r="M41" s="74">
        <v>3.9</v>
      </c>
      <c r="N41" s="74">
        <v>3</v>
      </c>
      <c r="O41" s="74"/>
      <c r="P41" s="74">
        <v>11.9</v>
      </c>
      <c r="Q41" s="74"/>
      <c r="R41" s="74"/>
      <c r="S41" s="74">
        <v>24.1</v>
      </c>
      <c r="T41" s="74">
        <f t="shared" si="1"/>
        <v>66.099999999999994</v>
      </c>
      <c r="U41" s="74"/>
      <c r="V41" s="74"/>
      <c r="W41" s="97">
        <v>15.35</v>
      </c>
      <c r="X41" s="74"/>
      <c r="Y41" s="74"/>
      <c r="Z41" s="74"/>
      <c r="AA41" s="102">
        <v>3.91</v>
      </c>
      <c r="AB41" s="74"/>
      <c r="AC41" s="74"/>
      <c r="AD41" s="78">
        <f t="shared" si="0"/>
        <v>85.359999999999985</v>
      </c>
      <c r="AE41" s="79"/>
      <c r="AF41" s="79"/>
      <c r="AG41" s="79"/>
      <c r="AH41" s="79"/>
      <c r="AI41" s="79"/>
    </row>
    <row r="42" spans="1:35">
      <c r="A42" s="74"/>
      <c r="B42" s="74"/>
      <c r="C42" s="74">
        <v>4</v>
      </c>
      <c r="D42" s="74" t="s">
        <v>88</v>
      </c>
      <c r="E42" s="74"/>
      <c r="F42" s="74">
        <v>26.2</v>
      </c>
      <c r="G42" s="74"/>
      <c r="H42" s="74">
        <v>1.5</v>
      </c>
      <c r="I42" s="74"/>
      <c r="J42" s="74"/>
      <c r="K42" s="74"/>
      <c r="L42" s="74"/>
      <c r="M42" s="74">
        <v>1.2</v>
      </c>
      <c r="N42" s="74">
        <v>0.5</v>
      </c>
      <c r="O42" s="74">
        <v>4.2</v>
      </c>
      <c r="P42" s="74"/>
      <c r="Q42" s="74"/>
      <c r="R42" s="74"/>
      <c r="S42" s="74">
        <v>30.9</v>
      </c>
      <c r="T42" s="74">
        <f t="shared" si="1"/>
        <v>64.5</v>
      </c>
      <c r="U42" s="74">
        <f>AVERAGE(T38:T42)</f>
        <v>63.720000000000006</v>
      </c>
      <c r="V42" s="74"/>
      <c r="W42" s="97">
        <v>25.15</v>
      </c>
      <c r="X42" s="97">
        <f>AVERAGE(W38:W42)</f>
        <v>19.838000000000001</v>
      </c>
      <c r="Y42" s="74"/>
      <c r="Z42" s="74"/>
      <c r="AA42" s="102">
        <v>4.6399999999999997</v>
      </c>
      <c r="AB42" s="102">
        <f>AVERAGE(AA38:AA42)</f>
        <v>5.25</v>
      </c>
      <c r="AC42" s="74"/>
      <c r="AD42" s="78">
        <f t="shared" si="0"/>
        <v>94.29</v>
      </c>
      <c r="AE42" s="79"/>
      <c r="AF42" s="85" t="s">
        <v>90</v>
      </c>
      <c r="AG42" s="85" t="s">
        <v>93</v>
      </c>
      <c r="AH42" s="85" t="s">
        <v>91</v>
      </c>
      <c r="AI42" s="85" t="s">
        <v>92</v>
      </c>
    </row>
    <row r="43" spans="1:35">
      <c r="A43" s="74" t="s">
        <v>78</v>
      </c>
      <c r="B43" s="74" t="s">
        <v>95</v>
      </c>
      <c r="C43" s="74">
        <v>1</v>
      </c>
      <c r="D43" s="74" t="s">
        <v>83</v>
      </c>
      <c r="E43" s="81"/>
      <c r="F43" s="81"/>
      <c r="G43" s="81"/>
      <c r="H43" s="81"/>
      <c r="I43" s="81"/>
      <c r="J43" s="81"/>
      <c r="K43" s="81"/>
      <c r="L43" s="81"/>
      <c r="M43" s="81"/>
      <c r="N43" s="81"/>
      <c r="O43" s="81"/>
      <c r="P43" s="81"/>
      <c r="Q43" s="81"/>
      <c r="R43" s="81"/>
      <c r="S43" s="81"/>
      <c r="T43" s="12">
        <f>AVERAGE(T44:T47)</f>
        <v>79.45</v>
      </c>
      <c r="U43" s="74"/>
      <c r="V43" s="74"/>
      <c r="W43" s="102">
        <v>16.559999999999999</v>
      </c>
      <c r="X43" s="74"/>
      <c r="Y43" s="74"/>
      <c r="Z43" s="74"/>
      <c r="AA43" s="99">
        <v>4.4800000000000004</v>
      </c>
      <c r="AB43" s="74"/>
      <c r="AC43" s="74"/>
      <c r="AD43" s="78">
        <f t="shared" si="0"/>
        <v>100.49000000000001</v>
      </c>
      <c r="AE43" s="79"/>
      <c r="AF43" s="77">
        <v>101.51</v>
      </c>
      <c r="AG43" s="77">
        <v>69.7</v>
      </c>
      <c r="AH43" s="77">
        <v>84.86</v>
      </c>
      <c r="AI43" s="77">
        <v>94.59</v>
      </c>
    </row>
    <row r="44" spans="1:35">
      <c r="A44" s="74"/>
      <c r="B44" s="74"/>
      <c r="C44" s="74">
        <v>1</v>
      </c>
      <c r="D44" s="74" t="s">
        <v>85</v>
      </c>
      <c r="E44" s="81"/>
      <c r="F44" s="81"/>
      <c r="G44" s="81"/>
      <c r="H44" s="81"/>
      <c r="I44" s="81"/>
      <c r="J44" s="81"/>
      <c r="K44" s="81"/>
      <c r="L44" s="81"/>
      <c r="M44" s="81"/>
      <c r="N44" s="81"/>
      <c r="O44" s="81"/>
      <c r="P44" s="81"/>
      <c r="Q44" s="81"/>
      <c r="R44" s="81"/>
      <c r="S44" s="81"/>
      <c r="T44" s="74">
        <v>88</v>
      </c>
      <c r="U44" s="74"/>
      <c r="V44" s="74"/>
      <c r="W44" s="102">
        <v>19.329999999999998</v>
      </c>
      <c r="X44" s="74"/>
      <c r="Y44" s="74"/>
      <c r="Z44" s="74"/>
      <c r="AA44" s="99">
        <v>4.9800000000000004</v>
      </c>
      <c r="AB44" s="74"/>
      <c r="AC44" s="74"/>
      <c r="AD44" s="78">
        <f t="shared" si="0"/>
        <v>112.31</v>
      </c>
      <c r="AE44" s="79"/>
      <c r="AF44" s="77">
        <v>112.45</v>
      </c>
      <c r="AG44" s="77">
        <v>97.009999999999991</v>
      </c>
      <c r="AH44" s="77">
        <v>89.330000000000013</v>
      </c>
      <c r="AI44" s="77">
        <v>98.86</v>
      </c>
    </row>
    <row r="45" spans="1:35">
      <c r="A45" s="74"/>
      <c r="B45" s="74"/>
      <c r="C45" s="74">
        <v>1</v>
      </c>
      <c r="D45" s="74" t="s">
        <v>87</v>
      </c>
      <c r="E45" s="81"/>
      <c r="F45" s="81"/>
      <c r="G45" s="81"/>
      <c r="H45" s="81"/>
      <c r="I45" s="81"/>
      <c r="J45" s="81"/>
      <c r="K45" s="81"/>
      <c r="L45" s="81"/>
      <c r="M45" s="81"/>
      <c r="N45" s="81"/>
      <c r="O45" s="81"/>
      <c r="P45" s="81"/>
      <c r="Q45" s="81"/>
      <c r="R45" s="81"/>
      <c r="S45" s="81"/>
      <c r="T45" s="74">
        <v>86.1</v>
      </c>
      <c r="U45" s="74"/>
      <c r="V45" s="74"/>
      <c r="W45" s="106">
        <f>AVERAGE(W43,W44,W46,W47)</f>
        <v>20.329999999999998</v>
      </c>
      <c r="X45" s="77"/>
      <c r="Y45" s="74" t="s">
        <v>204</v>
      </c>
      <c r="Z45" s="74"/>
      <c r="AA45" s="102">
        <v>4.53</v>
      </c>
      <c r="AB45" s="74"/>
      <c r="AC45" s="74"/>
      <c r="AD45" s="78">
        <f t="shared" si="0"/>
        <v>110.96</v>
      </c>
      <c r="AE45" s="79"/>
      <c r="AF45" s="77">
        <v>110.96</v>
      </c>
      <c r="AG45" s="77">
        <v>80.260000000000005</v>
      </c>
      <c r="AH45" s="77">
        <v>90.77000000000001</v>
      </c>
      <c r="AI45" s="77">
        <v>54.610000000000007</v>
      </c>
    </row>
    <row r="46" spans="1:35">
      <c r="A46" s="74"/>
      <c r="B46" s="74"/>
      <c r="C46" s="74">
        <v>1</v>
      </c>
      <c r="D46" s="74" t="s">
        <v>79</v>
      </c>
      <c r="E46" s="81"/>
      <c r="F46" s="81"/>
      <c r="G46" s="81"/>
      <c r="H46" s="81"/>
      <c r="I46" s="81"/>
      <c r="J46" s="81"/>
      <c r="K46" s="81"/>
      <c r="L46" s="81"/>
      <c r="M46" s="81"/>
      <c r="N46" s="81"/>
      <c r="O46" s="81"/>
      <c r="P46" s="81"/>
      <c r="Q46" s="81"/>
      <c r="R46" s="81"/>
      <c r="S46" s="81"/>
      <c r="T46" s="74">
        <v>89.1</v>
      </c>
      <c r="U46" s="74"/>
      <c r="V46" s="74"/>
      <c r="W46" s="102">
        <v>20.8</v>
      </c>
      <c r="X46" s="74"/>
      <c r="Y46" s="74"/>
      <c r="Z46" s="74"/>
      <c r="AA46" s="99">
        <v>4.83</v>
      </c>
      <c r="AB46" s="74"/>
      <c r="AC46" s="74"/>
      <c r="AD46" s="78">
        <f t="shared" si="0"/>
        <v>114.72999999999999</v>
      </c>
      <c r="AE46" s="79"/>
      <c r="AF46" s="77">
        <v>115.97</v>
      </c>
      <c r="AG46" s="77">
        <v>100.97</v>
      </c>
      <c r="AH46" s="77">
        <v>85.26</v>
      </c>
      <c r="AI46" s="77">
        <v>70.09</v>
      </c>
    </row>
    <row r="47" spans="1:35">
      <c r="A47" s="74"/>
      <c r="B47" s="74"/>
      <c r="C47" s="74">
        <v>1</v>
      </c>
      <c r="D47" s="74" t="s">
        <v>88</v>
      </c>
      <c r="E47" s="81"/>
      <c r="F47" s="81"/>
      <c r="G47" s="81"/>
      <c r="H47" s="81"/>
      <c r="I47" s="81"/>
      <c r="J47" s="81"/>
      <c r="K47" s="81"/>
      <c r="L47" s="81"/>
      <c r="M47" s="81"/>
      <c r="N47" s="81"/>
      <c r="O47" s="81"/>
      <c r="P47" s="81"/>
      <c r="Q47" s="81"/>
      <c r="R47" s="81"/>
      <c r="S47" s="81"/>
      <c r="T47" s="74">
        <v>54.6</v>
      </c>
      <c r="U47" s="74">
        <f>AVERAGE(T43:T47)</f>
        <v>79.45</v>
      </c>
      <c r="V47" s="74"/>
      <c r="W47" s="102">
        <v>24.63</v>
      </c>
      <c r="X47" s="102">
        <f>AVERAGE(W43:W47)</f>
        <v>20.329999999999998</v>
      </c>
      <c r="Y47" s="74"/>
      <c r="Z47" s="74"/>
      <c r="AA47" s="102">
        <v>5.4</v>
      </c>
      <c r="AB47" s="102">
        <f>AVERAGE(AA43:AA47)</f>
        <v>4.8439999999999994</v>
      </c>
      <c r="AC47" s="74"/>
      <c r="AD47" s="78">
        <f t="shared" si="0"/>
        <v>84.63000000000001</v>
      </c>
      <c r="AE47" s="79"/>
      <c r="AF47" s="77">
        <v>84.63000000000001</v>
      </c>
      <c r="AG47" s="77">
        <v>89.26</v>
      </c>
      <c r="AH47" s="77">
        <v>84.677499999999995</v>
      </c>
      <c r="AI47" s="77">
        <v>82.18</v>
      </c>
    </row>
    <row r="48" spans="1:35">
      <c r="A48" s="74"/>
      <c r="B48" s="74"/>
      <c r="C48" s="74">
        <v>2</v>
      </c>
      <c r="D48" s="74" t="s">
        <v>83</v>
      </c>
      <c r="E48" s="81"/>
      <c r="F48" s="81"/>
      <c r="G48" s="81"/>
      <c r="H48" s="81"/>
      <c r="I48" s="81"/>
      <c r="J48" s="81"/>
      <c r="K48" s="81"/>
      <c r="L48" s="81"/>
      <c r="M48" s="81"/>
      <c r="N48" s="81"/>
      <c r="O48" s="81"/>
      <c r="P48" s="81"/>
      <c r="Q48" s="81"/>
      <c r="R48" s="81"/>
      <c r="S48" s="81"/>
      <c r="T48" s="74">
        <v>50.5</v>
      </c>
      <c r="U48" s="74"/>
      <c r="V48" s="74"/>
      <c r="W48" s="108">
        <v>14.83</v>
      </c>
      <c r="X48" s="74"/>
      <c r="Y48" s="74"/>
      <c r="Z48" s="74"/>
      <c r="AA48" s="102">
        <v>4.37</v>
      </c>
      <c r="AB48" s="74"/>
      <c r="AC48" s="74"/>
      <c r="AD48" s="78">
        <f t="shared" si="0"/>
        <v>69.7</v>
      </c>
      <c r="AE48" s="79"/>
      <c r="AF48" s="79"/>
      <c r="AG48" s="79"/>
      <c r="AH48" s="79"/>
      <c r="AI48" s="79"/>
    </row>
    <row r="49" spans="1:35">
      <c r="A49" s="74"/>
      <c r="B49" s="74"/>
      <c r="C49" s="74">
        <v>2</v>
      </c>
      <c r="D49" s="74" t="s">
        <v>85</v>
      </c>
      <c r="E49" s="81"/>
      <c r="F49" s="81"/>
      <c r="G49" s="81"/>
      <c r="H49" s="81"/>
      <c r="I49" s="81"/>
      <c r="J49" s="81"/>
      <c r="K49" s="81"/>
      <c r="L49" s="81"/>
      <c r="M49" s="81"/>
      <c r="N49" s="81"/>
      <c r="O49" s="81"/>
      <c r="P49" s="81"/>
      <c r="Q49" s="81"/>
      <c r="R49" s="81"/>
      <c r="S49" s="81"/>
      <c r="T49" s="74">
        <v>79.599999999999994</v>
      </c>
      <c r="U49" s="74"/>
      <c r="V49" s="74"/>
      <c r="W49" s="102">
        <v>11.44</v>
      </c>
      <c r="X49" s="74"/>
      <c r="Y49" s="74"/>
      <c r="Z49" s="74"/>
      <c r="AA49" s="84">
        <v>4.87</v>
      </c>
      <c r="AB49" s="74"/>
      <c r="AC49" s="74"/>
      <c r="AD49" s="78">
        <f t="shared" si="0"/>
        <v>95.91</v>
      </c>
      <c r="AE49" s="79"/>
      <c r="AF49" s="79"/>
      <c r="AG49" s="79"/>
      <c r="AH49" s="79"/>
      <c r="AI49" s="79"/>
    </row>
    <row r="50" spans="1:35">
      <c r="A50" s="74"/>
      <c r="B50" s="74"/>
      <c r="C50" s="74">
        <v>2</v>
      </c>
      <c r="D50" s="74" t="s">
        <v>87</v>
      </c>
      <c r="E50" s="81"/>
      <c r="F50" s="81"/>
      <c r="G50" s="81"/>
      <c r="H50" s="81"/>
      <c r="I50" s="81"/>
      <c r="J50" s="81"/>
      <c r="K50" s="81"/>
      <c r="L50" s="81"/>
      <c r="M50" s="81"/>
      <c r="N50" s="81"/>
      <c r="O50" s="81"/>
      <c r="P50" s="81"/>
      <c r="Q50" s="81"/>
      <c r="R50" s="81"/>
      <c r="S50" s="81"/>
      <c r="T50" s="74">
        <v>61.2</v>
      </c>
      <c r="U50" s="74"/>
      <c r="V50" s="74"/>
      <c r="W50" s="102">
        <v>12.34</v>
      </c>
      <c r="X50" s="74"/>
      <c r="Y50" s="74"/>
      <c r="Z50" s="74"/>
      <c r="AA50" s="109">
        <v>6.39</v>
      </c>
      <c r="AB50" s="74"/>
      <c r="AC50" s="74"/>
      <c r="AD50" s="78">
        <f t="shared" si="0"/>
        <v>79.930000000000007</v>
      </c>
      <c r="AE50" s="79"/>
      <c r="AF50" s="79"/>
      <c r="AG50" s="79"/>
      <c r="AH50" s="79"/>
      <c r="AI50" s="79"/>
    </row>
    <row r="51" spans="1:35">
      <c r="A51" s="74"/>
      <c r="B51" s="74"/>
      <c r="C51" s="74">
        <v>2</v>
      </c>
      <c r="D51" s="74" t="s">
        <v>79</v>
      </c>
      <c r="E51" s="81"/>
      <c r="F51" s="81"/>
      <c r="G51" s="81"/>
      <c r="H51" s="81"/>
      <c r="I51" s="81"/>
      <c r="J51" s="81"/>
      <c r="K51" s="81"/>
      <c r="L51" s="81"/>
      <c r="M51" s="81"/>
      <c r="N51" s="81"/>
      <c r="O51" s="81"/>
      <c r="P51" s="81"/>
      <c r="Q51" s="81"/>
      <c r="R51" s="81"/>
      <c r="S51" s="81"/>
      <c r="T51" s="74">
        <v>82.3</v>
      </c>
      <c r="U51" s="74"/>
      <c r="V51" s="74"/>
      <c r="W51" s="102">
        <v>12.77</v>
      </c>
      <c r="X51" s="74"/>
      <c r="Y51" s="74"/>
      <c r="Z51" s="74"/>
      <c r="AA51" s="74">
        <v>5.9</v>
      </c>
      <c r="AB51" s="74"/>
      <c r="AC51" s="74"/>
      <c r="AD51" s="78">
        <f t="shared" si="0"/>
        <v>100.97</v>
      </c>
      <c r="AE51" s="79"/>
      <c r="AF51" s="79"/>
      <c r="AG51" s="79"/>
      <c r="AH51" s="79"/>
      <c r="AI51" s="79"/>
    </row>
    <row r="52" spans="1:35">
      <c r="A52" s="74"/>
      <c r="B52" s="74"/>
      <c r="C52" s="74">
        <v>2</v>
      </c>
      <c r="D52" s="74" t="s">
        <v>88</v>
      </c>
      <c r="E52" s="81"/>
      <c r="F52" s="81"/>
      <c r="G52" s="81"/>
      <c r="H52" s="81"/>
      <c r="I52" s="81"/>
      <c r="J52" s="81"/>
      <c r="K52" s="81"/>
      <c r="L52" s="81"/>
      <c r="M52" s="81"/>
      <c r="N52" s="81"/>
      <c r="O52" s="81"/>
      <c r="P52" s="81"/>
      <c r="Q52" s="81"/>
      <c r="R52" s="81"/>
      <c r="S52" s="81"/>
      <c r="T52" s="97">
        <v>70.400000000000006</v>
      </c>
      <c r="U52" s="74">
        <f>AVERAGE(T48:T52)</f>
        <v>68.8</v>
      </c>
      <c r="V52" s="74"/>
      <c r="W52" s="102">
        <v>9.9499999999999993</v>
      </c>
      <c r="X52" s="102">
        <f>AVERAGE(W48:W52)</f>
        <v>12.266</v>
      </c>
      <c r="Y52" s="74"/>
      <c r="Z52" s="74"/>
      <c r="AA52" s="74">
        <v>8.91</v>
      </c>
      <c r="AB52" s="102">
        <f>AVERAGE(AA48:AA52)</f>
        <v>6.0880000000000001</v>
      </c>
      <c r="AC52" s="74"/>
      <c r="AD52" s="78">
        <f t="shared" si="0"/>
        <v>89.26</v>
      </c>
      <c r="AE52" s="79"/>
      <c r="AF52" s="79"/>
      <c r="AG52" s="79"/>
      <c r="AH52" s="79"/>
      <c r="AI52" s="79"/>
    </row>
    <row r="53" spans="1:35">
      <c r="A53" s="74"/>
      <c r="B53" s="74"/>
      <c r="C53" s="74">
        <v>3</v>
      </c>
      <c r="D53" s="74" t="s">
        <v>83</v>
      </c>
      <c r="E53" s="81"/>
      <c r="F53" s="81"/>
      <c r="G53" s="81"/>
      <c r="H53" s="81"/>
      <c r="I53" s="81"/>
      <c r="J53" s="81"/>
      <c r="K53" s="81"/>
      <c r="L53" s="81"/>
      <c r="M53" s="81"/>
      <c r="N53" s="81"/>
      <c r="O53" s="81"/>
      <c r="P53" s="81"/>
      <c r="Q53" s="81"/>
      <c r="R53" s="81"/>
      <c r="S53" s="81"/>
      <c r="T53" s="74">
        <v>73.099999999999994</v>
      </c>
      <c r="U53" s="74"/>
      <c r="V53" s="74"/>
      <c r="W53" s="102">
        <v>6.01</v>
      </c>
      <c r="X53" s="74"/>
      <c r="Y53" s="74"/>
      <c r="Z53" s="74"/>
      <c r="AA53" s="74">
        <v>5.75</v>
      </c>
      <c r="AB53" s="74"/>
      <c r="AC53" s="74"/>
      <c r="AD53" s="78">
        <f t="shared" si="0"/>
        <v>84.86</v>
      </c>
      <c r="AE53" s="79"/>
      <c r="AF53" s="79"/>
      <c r="AG53" s="79"/>
      <c r="AH53" s="79"/>
      <c r="AI53" s="79"/>
    </row>
    <row r="54" spans="1:35">
      <c r="A54" s="74"/>
      <c r="B54" s="74"/>
      <c r="C54" s="74">
        <v>3</v>
      </c>
      <c r="D54" s="74" t="s">
        <v>85</v>
      </c>
      <c r="E54" s="81"/>
      <c r="F54" s="81"/>
      <c r="G54" s="81"/>
      <c r="H54" s="81"/>
      <c r="I54" s="81"/>
      <c r="J54" s="81"/>
      <c r="K54" s="81"/>
      <c r="L54" s="81"/>
      <c r="M54" s="81"/>
      <c r="N54" s="81"/>
      <c r="O54" s="81"/>
      <c r="P54" s="81"/>
      <c r="Q54" s="81"/>
      <c r="R54" s="81"/>
      <c r="S54" s="81"/>
      <c r="T54" s="74">
        <v>78.400000000000006</v>
      </c>
      <c r="U54" s="74"/>
      <c r="V54" s="74"/>
      <c r="W54" s="102">
        <v>9.06</v>
      </c>
      <c r="X54" s="74"/>
      <c r="Y54" s="74"/>
      <c r="Z54" s="74"/>
      <c r="AA54" s="84">
        <v>1.83</v>
      </c>
      <c r="AB54" s="74"/>
      <c r="AC54" s="74"/>
      <c r="AD54" s="78">
        <f t="shared" si="0"/>
        <v>89.29</v>
      </c>
      <c r="AE54" s="79"/>
      <c r="AF54" s="79"/>
      <c r="AG54" s="79"/>
      <c r="AH54" s="79"/>
      <c r="AI54" s="79"/>
    </row>
    <row r="55" spans="1:35">
      <c r="A55" s="74"/>
      <c r="B55" s="74"/>
      <c r="C55" s="74">
        <v>3</v>
      </c>
      <c r="D55" s="74" t="s">
        <v>87</v>
      </c>
      <c r="E55" s="81"/>
      <c r="F55" s="81"/>
      <c r="G55" s="81"/>
      <c r="H55" s="81"/>
      <c r="I55" s="81"/>
      <c r="J55" s="81"/>
      <c r="K55" s="81"/>
      <c r="L55" s="81"/>
      <c r="M55" s="81"/>
      <c r="N55" s="81"/>
      <c r="O55" s="81"/>
      <c r="P55" s="81"/>
      <c r="Q55" s="81"/>
      <c r="R55" s="81"/>
      <c r="S55" s="81"/>
      <c r="T55" s="12">
        <f>AVERAGE(T53:T54,T56:T57)</f>
        <v>72.95</v>
      </c>
      <c r="U55" s="74"/>
      <c r="V55" s="74"/>
      <c r="W55" s="102">
        <v>13.89</v>
      </c>
      <c r="X55" s="74"/>
      <c r="Y55" s="74"/>
      <c r="Z55" s="74"/>
      <c r="AA55" s="74">
        <v>3.93</v>
      </c>
      <c r="AB55" s="74"/>
      <c r="AC55" s="74"/>
      <c r="AD55" s="78">
        <f t="shared" si="0"/>
        <v>90.77000000000001</v>
      </c>
      <c r="AE55" s="79"/>
      <c r="AF55" s="79"/>
      <c r="AG55" s="79"/>
      <c r="AH55" s="79"/>
      <c r="AI55" s="79"/>
    </row>
    <row r="56" spans="1:35">
      <c r="A56" s="74"/>
      <c r="B56" s="74"/>
      <c r="C56" s="74">
        <v>3</v>
      </c>
      <c r="D56" s="74" t="s">
        <v>79</v>
      </c>
      <c r="E56" s="81"/>
      <c r="F56" s="81"/>
      <c r="G56" s="81"/>
      <c r="H56" s="81"/>
      <c r="I56" s="81"/>
      <c r="J56" s="81"/>
      <c r="K56" s="81"/>
      <c r="L56" s="81"/>
      <c r="M56" s="81"/>
      <c r="N56" s="81"/>
      <c r="O56" s="81"/>
      <c r="P56" s="81"/>
      <c r="Q56" s="81"/>
      <c r="R56" s="81"/>
      <c r="S56" s="81"/>
      <c r="T56" s="74">
        <v>69.8</v>
      </c>
      <c r="U56" s="74"/>
      <c r="V56" s="74"/>
      <c r="W56" s="102">
        <v>10.95</v>
      </c>
      <c r="X56" s="74"/>
      <c r="Y56" s="74"/>
      <c r="Z56" s="74"/>
      <c r="AA56" s="84">
        <v>4.4400000000000004</v>
      </c>
      <c r="AB56" s="74"/>
      <c r="AC56" s="74"/>
      <c r="AD56" s="78">
        <f t="shared" si="0"/>
        <v>85.19</v>
      </c>
      <c r="AE56" s="79"/>
      <c r="AF56" s="79"/>
      <c r="AG56" s="79"/>
      <c r="AH56" s="79"/>
      <c r="AI56" s="79"/>
    </row>
    <row r="57" spans="1:35">
      <c r="A57" s="74"/>
      <c r="B57" s="74"/>
      <c r="C57" s="74">
        <v>3</v>
      </c>
      <c r="D57" s="74" t="s">
        <v>88</v>
      </c>
      <c r="E57" s="81"/>
      <c r="F57" s="81"/>
      <c r="G57" s="81"/>
      <c r="H57" s="81"/>
      <c r="I57" s="81"/>
      <c r="J57" s="81"/>
      <c r="K57" s="81"/>
      <c r="L57" s="81"/>
      <c r="M57" s="81"/>
      <c r="N57" s="81"/>
      <c r="O57" s="81"/>
      <c r="P57" s="81"/>
      <c r="Q57" s="81"/>
      <c r="R57" s="81"/>
      <c r="S57" s="81"/>
      <c r="T57" s="74">
        <v>70.5</v>
      </c>
      <c r="U57" s="74">
        <f>AVERAGE(T53:T57)</f>
        <v>72.95</v>
      </c>
      <c r="V57" s="74"/>
      <c r="W57" s="106">
        <f>AVERAGE(W53:W56)</f>
        <v>9.9774999999999991</v>
      </c>
      <c r="X57" s="102">
        <f>AVERAGE(W53:W57)</f>
        <v>9.9774999999999991</v>
      </c>
      <c r="Y57" s="74" t="s">
        <v>205</v>
      </c>
      <c r="Z57" s="74"/>
      <c r="AA57" s="84">
        <v>4.5999999999999996</v>
      </c>
      <c r="AB57" s="74">
        <f>AVERAGE(AA53:AA57)</f>
        <v>4.1099999999999994</v>
      </c>
      <c r="AC57" s="74"/>
      <c r="AD57" s="78">
        <f t="shared" si="0"/>
        <v>85.077499999999986</v>
      </c>
      <c r="AE57" s="79"/>
      <c r="AF57" s="79"/>
      <c r="AG57" s="79"/>
      <c r="AH57" s="79"/>
      <c r="AI57" s="79"/>
    </row>
    <row r="58" spans="1:35">
      <c r="A58" s="74"/>
      <c r="B58" s="74"/>
      <c r="C58" s="74">
        <v>4</v>
      </c>
      <c r="D58" s="74" t="s">
        <v>83</v>
      </c>
      <c r="E58" s="81"/>
      <c r="F58" s="81"/>
      <c r="G58" s="81"/>
      <c r="H58" s="81"/>
      <c r="I58" s="81"/>
      <c r="J58" s="81"/>
      <c r="K58" s="81"/>
      <c r="L58" s="81"/>
      <c r="M58" s="81"/>
      <c r="N58" s="81"/>
      <c r="O58" s="81"/>
      <c r="P58" s="81"/>
      <c r="Q58" s="81"/>
      <c r="R58" s="81"/>
      <c r="S58" s="81"/>
      <c r="T58" s="74">
        <v>71.599999999999994</v>
      </c>
      <c r="U58" s="74"/>
      <c r="V58" s="74"/>
      <c r="W58" s="102">
        <v>18.71</v>
      </c>
      <c r="X58" s="74"/>
      <c r="Y58" s="74"/>
      <c r="Z58" s="74"/>
      <c r="AA58" s="74">
        <v>4.28</v>
      </c>
      <c r="AB58" s="74"/>
      <c r="AC58" s="74"/>
      <c r="AD58" s="78">
        <f t="shared" si="0"/>
        <v>94.59</v>
      </c>
      <c r="AE58" s="79"/>
      <c r="AF58" s="85" t="s">
        <v>90</v>
      </c>
      <c r="AG58" s="85" t="s">
        <v>91</v>
      </c>
      <c r="AH58" s="85" t="s">
        <v>93</v>
      </c>
      <c r="AI58" s="85" t="s">
        <v>92</v>
      </c>
    </row>
    <row r="59" spans="1:35">
      <c r="A59" s="74"/>
      <c r="B59" s="74"/>
      <c r="C59" s="74">
        <v>4</v>
      </c>
      <c r="D59" s="74" t="s">
        <v>85</v>
      </c>
      <c r="E59" s="81"/>
      <c r="F59" s="81"/>
      <c r="G59" s="81"/>
      <c r="H59" s="81"/>
      <c r="I59" s="81"/>
      <c r="J59" s="81"/>
      <c r="K59" s="81"/>
      <c r="L59" s="81"/>
      <c r="M59" s="81"/>
      <c r="N59" s="81"/>
      <c r="O59" s="81"/>
      <c r="P59" s="81"/>
      <c r="Q59" s="81"/>
      <c r="R59" s="81"/>
      <c r="S59" s="81"/>
      <c r="T59" s="74">
        <v>73.2</v>
      </c>
      <c r="U59" s="74"/>
      <c r="V59" s="74"/>
      <c r="W59" s="102">
        <v>21.84</v>
      </c>
      <c r="X59" s="74"/>
      <c r="Y59" s="74"/>
      <c r="Z59" s="74"/>
      <c r="AA59" s="74">
        <v>3.82</v>
      </c>
      <c r="AB59" s="74"/>
      <c r="AC59" s="74"/>
      <c r="AD59" s="78">
        <f t="shared" si="0"/>
        <v>98.86</v>
      </c>
      <c r="AE59" s="79"/>
      <c r="AF59" s="77">
        <v>96.98</v>
      </c>
      <c r="AG59" s="77">
        <v>88.210000000000008</v>
      </c>
      <c r="AH59" s="77">
        <v>96.95</v>
      </c>
      <c r="AI59" s="77">
        <v>78.610000000000014</v>
      </c>
    </row>
    <row r="60" spans="1:35">
      <c r="A60" s="74"/>
      <c r="B60" s="74"/>
      <c r="C60" s="74">
        <v>4</v>
      </c>
      <c r="D60" s="74" t="s">
        <v>87</v>
      </c>
      <c r="E60" s="81"/>
      <c r="F60" s="81"/>
      <c r="G60" s="81"/>
      <c r="H60" s="81"/>
      <c r="I60" s="81"/>
      <c r="J60" s="81"/>
      <c r="K60" s="81"/>
      <c r="L60" s="81"/>
      <c r="M60" s="81"/>
      <c r="N60" s="81"/>
      <c r="O60" s="81"/>
      <c r="P60" s="81"/>
      <c r="Q60" s="81"/>
      <c r="R60" s="81"/>
      <c r="S60" s="81"/>
      <c r="T60" s="74">
        <v>50.2</v>
      </c>
      <c r="U60" s="74"/>
      <c r="V60" s="74"/>
      <c r="W60" s="102">
        <v>2.4900000000000002</v>
      </c>
      <c r="X60" s="74"/>
      <c r="Y60" s="74"/>
      <c r="Z60" s="74"/>
      <c r="AA60" s="84">
        <v>1.78</v>
      </c>
      <c r="AB60" s="74"/>
      <c r="AC60" s="74"/>
      <c r="AD60" s="78">
        <f t="shared" si="0"/>
        <v>54.470000000000006</v>
      </c>
      <c r="AE60" s="79"/>
      <c r="AF60" s="77">
        <v>105.26</v>
      </c>
      <c r="AG60" s="77">
        <v>101.84</v>
      </c>
      <c r="AH60" s="77">
        <v>109.57999999999998</v>
      </c>
      <c r="AI60" s="77">
        <v>85.49</v>
      </c>
    </row>
    <row r="61" spans="1:35">
      <c r="A61" s="74"/>
      <c r="B61" s="74"/>
      <c r="C61" s="74">
        <v>4</v>
      </c>
      <c r="D61" s="74" t="s">
        <v>79</v>
      </c>
      <c r="E61" s="81"/>
      <c r="F61" s="81"/>
      <c r="G61" s="81"/>
      <c r="H61" s="81"/>
      <c r="I61" s="81"/>
      <c r="J61" s="81"/>
      <c r="K61" s="81"/>
      <c r="L61" s="81"/>
      <c r="M61" s="81"/>
      <c r="N61" s="81"/>
      <c r="O61" s="81"/>
      <c r="P61" s="81"/>
      <c r="Q61" s="81"/>
      <c r="R61" s="81"/>
      <c r="S61" s="81"/>
      <c r="T61" s="74">
        <v>46.3</v>
      </c>
      <c r="U61" s="74"/>
      <c r="V61" s="74"/>
      <c r="W61" s="102">
        <v>19.760000000000002</v>
      </c>
      <c r="X61" s="74"/>
      <c r="Y61" s="74"/>
      <c r="Z61" s="74"/>
      <c r="AA61" s="74">
        <v>4.03</v>
      </c>
      <c r="AB61" s="74"/>
      <c r="AC61" s="74"/>
      <c r="AD61" s="78">
        <f t="shared" si="0"/>
        <v>70.09</v>
      </c>
      <c r="AE61" s="79"/>
      <c r="AF61" s="77">
        <v>109.71000000000001</v>
      </c>
      <c r="AG61" s="77">
        <v>80.400000000000006</v>
      </c>
      <c r="AH61" s="77">
        <v>85.440000000000012</v>
      </c>
      <c r="AI61" s="77">
        <v>109.04</v>
      </c>
    </row>
    <row r="62" spans="1:35">
      <c r="A62" s="74"/>
      <c r="B62" s="74"/>
      <c r="C62" s="74">
        <v>4</v>
      </c>
      <c r="D62" s="74" t="s">
        <v>88</v>
      </c>
      <c r="E62" s="81"/>
      <c r="F62" s="81"/>
      <c r="G62" s="81"/>
      <c r="H62" s="81"/>
      <c r="I62" s="81"/>
      <c r="J62" s="81"/>
      <c r="K62" s="81"/>
      <c r="L62" s="81"/>
      <c r="M62" s="81"/>
      <c r="N62" s="81"/>
      <c r="O62" s="81"/>
      <c r="P62" s="81"/>
      <c r="Q62" s="81"/>
      <c r="R62" s="81"/>
      <c r="S62" s="81"/>
      <c r="T62" s="74">
        <v>61.8</v>
      </c>
      <c r="U62" s="74">
        <f>AVERAGE(T58:T62)</f>
        <v>60.620000000000005</v>
      </c>
      <c r="V62" s="74"/>
      <c r="W62" s="106">
        <f>AVERAGE(W58:W61)</f>
        <v>15.7</v>
      </c>
      <c r="X62" s="102">
        <f>AVERAGE(W58:W62)</f>
        <v>15.7</v>
      </c>
      <c r="Y62" s="74" t="s">
        <v>205</v>
      </c>
      <c r="Z62" s="74"/>
      <c r="AA62" s="74">
        <v>4.68</v>
      </c>
      <c r="AB62" s="74">
        <f>AVERAGE(AA58:AA62)</f>
        <v>3.718</v>
      </c>
      <c r="AC62" s="74"/>
      <c r="AD62" s="78">
        <f t="shared" si="0"/>
        <v>82.18</v>
      </c>
      <c r="AE62" s="79"/>
      <c r="AF62" s="77">
        <v>100.43</v>
      </c>
      <c r="AG62" s="77">
        <v>75.680000000000007</v>
      </c>
      <c r="AH62" s="77">
        <v>102.55</v>
      </c>
      <c r="AI62" s="77">
        <v>74.75</v>
      </c>
    </row>
    <row r="63" spans="1:35">
      <c r="A63" s="74" t="s">
        <v>78</v>
      </c>
      <c r="B63" s="74" t="s">
        <v>101</v>
      </c>
      <c r="C63" s="74">
        <v>1</v>
      </c>
      <c r="D63" s="74" t="s">
        <v>83</v>
      </c>
      <c r="E63" s="81"/>
      <c r="F63" s="81"/>
      <c r="G63" s="81"/>
      <c r="H63" s="81"/>
      <c r="I63" s="81"/>
      <c r="J63" s="81"/>
      <c r="K63" s="81"/>
      <c r="L63" s="81"/>
      <c r="M63" s="81"/>
      <c r="N63" s="81"/>
      <c r="O63" s="81"/>
      <c r="P63" s="81"/>
      <c r="Q63" s="81"/>
      <c r="R63" s="81"/>
      <c r="S63" s="81"/>
      <c r="T63" s="74">
        <v>74</v>
      </c>
      <c r="U63" s="74"/>
      <c r="V63" s="74"/>
      <c r="W63" s="102">
        <v>14.47</v>
      </c>
      <c r="X63" s="74"/>
      <c r="Y63" s="74"/>
      <c r="Z63" s="74"/>
      <c r="AA63" s="84">
        <v>7.9</v>
      </c>
      <c r="AB63" s="74"/>
      <c r="AC63" s="74"/>
      <c r="AD63" s="78">
        <f t="shared" si="0"/>
        <v>96.37</v>
      </c>
      <c r="AE63" s="79"/>
      <c r="AF63" s="77">
        <v>114.11000000000001</v>
      </c>
      <c r="AG63" s="77">
        <v>115.21999999999998</v>
      </c>
      <c r="AH63" s="77">
        <v>96.63</v>
      </c>
      <c r="AI63" s="77">
        <v>123.02000000000001</v>
      </c>
    </row>
    <row r="64" spans="1:35">
      <c r="A64" s="74"/>
      <c r="B64" s="74"/>
      <c r="C64" s="74">
        <v>1</v>
      </c>
      <c r="D64" s="74" t="s">
        <v>85</v>
      </c>
      <c r="E64" s="81"/>
      <c r="F64" s="81"/>
      <c r="G64" s="81"/>
      <c r="H64" s="81"/>
      <c r="I64" s="81"/>
      <c r="J64" s="81"/>
      <c r="K64" s="81"/>
      <c r="L64" s="81"/>
      <c r="M64" s="81"/>
      <c r="N64" s="81"/>
      <c r="O64" s="81"/>
      <c r="P64" s="81"/>
      <c r="Q64" s="81"/>
      <c r="R64" s="81"/>
      <c r="S64" s="81"/>
      <c r="T64" s="74">
        <v>90.5</v>
      </c>
      <c r="U64" s="74"/>
      <c r="V64" s="74"/>
      <c r="W64" s="102">
        <v>8.9499999999999993</v>
      </c>
      <c r="X64" s="74"/>
      <c r="Y64" s="74"/>
      <c r="Z64" s="74"/>
      <c r="AA64" s="84">
        <v>5.9</v>
      </c>
      <c r="AB64" s="74"/>
      <c r="AC64" s="74"/>
      <c r="AD64" s="78">
        <f t="shared" si="0"/>
        <v>105.35000000000001</v>
      </c>
      <c r="AE64" s="79"/>
      <c r="AF64" s="79"/>
      <c r="AG64" s="79"/>
      <c r="AH64" s="79"/>
      <c r="AI64" s="79"/>
    </row>
    <row r="65" spans="1:35">
      <c r="A65" s="74"/>
      <c r="B65" s="74"/>
      <c r="C65" s="74">
        <v>1</v>
      </c>
      <c r="D65" s="74" t="s">
        <v>87</v>
      </c>
      <c r="E65" s="81"/>
      <c r="F65" s="81"/>
      <c r="G65" s="81"/>
      <c r="H65" s="81"/>
      <c r="I65" s="81"/>
      <c r="J65" s="81"/>
      <c r="K65" s="81"/>
      <c r="L65" s="81"/>
      <c r="M65" s="81"/>
      <c r="N65" s="81"/>
      <c r="O65" s="81"/>
      <c r="P65" s="81"/>
      <c r="Q65" s="81"/>
      <c r="R65" s="81"/>
      <c r="S65" s="81"/>
      <c r="T65" s="74">
        <v>68.989999999999995</v>
      </c>
      <c r="U65" s="74"/>
      <c r="V65" s="74"/>
      <c r="W65" s="102">
        <v>17.04</v>
      </c>
      <c r="X65" s="74"/>
      <c r="Y65" s="74"/>
      <c r="Z65" s="74"/>
      <c r="AA65" s="84">
        <v>9.7200000000000006</v>
      </c>
      <c r="AB65" s="74"/>
      <c r="AC65" s="74"/>
      <c r="AD65" s="78">
        <f t="shared" si="0"/>
        <v>95.75</v>
      </c>
      <c r="AE65" s="79"/>
      <c r="AF65" s="79"/>
      <c r="AG65" s="79"/>
      <c r="AH65" s="79"/>
      <c r="AI65" s="79"/>
    </row>
    <row r="66" spans="1:35">
      <c r="A66" s="74"/>
      <c r="B66" s="74"/>
      <c r="C66" s="74">
        <v>1</v>
      </c>
      <c r="D66" s="74" t="s">
        <v>79</v>
      </c>
      <c r="E66" s="81"/>
      <c r="F66" s="81"/>
      <c r="G66" s="81"/>
      <c r="H66" s="81"/>
      <c r="I66" s="81"/>
      <c r="J66" s="81"/>
      <c r="K66" s="81"/>
      <c r="L66" s="81"/>
      <c r="M66" s="81"/>
      <c r="N66" s="81"/>
      <c r="O66" s="81"/>
      <c r="P66" s="81"/>
      <c r="Q66" s="81"/>
      <c r="R66" s="81"/>
      <c r="S66" s="81"/>
      <c r="T66" s="74">
        <v>73.400000000000006</v>
      </c>
      <c r="U66" s="74"/>
      <c r="V66" s="74"/>
      <c r="W66" s="102">
        <v>19.920000000000002</v>
      </c>
      <c r="X66" s="74"/>
      <c r="Y66" s="74"/>
      <c r="Z66" s="74"/>
      <c r="AA66" s="74">
        <v>7.11</v>
      </c>
      <c r="AB66" s="74"/>
      <c r="AC66" s="74"/>
      <c r="AD66" s="78">
        <f t="shared" si="0"/>
        <v>100.43</v>
      </c>
      <c r="AE66" s="79"/>
      <c r="AF66" s="79"/>
      <c r="AG66" s="79"/>
      <c r="AH66" s="79"/>
      <c r="AI66" s="79"/>
    </row>
    <row r="67" spans="1:35">
      <c r="A67" s="74"/>
      <c r="B67" s="74"/>
      <c r="C67" s="74">
        <v>1</v>
      </c>
      <c r="D67" s="74" t="s">
        <v>88</v>
      </c>
      <c r="E67" s="81"/>
      <c r="F67" s="81"/>
      <c r="G67" s="81"/>
      <c r="H67" s="81"/>
      <c r="I67" s="81"/>
      <c r="J67" s="81"/>
      <c r="K67" s="81"/>
      <c r="L67" s="81"/>
      <c r="M67" s="81"/>
      <c r="N67" s="81"/>
      <c r="O67" s="81"/>
      <c r="P67" s="81"/>
      <c r="Q67" s="81"/>
      <c r="R67" s="81"/>
      <c r="S67" s="81"/>
      <c r="T67" s="74">
        <v>93.9</v>
      </c>
      <c r="U67" s="74">
        <f>AVERAGE(T63:T67)</f>
        <v>80.157999999999987</v>
      </c>
      <c r="V67" s="74"/>
      <c r="W67" s="102">
        <v>13.96</v>
      </c>
      <c r="X67" s="102">
        <f>AVERAGE(W63:W67)</f>
        <v>14.868</v>
      </c>
      <c r="Y67" s="74"/>
      <c r="Z67" s="74"/>
      <c r="AA67" s="84">
        <v>5.3</v>
      </c>
      <c r="AB67" s="74">
        <f>AVERAGE(AA63:AA67)</f>
        <v>7.1859999999999999</v>
      </c>
      <c r="AC67" s="74"/>
      <c r="AD67" s="78">
        <f t="shared" si="0"/>
        <v>113.16000000000001</v>
      </c>
      <c r="AE67" s="79"/>
      <c r="AF67" s="79"/>
      <c r="AG67" s="79"/>
      <c r="AH67" s="79"/>
      <c r="AI67" s="79"/>
    </row>
    <row r="68" spans="1:35">
      <c r="A68" s="74"/>
      <c r="B68" s="74"/>
      <c r="C68" s="74">
        <v>2</v>
      </c>
      <c r="D68" s="74" t="s">
        <v>83</v>
      </c>
      <c r="E68" s="81"/>
      <c r="F68" s="81"/>
      <c r="G68" s="81"/>
      <c r="H68" s="81"/>
      <c r="I68" s="81"/>
      <c r="J68" s="81"/>
      <c r="K68" s="81"/>
      <c r="L68" s="81"/>
      <c r="M68" s="81"/>
      <c r="N68" s="81"/>
      <c r="O68" s="81"/>
      <c r="P68" s="81"/>
      <c r="Q68" s="81"/>
      <c r="R68" s="81"/>
      <c r="S68" s="81"/>
      <c r="T68" s="74">
        <v>71.5</v>
      </c>
      <c r="U68" s="74"/>
      <c r="V68" s="74"/>
      <c r="W68" s="102">
        <v>11.42</v>
      </c>
      <c r="X68" s="74"/>
      <c r="Y68" s="74"/>
      <c r="Z68" s="74"/>
      <c r="AA68" s="84">
        <v>5.0999999999999996</v>
      </c>
      <c r="AB68" s="74"/>
      <c r="AC68" s="74"/>
      <c r="AD68" s="78">
        <f t="shared" si="0"/>
        <v>88.02</v>
      </c>
      <c r="AE68" s="79"/>
      <c r="AF68" s="79"/>
      <c r="AG68" s="79"/>
      <c r="AH68" s="79"/>
      <c r="AI68" s="79"/>
    </row>
    <row r="69" spans="1:35">
      <c r="A69" s="74"/>
      <c r="B69" s="74"/>
      <c r="C69" s="74">
        <v>2</v>
      </c>
      <c r="D69" s="74" t="s">
        <v>85</v>
      </c>
      <c r="E69" s="81"/>
      <c r="F69" s="81"/>
      <c r="G69" s="81"/>
      <c r="H69" s="81"/>
      <c r="I69" s="81"/>
      <c r="J69" s="81"/>
      <c r="K69" s="81"/>
      <c r="L69" s="81"/>
      <c r="M69" s="81"/>
      <c r="N69" s="81"/>
      <c r="O69" s="81"/>
      <c r="P69" s="81"/>
      <c r="Q69" s="81"/>
      <c r="R69" s="81"/>
      <c r="S69" s="81"/>
      <c r="T69" s="74">
        <v>88.1</v>
      </c>
      <c r="U69" s="74"/>
      <c r="V69" s="74"/>
      <c r="W69" s="102">
        <v>8.9</v>
      </c>
      <c r="X69" s="74"/>
      <c r="Y69" s="74"/>
      <c r="Z69" s="74"/>
      <c r="AA69" s="84">
        <v>4.5</v>
      </c>
      <c r="AB69" s="74"/>
      <c r="AC69" s="74"/>
      <c r="AD69" s="78">
        <f t="shared" si="0"/>
        <v>101.5</v>
      </c>
      <c r="AE69" s="79"/>
      <c r="AF69" s="79"/>
      <c r="AG69" s="79"/>
      <c r="AH69" s="79"/>
      <c r="AI69" s="79"/>
    </row>
    <row r="70" spans="1:35">
      <c r="A70" s="74"/>
      <c r="B70" s="74"/>
      <c r="C70" s="74">
        <v>2</v>
      </c>
      <c r="D70" s="74" t="s">
        <v>87</v>
      </c>
      <c r="E70" s="81"/>
      <c r="F70" s="81"/>
      <c r="G70" s="81"/>
      <c r="H70" s="81"/>
      <c r="I70" s="81"/>
      <c r="J70" s="81"/>
      <c r="K70" s="81"/>
      <c r="L70" s="81"/>
      <c r="M70" s="81"/>
      <c r="N70" s="81"/>
      <c r="O70" s="81"/>
      <c r="P70" s="81"/>
      <c r="Q70" s="81"/>
      <c r="R70" s="81"/>
      <c r="S70" s="81"/>
      <c r="T70" s="74">
        <v>67.7</v>
      </c>
      <c r="U70" s="74"/>
      <c r="V70" s="74"/>
      <c r="W70" s="102">
        <v>7.14</v>
      </c>
      <c r="X70" s="74"/>
      <c r="Y70" s="74"/>
      <c r="Z70" s="74"/>
      <c r="AA70" s="84">
        <v>4.88</v>
      </c>
      <c r="AB70" s="74"/>
      <c r="AC70" s="74"/>
      <c r="AD70" s="78">
        <f t="shared" si="0"/>
        <v>79.72</v>
      </c>
      <c r="AE70" s="79"/>
      <c r="AF70" s="79"/>
      <c r="AG70" s="79"/>
      <c r="AH70" s="79"/>
      <c r="AI70" s="79"/>
    </row>
    <row r="71" spans="1:35">
      <c r="A71" s="74"/>
      <c r="B71" s="74"/>
      <c r="C71" s="74">
        <v>2</v>
      </c>
      <c r="D71" s="74" t="s">
        <v>79</v>
      </c>
      <c r="E71" s="81"/>
      <c r="F71" s="81"/>
      <c r="G71" s="81"/>
      <c r="H71" s="81"/>
      <c r="I71" s="81"/>
      <c r="J71" s="81"/>
      <c r="K71" s="81"/>
      <c r="L71" s="81"/>
      <c r="M71" s="81"/>
      <c r="N71" s="81"/>
      <c r="O71" s="81"/>
      <c r="P71" s="81"/>
      <c r="Q71" s="81"/>
      <c r="R71" s="81"/>
      <c r="S71" s="81"/>
      <c r="T71" s="74">
        <v>59.2</v>
      </c>
      <c r="U71" s="74"/>
      <c r="V71" s="74"/>
      <c r="W71" s="102">
        <v>10.72</v>
      </c>
      <c r="X71" s="74"/>
      <c r="Y71" s="74"/>
      <c r="Z71" s="74"/>
      <c r="AA71" s="74">
        <v>5.76</v>
      </c>
      <c r="AB71" s="74"/>
      <c r="AC71" s="74"/>
      <c r="AD71" s="78">
        <f t="shared" si="0"/>
        <v>75.680000000000007</v>
      </c>
      <c r="AE71" s="79"/>
      <c r="AF71" s="79"/>
      <c r="AG71" s="79"/>
      <c r="AH71" s="79"/>
      <c r="AI71" s="79"/>
    </row>
    <row r="72" spans="1:35">
      <c r="A72" s="74"/>
      <c r="B72" s="74"/>
      <c r="C72" s="74">
        <v>2</v>
      </c>
      <c r="D72" s="74" t="s">
        <v>88</v>
      </c>
      <c r="E72" s="81"/>
      <c r="F72" s="81"/>
      <c r="G72" s="81"/>
      <c r="H72" s="81"/>
      <c r="I72" s="81"/>
      <c r="J72" s="81"/>
      <c r="K72" s="81"/>
      <c r="L72" s="81"/>
      <c r="M72" s="81"/>
      <c r="N72" s="81"/>
      <c r="O72" s="81"/>
      <c r="P72" s="81"/>
      <c r="Q72" s="81"/>
      <c r="R72" s="81"/>
      <c r="S72" s="81"/>
      <c r="T72" s="74">
        <v>95.6</v>
      </c>
      <c r="U72" s="74">
        <f>AVERAGE(T68:T72)</f>
        <v>76.42</v>
      </c>
      <c r="V72" s="74"/>
      <c r="W72" s="102">
        <v>14.63</v>
      </c>
      <c r="X72" s="102">
        <f>AVERAGE(W68:W72)</f>
        <v>10.562000000000001</v>
      </c>
      <c r="Y72" s="74"/>
      <c r="Z72" s="74"/>
      <c r="AA72" s="74">
        <v>4.99</v>
      </c>
      <c r="AB72" s="74">
        <f>AVERAGE(AA68:AA72)</f>
        <v>5.0460000000000012</v>
      </c>
      <c r="AC72" s="74"/>
      <c r="AD72" s="78">
        <f t="shared" si="0"/>
        <v>115.21999999999998</v>
      </c>
      <c r="AE72" s="79"/>
      <c r="AF72" s="79"/>
      <c r="AG72" s="79"/>
      <c r="AH72" s="79"/>
      <c r="AI72" s="79"/>
    </row>
    <row r="73" spans="1:35">
      <c r="A73" s="74"/>
      <c r="B73" s="74"/>
      <c r="C73" s="74">
        <v>3</v>
      </c>
      <c r="D73" s="74" t="s">
        <v>83</v>
      </c>
      <c r="E73" s="81"/>
      <c r="F73" s="81"/>
      <c r="G73" s="81"/>
      <c r="H73" s="81"/>
      <c r="I73" s="81"/>
      <c r="J73" s="81"/>
      <c r="K73" s="81"/>
      <c r="L73" s="81"/>
      <c r="M73" s="81"/>
      <c r="N73" s="81"/>
      <c r="O73" s="81"/>
      <c r="P73" s="81"/>
      <c r="Q73" s="81"/>
      <c r="R73" s="81"/>
      <c r="S73" s="81"/>
      <c r="T73" s="74">
        <v>83.2</v>
      </c>
      <c r="U73" s="74"/>
      <c r="V73" s="74"/>
      <c r="W73" s="102">
        <v>7.95</v>
      </c>
      <c r="X73" s="74"/>
      <c r="Y73" s="74"/>
      <c r="Z73" s="74"/>
      <c r="AA73" s="84">
        <v>5.6</v>
      </c>
      <c r="AB73" s="74"/>
      <c r="AC73" s="74"/>
      <c r="AD73" s="78">
        <f t="shared" si="0"/>
        <v>96.75</v>
      </c>
      <c r="AE73" s="79"/>
      <c r="AF73" s="79"/>
      <c r="AG73" s="79"/>
      <c r="AH73" s="79"/>
      <c r="AI73" s="79"/>
    </row>
    <row r="74" spans="1:35">
      <c r="A74" s="74"/>
      <c r="B74" s="74"/>
      <c r="C74" s="74">
        <v>3</v>
      </c>
      <c r="D74" s="74" t="s">
        <v>85</v>
      </c>
      <c r="E74" s="81"/>
      <c r="F74" s="81"/>
      <c r="G74" s="81"/>
      <c r="H74" s="81"/>
      <c r="I74" s="81"/>
      <c r="J74" s="81"/>
      <c r="K74" s="81"/>
      <c r="L74" s="81"/>
      <c r="M74" s="81"/>
      <c r="N74" s="81"/>
      <c r="O74" s="81"/>
      <c r="P74" s="81"/>
      <c r="Q74" s="81"/>
      <c r="R74" s="81"/>
      <c r="S74" s="81"/>
      <c r="T74" s="74">
        <v>75.599999999999994</v>
      </c>
      <c r="U74" s="74"/>
      <c r="V74" s="74"/>
      <c r="W74" s="102">
        <v>19.29</v>
      </c>
      <c r="X74" s="74"/>
      <c r="Y74" s="74"/>
      <c r="Z74" s="74"/>
      <c r="AA74" s="84">
        <v>11.55</v>
      </c>
      <c r="AB74" s="74"/>
      <c r="AC74" s="74"/>
      <c r="AD74" s="78">
        <f t="shared" si="0"/>
        <v>106.43999999999998</v>
      </c>
      <c r="AE74" s="79"/>
      <c r="AF74" s="79"/>
      <c r="AG74" s="79"/>
      <c r="AH74" s="79"/>
      <c r="AI74" s="79"/>
    </row>
    <row r="75" spans="1:35">
      <c r="A75" s="74"/>
      <c r="B75" s="74"/>
      <c r="C75" s="74">
        <v>3</v>
      </c>
      <c r="D75" s="74" t="s">
        <v>87</v>
      </c>
      <c r="E75" s="81"/>
      <c r="F75" s="81"/>
      <c r="G75" s="81"/>
      <c r="H75" s="81"/>
      <c r="I75" s="81"/>
      <c r="J75" s="81"/>
      <c r="K75" s="81"/>
      <c r="L75" s="81"/>
      <c r="M75" s="81"/>
      <c r="N75" s="81"/>
      <c r="O75" s="81"/>
      <c r="P75" s="81"/>
      <c r="Q75" s="81"/>
      <c r="R75" s="81"/>
      <c r="S75" s="81"/>
      <c r="T75" s="74">
        <v>74.400000000000006</v>
      </c>
      <c r="U75" s="74"/>
      <c r="V75" s="74"/>
      <c r="W75" s="102">
        <v>9.8699999999999992</v>
      </c>
      <c r="X75" s="74"/>
      <c r="Y75" s="74"/>
      <c r="Z75" s="74"/>
      <c r="AA75" s="84">
        <v>1.17</v>
      </c>
      <c r="AB75" s="74"/>
      <c r="AC75" s="74"/>
      <c r="AD75" s="78">
        <f t="shared" si="0"/>
        <v>85.440000000000012</v>
      </c>
      <c r="AE75" s="79"/>
      <c r="AF75" s="79"/>
      <c r="AG75" s="79"/>
      <c r="AH75" s="79"/>
      <c r="AI75" s="79"/>
    </row>
    <row r="76" spans="1:35">
      <c r="A76" s="74"/>
      <c r="B76" s="74"/>
      <c r="C76" s="74">
        <v>3</v>
      </c>
      <c r="D76" s="74" t="s">
        <v>79</v>
      </c>
      <c r="E76" s="81"/>
      <c r="F76" s="81"/>
      <c r="G76" s="81"/>
      <c r="H76" s="81"/>
      <c r="I76" s="81"/>
      <c r="J76" s="81"/>
      <c r="K76" s="81"/>
      <c r="L76" s="81"/>
      <c r="M76" s="81"/>
      <c r="N76" s="81"/>
      <c r="O76" s="81"/>
      <c r="P76" s="81"/>
      <c r="Q76" s="81"/>
      <c r="R76" s="81"/>
      <c r="S76" s="81"/>
      <c r="T76" s="74">
        <v>84.5</v>
      </c>
      <c r="U76" s="74"/>
      <c r="V76" s="74"/>
      <c r="W76" s="102">
        <v>13.57</v>
      </c>
      <c r="X76" s="74"/>
      <c r="Y76" s="74"/>
      <c r="Z76" s="74"/>
      <c r="AA76" s="84">
        <v>4.7</v>
      </c>
      <c r="AB76" s="74"/>
      <c r="AC76" s="74"/>
      <c r="AD76" s="78">
        <f t="shared" si="0"/>
        <v>102.77</v>
      </c>
      <c r="AE76" s="79"/>
      <c r="AF76" s="79"/>
      <c r="AG76" s="79"/>
      <c r="AH76" s="79"/>
      <c r="AI76" s="79"/>
    </row>
    <row r="77" spans="1:35">
      <c r="A77" s="74"/>
      <c r="B77" s="74"/>
      <c r="C77" s="74">
        <v>3</v>
      </c>
      <c r="D77" s="74" t="s">
        <v>88</v>
      </c>
      <c r="E77" s="81"/>
      <c r="F77" s="81"/>
      <c r="G77" s="81"/>
      <c r="H77" s="81"/>
      <c r="I77" s="81"/>
      <c r="J77" s="81"/>
      <c r="K77" s="81"/>
      <c r="L77" s="81"/>
      <c r="M77" s="81"/>
      <c r="N77" s="81"/>
      <c r="O77" s="81"/>
      <c r="P77" s="81"/>
      <c r="Q77" s="81"/>
      <c r="R77" s="81"/>
      <c r="S77" s="81"/>
      <c r="T77" s="74">
        <v>75.099999999999994</v>
      </c>
      <c r="U77" s="74">
        <f>AVERAGE(T73:T77)</f>
        <v>78.560000000000016</v>
      </c>
      <c r="V77" s="74"/>
      <c r="W77" s="102">
        <v>15.3</v>
      </c>
      <c r="X77" s="102">
        <f>AVERAGE(W73:W77)</f>
        <v>13.196000000000002</v>
      </c>
      <c r="Y77" s="74"/>
      <c r="Z77" s="74"/>
      <c r="AA77" s="84">
        <v>5.3</v>
      </c>
      <c r="AB77" s="74">
        <f>AVERAGE(AA73:AA77)</f>
        <v>5.6639999999999997</v>
      </c>
      <c r="AC77" s="74"/>
      <c r="AD77" s="78">
        <f t="shared" si="0"/>
        <v>95.699999999999989</v>
      </c>
      <c r="AE77" s="79"/>
      <c r="AF77" s="79"/>
      <c r="AG77" s="79"/>
      <c r="AH77" s="79"/>
      <c r="AI77" s="79"/>
    </row>
    <row r="78" spans="1:35">
      <c r="A78" s="74"/>
      <c r="B78" s="74"/>
      <c r="C78" s="74">
        <v>4</v>
      </c>
      <c r="D78" s="74" t="s">
        <v>83</v>
      </c>
      <c r="E78" s="81"/>
      <c r="F78" s="81"/>
      <c r="G78" s="81"/>
      <c r="H78" s="81"/>
      <c r="I78" s="81"/>
      <c r="J78" s="81"/>
      <c r="K78" s="81"/>
      <c r="L78" s="81"/>
      <c r="M78" s="81"/>
      <c r="N78" s="81"/>
      <c r="O78" s="81"/>
      <c r="P78" s="81"/>
      <c r="Q78" s="81"/>
      <c r="R78" s="81"/>
      <c r="S78" s="81"/>
      <c r="T78" s="74">
        <v>62.7</v>
      </c>
      <c r="U78" s="74"/>
      <c r="V78" s="74"/>
      <c r="W78" s="102">
        <v>9.57</v>
      </c>
      <c r="X78" s="74"/>
      <c r="Y78" s="74"/>
      <c r="Z78" s="74"/>
      <c r="AA78" s="84">
        <v>6</v>
      </c>
      <c r="AB78" s="74"/>
      <c r="AC78" s="74"/>
      <c r="AD78" s="78">
        <f t="shared" si="0"/>
        <v>78.27000000000001</v>
      </c>
      <c r="AE78" s="79"/>
      <c r="AF78" s="79"/>
      <c r="AG78" s="79"/>
      <c r="AH78" s="79"/>
      <c r="AI78" s="79"/>
    </row>
    <row r="79" spans="1:35">
      <c r="A79" s="74"/>
      <c r="B79" s="74"/>
      <c r="C79" s="74">
        <v>4</v>
      </c>
      <c r="D79" s="74" t="s">
        <v>85</v>
      </c>
      <c r="E79" s="81"/>
      <c r="F79" s="81"/>
      <c r="G79" s="81"/>
      <c r="H79" s="81"/>
      <c r="I79" s="81"/>
      <c r="J79" s="81"/>
      <c r="K79" s="81"/>
      <c r="L79" s="81"/>
      <c r="M79" s="81"/>
      <c r="N79" s="81"/>
      <c r="O79" s="81"/>
      <c r="P79" s="81"/>
      <c r="Q79" s="81"/>
      <c r="R79" s="81"/>
      <c r="S79" s="81"/>
      <c r="T79" s="74">
        <v>72.5</v>
      </c>
      <c r="U79" s="74"/>
      <c r="V79" s="74"/>
      <c r="W79" s="102">
        <v>8.49</v>
      </c>
      <c r="X79" s="74"/>
      <c r="Y79" s="74"/>
      <c r="Z79" s="74"/>
      <c r="AA79" s="74">
        <v>4.5</v>
      </c>
      <c r="AB79" s="74"/>
      <c r="AC79" s="74"/>
      <c r="AD79" s="78">
        <f t="shared" si="0"/>
        <v>85.49</v>
      </c>
      <c r="AE79" s="79"/>
      <c r="AF79" s="79"/>
      <c r="AG79" s="79"/>
      <c r="AH79" s="79"/>
      <c r="AI79" s="79"/>
    </row>
    <row r="80" spans="1:35">
      <c r="A80" s="74"/>
      <c r="B80" s="74"/>
      <c r="C80" s="74">
        <v>4</v>
      </c>
      <c r="D80" s="74" t="s">
        <v>87</v>
      </c>
      <c r="E80" s="81"/>
      <c r="F80" s="81"/>
      <c r="G80" s="81"/>
      <c r="H80" s="81"/>
      <c r="I80" s="81"/>
      <c r="J80" s="81"/>
      <c r="K80" s="81"/>
      <c r="L80" s="81"/>
      <c r="M80" s="81"/>
      <c r="N80" s="81"/>
      <c r="O80" s="81"/>
      <c r="P80" s="81"/>
      <c r="Q80" s="81"/>
      <c r="R80" s="81"/>
      <c r="S80" s="81"/>
      <c r="T80" s="74">
        <v>92.5</v>
      </c>
      <c r="U80" s="74"/>
      <c r="V80" s="74"/>
      <c r="W80" s="102">
        <v>8.9499999999999993</v>
      </c>
      <c r="X80" s="74"/>
      <c r="Y80" s="74"/>
      <c r="Z80" s="74"/>
      <c r="AA80" s="84">
        <v>8.1</v>
      </c>
      <c r="AB80" s="74"/>
      <c r="AC80" s="74"/>
      <c r="AD80" s="78">
        <f t="shared" si="0"/>
        <v>109.55</v>
      </c>
      <c r="AE80" s="79"/>
      <c r="AF80" s="79"/>
      <c r="AG80" s="79"/>
      <c r="AH80" s="79"/>
      <c r="AI80" s="79"/>
    </row>
    <row r="81" spans="1:35">
      <c r="A81" s="74"/>
      <c r="B81" s="74"/>
      <c r="C81" s="74">
        <v>4</v>
      </c>
      <c r="D81" s="74" t="s">
        <v>79</v>
      </c>
      <c r="E81" s="81"/>
      <c r="F81" s="81"/>
      <c r="G81" s="81"/>
      <c r="H81" s="81"/>
      <c r="I81" s="81"/>
      <c r="J81" s="81"/>
      <c r="K81" s="81"/>
      <c r="L81" s="81"/>
      <c r="M81" s="81"/>
      <c r="N81" s="81"/>
      <c r="O81" s="81"/>
      <c r="P81" s="81"/>
      <c r="Q81" s="81"/>
      <c r="R81" s="81"/>
      <c r="S81" s="81"/>
      <c r="T81" s="74">
        <v>63</v>
      </c>
      <c r="U81" s="74"/>
      <c r="V81" s="74"/>
      <c r="W81" s="102">
        <v>7.53</v>
      </c>
      <c r="X81" s="74"/>
      <c r="Y81" s="74"/>
      <c r="Z81" s="74"/>
      <c r="AA81" s="84">
        <v>4</v>
      </c>
      <c r="AB81" s="74"/>
      <c r="AC81" s="74"/>
      <c r="AD81" s="78">
        <f t="shared" si="0"/>
        <v>74.53</v>
      </c>
      <c r="AE81" s="79"/>
      <c r="AF81" s="77" t="s">
        <v>93</v>
      </c>
      <c r="AG81" s="77" t="s">
        <v>90</v>
      </c>
      <c r="AH81" s="77" t="s">
        <v>92</v>
      </c>
      <c r="AI81" s="77" t="s">
        <v>91</v>
      </c>
    </row>
    <row r="82" spans="1:35">
      <c r="A82" s="74"/>
      <c r="B82" s="74"/>
      <c r="C82" s="74">
        <v>4</v>
      </c>
      <c r="D82" s="74" t="s">
        <v>88</v>
      </c>
      <c r="E82" s="81"/>
      <c r="F82" s="81"/>
      <c r="G82" s="81"/>
      <c r="H82" s="81"/>
      <c r="I82" s="81"/>
      <c r="J82" s="81"/>
      <c r="K82" s="81"/>
      <c r="L82" s="81"/>
      <c r="M82" s="81"/>
      <c r="N82" s="81"/>
      <c r="O82" s="81"/>
      <c r="P82" s="81"/>
      <c r="Q82" s="81"/>
      <c r="R82" s="81"/>
      <c r="S82" s="81"/>
      <c r="T82" s="74">
        <v>102.4</v>
      </c>
      <c r="U82" s="74">
        <f>AVERAGE(T78:T82)</f>
        <v>78.62</v>
      </c>
      <c r="V82" s="74"/>
      <c r="W82" s="102">
        <v>13.69</v>
      </c>
      <c r="X82" s="102">
        <f>AVERAGE(W78:W82)</f>
        <v>9.645999999999999</v>
      </c>
      <c r="Y82" s="74"/>
      <c r="Z82" s="74"/>
      <c r="AA82" s="84">
        <v>7</v>
      </c>
      <c r="AB82" s="74">
        <f>AVERAGE(AA78:AA82)</f>
        <v>5.92</v>
      </c>
      <c r="AC82" s="74"/>
      <c r="AD82" s="78">
        <f t="shared" si="0"/>
        <v>123.09</v>
      </c>
      <c r="AE82" s="79"/>
      <c r="AF82" s="77">
        <v>100.87333333333333</v>
      </c>
      <c r="AG82" s="77">
        <v>99.559999999999988</v>
      </c>
      <c r="AH82" s="77">
        <v>94.91</v>
      </c>
      <c r="AI82" s="77">
        <v>141.32</v>
      </c>
    </row>
    <row r="83" spans="1:35">
      <c r="A83" s="74" t="s">
        <v>78</v>
      </c>
      <c r="B83" s="74" t="s">
        <v>102</v>
      </c>
      <c r="C83" s="74">
        <v>1</v>
      </c>
      <c r="D83" s="74" t="s">
        <v>83</v>
      </c>
      <c r="E83" s="81"/>
      <c r="F83" s="81"/>
      <c r="G83" s="81"/>
      <c r="H83" s="81"/>
      <c r="I83" s="81"/>
      <c r="J83" s="81"/>
      <c r="K83" s="81"/>
      <c r="L83" s="81"/>
      <c r="M83" s="81"/>
      <c r="N83" s="81"/>
      <c r="O83" s="81"/>
      <c r="P83" s="81"/>
      <c r="Q83" s="81"/>
      <c r="R83" s="81"/>
      <c r="S83" s="81"/>
      <c r="T83" s="74">
        <v>83.5</v>
      </c>
      <c r="U83" s="74"/>
      <c r="V83" s="74"/>
      <c r="W83" s="12">
        <f>AVERAGE(W85:W87)</f>
        <v>14.483333333333333</v>
      </c>
      <c r="X83" s="74"/>
      <c r="Y83" s="74" t="s">
        <v>208</v>
      </c>
      <c r="Z83" s="74"/>
      <c r="AA83" s="84">
        <v>2.87</v>
      </c>
      <c r="AB83" s="74"/>
      <c r="AC83" s="74"/>
      <c r="AD83" s="78">
        <f t="shared" si="0"/>
        <v>100.85333333333334</v>
      </c>
      <c r="AE83" s="79"/>
      <c r="AF83" s="77">
        <v>87.52</v>
      </c>
      <c r="AG83" s="77">
        <v>115.37</v>
      </c>
      <c r="AH83" s="77">
        <v>107.26</v>
      </c>
      <c r="AI83" s="77">
        <v>91.85</v>
      </c>
    </row>
    <row r="84" spans="1:35">
      <c r="A84" s="74"/>
      <c r="B84" s="74"/>
      <c r="C84" s="74">
        <v>1</v>
      </c>
      <c r="D84" s="74" t="s">
        <v>85</v>
      </c>
      <c r="E84" s="81"/>
      <c r="F84" s="81"/>
      <c r="G84" s="81"/>
      <c r="H84" s="81"/>
      <c r="I84" s="81"/>
      <c r="J84" s="81"/>
      <c r="K84" s="81"/>
      <c r="L84" s="81"/>
      <c r="M84" s="81"/>
      <c r="N84" s="81"/>
      <c r="O84" s="81"/>
      <c r="P84" s="81"/>
      <c r="Q84" s="81"/>
      <c r="R84" s="81"/>
      <c r="S84" s="81"/>
      <c r="T84" s="74">
        <v>70.3</v>
      </c>
      <c r="U84" s="74"/>
      <c r="V84" s="74"/>
      <c r="W84" s="12">
        <v>14.48</v>
      </c>
      <c r="X84" s="74"/>
      <c r="Y84" s="74" t="s">
        <v>209</v>
      </c>
      <c r="Z84" s="74"/>
      <c r="AA84" s="84">
        <v>2.64</v>
      </c>
      <c r="AB84" s="74"/>
      <c r="AC84" s="74"/>
      <c r="AD84" s="78">
        <f t="shared" si="0"/>
        <v>87.42</v>
      </c>
      <c r="AE84" s="79"/>
      <c r="AF84" s="77">
        <v>91.79</v>
      </c>
      <c r="AG84" s="77">
        <v>95.16</v>
      </c>
      <c r="AH84" s="77">
        <v>82.65</v>
      </c>
      <c r="AI84" s="77">
        <v>102.99199999999999</v>
      </c>
    </row>
    <row r="85" spans="1:35">
      <c r="A85" s="74"/>
      <c r="B85" s="74"/>
      <c r="C85" s="74">
        <v>1</v>
      </c>
      <c r="D85" s="74" t="s">
        <v>87</v>
      </c>
      <c r="E85" s="81"/>
      <c r="F85" s="81"/>
      <c r="G85" s="81"/>
      <c r="H85" s="81"/>
      <c r="I85" s="81"/>
      <c r="J85" s="81"/>
      <c r="K85" s="81"/>
      <c r="L85" s="81"/>
      <c r="M85" s="81"/>
      <c r="N85" s="81"/>
      <c r="O85" s="81"/>
      <c r="P85" s="81"/>
      <c r="Q85" s="81"/>
      <c r="R85" s="81"/>
      <c r="S85" s="81"/>
      <c r="T85" s="74">
        <v>77</v>
      </c>
      <c r="U85" s="74"/>
      <c r="V85" s="74"/>
      <c r="W85" s="74">
        <v>12.37</v>
      </c>
      <c r="X85" s="74"/>
      <c r="Y85" s="74"/>
      <c r="Z85" s="74"/>
      <c r="AA85" s="84">
        <v>2.2200000000000002</v>
      </c>
      <c r="AB85" s="74"/>
      <c r="AC85" s="74"/>
      <c r="AD85" s="78">
        <f t="shared" si="0"/>
        <v>91.59</v>
      </c>
      <c r="AE85" s="79"/>
      <c r="AF85" s="77">
        <v>96.08</v>
      </c>
      <c r="AG85" s="77">
        <v>98.28</v>
      </c>
      <c r="AH85" s="77">
        <v>95.850000000000009</v>
      </c>
      <c r="AI85" s="77">
        <v>86.78</v>
      </c>
    </row>
    <row r="86" spans="1:35">
      <c r="A86" s="74"/>
      <c r="B86" s="74"/>
      <c r="C86" s="74">
        <v>1</v>
      </c>
      <c r="D86" s="74" t="s">
        <v>79</v>
      </c>
      <c r="E86" s="81"/>
      <c r="F86" s="81"/>
      <c r="G86" s="81"/>
      <c r="H86" s="81"/>
      <c r="I86" s="81"/>
      <c r="J86" s="81"/>
      <c r="K86" s="81"/>
      <c r="L86" s="81"/>
      <c r="M86" s="81"/>
      <c r="N86" s="81"/>
      <c r="O86" s="81"/>
      <c r="P86" s="81"/>
      <c r="Q86" s="81"/>
      <c r="R86" s="81"/>
      <c r="S86" s="81"/>
      <c r="T86" s="74">
        <v>67.5</v>
      </c>
      <c r="U86" s="74"/>
      <c r="V86" s="74"/>
      <c r="W86" s="74">
        <v>26.47</v>
      </c>
      <c r="X86" s="74"/>
      <c r="Y86" s="74"/>
      <c r="Z86" s="74"/>
      <c r="AA86" s="84">
        <v>2</v>
      </c>
      <c r="AB86" s="74"/>
      <c r="AC86" s="74"/>
      <c r="AD86" s="78">
        <f t="shared" si="0"/>
        <v>95.97</v>
      </c>
      <c r="AE86" s="79"/>
      <c r="AF86" s="77">
        <v>79.64</v>
      </c>
      <c r="AG86" s="77">
        <v>76.36999999999999</v>
      </c>
      <c r="AH86" s="77">
        <v>82.649999999999991</v>
      </c>
      <c r="AI86" s="77">
        <v>79.360000000000014</v>
      </c>
    </row>
    <row r="87" spans="1:35">
      <c r="A87" s="74"/>
      <c r="B87" s="74"/>
      <c r="C87" s="74">
        <v>1</v>
      </c>
      <c r="D87" s="74" t="s">
        <v>88</v>
      </c>
      <c r="E87" s="81"/>
      <c r="F87" s="81"/>
      <c r="G87" s="81"/>
      <c r="H87" s="81"/>
      <c r="I87" s="81"/>
      <c r="J87" s="81"/>
      <c r="K87" s="81"/>
      <c r="L87" s="81"/>
      <c r="M87" s="81"/>
      <c r="N87" s="81"/>
      <c r="O87" s="81"/>
      <c r="P87" s="81"/>
      <c r="Q87" s="81"/>
      <c r="R87" s="81"/>
      <c r="S87" s="81"/>
      <c r="T87" s="74">
        <v>71</v>
      </c>
      <c r="U87" s="74">
        <f>AVERAGE(T83:T87)</f>
        <v>73.86</v>
      </c>
      <c r="V87" s="74"/>
      <c r="W87" s="74">
        <v>4.6100000000000003</v>
      </c>
      <c r="X87" s="74">
        <f>AVERAGE(W83:W87)</f>
        <v>14.482666666666665</v>
      </c>
      <c r="Y87" s="74"/>
      <c r="Z87" s="74"/>
      <c r="AA87" s="84">
        <v>4.01</v>
      </c>
      <c r="AB87" s="74">
        <f>AVERAGE(AA83:AA87)</f>
        <v>2.7480000000000002</v>
      </c>
      <c r="AC87" s="74"/>
      <c r="AD87" s="78">
        <f t="shared" si="0"/>
        <v>79.62</v>
      </c>
      <c r="AE87" s="79"/>
      <c r="AF87" s="79"/>
      <c r="AG87" s="79"/>
      <c r="AH87" s="79"/>
      <c r="AI87" s="79"/>
    </row>
    <row r="88" spans="1:35">
      <c r="A88" s="74"/>
      <c r="B88" s="74"/>
      <c r="C88" s="74">
        <v>2</v>
      </c>
      <c r="D88" s="74" t="s">
        <v>83</v>
      </c>
      <c r="E88" s="81"/>
      <c r="F88" s="81"/>
      <c r="G88" s="81"/>
      <c r="H88" s="81"/>
      <c r="I88" s="81"/>
      <c r="J88" s="81"/>
      <c r="K88" s="81"/>
      <c r="L88" s="81"/>
      <c r="M88" s="81"/>
      <c r="N88" s="81"/>
      <c r="O88" s="81"/>
      <c r="P88" s="81"/>
      <c r="Q88" s="81"/>
      <c r="R88" s="81"/>
      <c r="S88" s="81"/>
      <c r="T88" s="74">
        <v>79.599999999999994</v>
      </c>
      <c r="U88" s="74"/>
      <c r="V88" s="74"/>
      <c r="W88" s="102">
        <v>16.8</v>
      </c>
      <c r="X88" s="74"/>
      <c r="Y88" s="74"/>
      <c r="Z88" s="74"/>
      <c r="AA88" s="74">
        <v>3.16</v>
      </c>
      <c r="AB88" s="74"/>
      <c r="AC88" s="74"/>
      <c r="AD88" s="78">
        <f t="shared" si="0"/>
        <v>99.559999999999988</v>
      </c>
      <c r="AE88" s="79"/>
      <c r="AF88" s="79"/>
      <c r="AG88" s="79"/>
      <c r="AH88" s="79"/>
      <c r="AI88" s="79"/>
    </row>
    <row r="89" spans="1:35">
      <c r="A89" s="74"/>
      <c r="B89" s="74"/>
      <c r="C89" s="74">
        <v>2</v>
      </c>
      <c r="D89" s="74" t="s">
        <v>85</v>
      </c>
      <c r="E89" s="81"/>
      <c r="F89" s="81"/>
      <c r="G89" s="81"/>
      <c r="H89" s="81"/>
      <c r="I89" s="81"/>
      <c r="J89" s="81"/>
      <c r="K89" s="81"/>
      <c r="L89" s="81"/>
      <c r="M89" s="81"/>
      <c r="N89" s="81"/>
      <c r="O89" s="81"/>
      <c r="P89" s="81"/>
      <c r="Q89" s="81"/>
      <c r="R89" s="81"/>
      <c r="S89" s="81"/>
      <c r="T89" s="74">
        <v>96.6</v>
      </c>
      <c r="U89" s="74"/>
      <c r="V89" s="74"/>
      <c r="W89" s="74">
        <v>14.96</v>
      </c>
      <c r="X89" s="74"/>
      <c r="Y89" s="74"/>
      <c r="Z89" s="74"/>
      <c r="AA89" s="74">
        <v>3.81</v>
      </c>
      <c r="AB89" s="74"/>
      <c r="AC89" s="74"/>
      <c r="AD89" s="78">
        <f t="shared" si="0"/>
        <v>115.37</v>
      </c>
      <c r="AE89" s="79"/>
      <c r="AF89" s="79"/>
      <c r="AG89" s="79"/>
      <c r="AH89" s="79"/>
      <c r="AI89" s="79"/>
    </row>
    <row r="90" spans="1:35">
      <c r="A90" s="74"/>
      <c r="B90" s="74"/>
      <c r="C90" s="74">
        <v>2</v>
      </c>
      <c r="D90" s="74" t="s">
        <v>87</v>
      </c>
      <c r="E90" s="81"/>
      <c r="F90" s="81"/>
      <c r="G90" s="81"/>
      <c r="H90" s="81"/>
      <c r="I90" s="81"/>
      <c r="J90" s="81"/>
      <c r="K90" s="81"/>
      <c r="L90" s="81"/>
      <c r="M90" s="81"/>
      <c r="N90" s="81"/>
      <c r="O90" s="81"/>
      <c r="P90" s="81"/>
      <c r="Q90" s="81"/>
      <c r="R90" s="81"/>
      <c r="S90" s="81"/>
      <c r="T90" s="74">
        <v>73.2</v>
      </c>
      <c r="U90" s="74"/>
      <c r="V90" s="74"/>
      <c r="W90" s="74">
        <v>19.690000000000001</v>
      </c>
      <c r="X90" s="74"/>
      <c r="Y90" s="74"/>
      <c r="Z90" s="74"/>
      <c r="AA90" s="74">
        <v>2.27</v>
      </c>
      <c r="AB90" s="74"/>
      <c r="AC90" s="74"/>
      <c r="AD90" s="78">
        <f t="shared" si="0"/>
        <v>95.16</v>
      </c>
      <c r="AE90" s="79"/>
      <c r="AF90" s="79"/>
      <c r="AG90" s="79"/>
      <c r="AH90" s="79"/>
      <c r="AI90" s="79"/>
    </row>
    <row r="91" spans="1:35">
      <c r="A91" s="74"/>
      <c r="B91" s="74"/>
      <c r="C91" s="74">
        <v>2</v>
      </c>
      <c r="D91" s="74" t="s">
        <v>79</v>
      </c>
      <c r="E91" s="81"/>
      <c r="F91" s="81"/>
      <c r="G91" s="81"/>
      <c r="H91" s="81"/>
      <c r="I91" s="81"/>
      <c r="J91" s="81"/>
      <c r="K91" s="81"/>
      <c r="L91" s="81"/>
      <c r="M91" s="81"/>
      <c r="N91" s="81"/>
      <c r="O91" s="81"/>
      <c r="P91" s="81"/>
      <c r="Q91" s="81"/>
      <c r="R91" s="81"/>
      <c r="S91" s="81"/>
      <c r="T91" s="74">
        <v>67.900000000000006</v>
      </c>
      <c r="U91" s="74"/>
      <c r="V91" s="74"/>
      <c r="W91" s="102">
        <v>27.1</v>
      </c>
      <c r="X91" s="74"/>
      <c r="Y91" s="74"/>
      <c r="Z91" s="74"/>
      <c r="AA91" s="74">
        <v>3.28</v>
      </c>
      <c r="AB91" s="74"/>
      <c r="AC91" s="74"/>
      <c r="AD91" s="78">
        <f t="shared" si="0"/>
        <v>98.28</v>
      </c>
      <c r="AE91" s="79"/>
      <c r="AF91" s="79"/>
      <c r="AG91" s="79"/>
      <c r="AH91" s="79"/>
      <c r="AI91" s="79"/>
    </row>
    <row r="92" spans="1:35">
      <c r="A92" s="74"/>
      <c r="B92" s="74"/>
      <c r="C92" s="74">
        <v>2</v>
      </c>
      <c r="D92" s="74" t="s">
        <v>88</v>
      </c>
      <c r="E92" s="81"/>
      <c r="F92" s="81"/>
      <c r="G92" s="81"/>
      <c r="H92" s="81"/>
      <c r="I92" s="81"/>
      <c r="J92" s="81"/>
      <c r="K92" s="81"/>
      <c r="L92" s="81"/>
      <c r="M92" s="81"/>
      <c r="N92" s="81"/>
      <c r="O92" s="81"/>
      <c r="P92" s="81"/>
      <c r="Q92" s="81"/>
      <c r="R92" s="81"/>
      <c r="S92" s="81"/>
      <c r="T92" s="74">
        <v>65.099999999999994</v>
      </c>
      <c r="U92" s="74">
        <f>AVERAGE(T88:T92)</f>
        <v>76.47999999999999</v>
      </c>
      <c r="V92" s="74"/>
      <c r="W92" s="102">
        <v>9</v>
      </c>
      <c r="X92" s="102">
        <f>AVERAGE(W88:W92)</f>
        <v>17.510000000000002</v>
      </c>
      <c r="Y92" s="74"/>
      <c r="Z92" s="74"/>
      <c r="AA92" s="74">
        <v>2.27</v>
      </c>
      <c r="AB92" s="74">
        <f>AVERAGE(AA88:AA92)</f>
        <v>2.9579999999999997</v>
      </c>
      <c r="AC92" s="74"/>
      <c r="AD92" s="78">
        <f t="shared" si="0"/>
        <v>76.36999999999999</v>
      </c>
      <c r="AE92" s="79"/>
      <c r="AF92" s="79"/>
      <c r="AG92" s="79"/>
      <c r="AH92" s="79"/>
      <c r="AI92" s="79"/>
    </row>
    <row r="93" spans="1:35">
      <c r="A93" s="74"/>
      <c r="B93" s="74"/>
      <c r="C93" s="74">
        <v>3</v>
      </c>
      <c r="D93" s="74" t="s">
        <v>83</v>
      </c>
      <c r="E93" s="81"/>
      <c r="F93" s="81"/>
      <c r="G93" s="81"/>
      <c r="H93" s="81"/>
      <c r="I93" s="81"/>
      <c r="J93" s="81"/>
      <c r="K93" s="81"/>
      <c r="L93" s="81"/>
      <c r="M93" s="81"/>
      <c r="N93" s="81"/>
      <c r="O93" s="81"/>
      <c r="P93" s="81"/>
      <c r="Q93" s="81"/>
      <c r="R93" s="81"/>
      <c r="S93" s="81"/>
      <c r="T93" s="74">
        <v>50.9</v>
      </c>
      <c r="U93" s="74"/>
      <c r="V93" s="74"/>
      <c r="W93" s="74">
        <v>40.909999999999997</v>
      </c>
      <c r="X93" s="74"/>
      <c r="Y93" s="74"/>
      <c r="Z93" s="74"/>
      <c r="AA93" s="74">
        <v>3.1</v>
      </c>
      <c r="AB93" s="74"/>
      <c r="AC93" s="74"/>
      <c r="AD93" s="78">
        <f t="shared" si="0"/>
        <v>94.91</v>
      </c>
      <c r="AE93" s="79"/>
      <c r="AF93" s="79"/>
      <c r="AG93" s="79"/>
      <c r="AH93" s="79"/>
      <c r="AI93" s="79"/>
    </row>
    <row r="94" spans="1:35">
      <c r="A94" s="74"/>
      <c r="B94" s="74"/>
      <c r="C94" s="74">
        <v>3</v>
      </c>
      <c r="D94" s="74" t="s">
        <v>85</v>
      </c>
      <c r="E94" s="81"/>
      <c r="F94" s="81"/>
      <c r="G94" s="81"/>
      <c r="H94" s="81"/>
      <c r="I94" s="81"/>
      <c r="J94" s="81"/>
      <c r="K94" s="81"/>
      <c r="L94" s="81"/>
      <c r="M94" s="81"/>
      <c r="N94" s="81"/>
      <c r="O94" s="81"/>
      <c r="P94" s="81"/>
      <c r="Q94" s="81"/>
      <c r="R94" s="81"/>
      <c r="S94" s="81"/>
      <c r="T94" s="74">
        <v>60.1</v>
      </c>
      <c r="U94" s="74"/>
      <c r="V94" s="74"/>
      <c r="W94" s="74">
        <v>44.64</v>
      </c>
      <c r="X94" s="74"/>
      <c r="Y94" s="74"/>
      <c r="Z94" s="74"/>
      <c r="AA94" s="84">
        <v>2.4</v>
      </c>
      <c r="AB94" s="74"/>
      <c r="AC94" s="74"/>
      <c r="AD94" s="78">
        <f t="shared" si="0"/>
        <v>107.14000000000001</v>
      </c>
      <c r="AE94" s="79"/>
      <c r="AF94" s="79"/>
      <c r="AG94" s="79"/>
      <c r="AH94" s="79"/>
      <c r="AI94" s="79"/>
    </row>
    <row r="95" spans="1:35">
      <c r="A95" s="74"/>
      <c r="B95" s="74"/>
      <c r="C95" s="74">
        <v>3</v>
      </c>
      <c r="D95" s="74" t="s">
        <v>87</v>
      </c>
      <c r="E95" s="81"/>
      <c r="F95" s="81"/>
      <c r="G95" s="81"/>
      <c r="H95" s="81"/>
      <c r="I95" s="81"/>
      <c r="J95" s="81"/>
      <c r="K95" s="81"/>
      <c r="L95" s="81"/>
      <c r="M95" s="81"/>
      <c r="N95" s="81"/>
      <c r="O95" s="81"/>
      <c r="P95" s="81"/>
      <c r="Q95" s="81"/>
      <c r="R95" s="81"/>
      <c r="S95" s="81"/>
      <c r="T95" s="74">
        <v>57.5</v>
      </c>
      <c r="U95" s="74"/>
      <c r="V95" s="74"/>
      <c r="W95" s="74">
        <v>23.48</v>
      </c>
      <c r="X95" s="74"/>
      <c r="Y95" s="74"/>
      <c r="Z95" s="74"/>
      <c r="AA95" s="74">
        <v>1.67</v>
      </c>
      <c r="AB95" s="74"/>
      <c r="AC95" s="74"/>
      <c r="AD95" s="78">
        <f t="shared" si="0"/>
        <v>82.65</v>
      </c>
      <c r="AE95" s="79"/>
      <c r="AF95" s="79"/>
      <c r="AG95" s="79"/>
      <c r="AH95" s="79"/>
      <c r="AI95" s="79"/>
    </row>
    <row r="96" spans="1:35">
      <c r="A96" s="74"/>
      <c r="B96" s="74"/>
      <c r="C96" s="74">
        <v>3</v>
      </c>
      <c r="D96" s="74" t="s">
        <v>79</v>
      </c>
      <c r="E96" s="81"/>
      <c r="F96" s="81"/>
      <c r="G96" s="81"/>
      <c r="H96" s="81"/>
      <c r="I96" s="81"/>
      <c r="J96" s="81"/>
      <c r="K96" s="81"/>
      <c r="L96" s="81"/>
      <c r="M96" s="81"/>
      <c r="N96" s="81"/>
      <c r="O96" s="81"/>
      <c r="P96" s="81"/>
      <c r="Q96" s="81"/>
      <c r="R96" s="81"/>
      <c r="S96" s="81"/>
      <c r="T96" s="74">
        <v>62.5</v>
      </c>
      <c r="U96" s="74"/>
      <c r="V96" s="74"/>
      <c r="W96" s="74">
        <v>30.34</v>
      </c>
      <c r="X96" s="74"/>
      <c r="Y96" s="74"/>
      <c r="Z96" s="74"/>
      <c r="AA96" s="84">
        <v>2.8</v>
      </c>
      <c r="AB96" s="74"/>
      <c r="AC96" s="74"/>
      <c r="AD96" s="78">
        <f t="shared" si="0"/>
        <v>95.64</v>
      </c>
      <c r="AE96" s="79"/>
      <c r="AF96" s="79"/>
      <c r="AG96" s="79"/>
      <c r="AH96" s="79"/>
      <c r="AI96" s="79"/>
    </row>
    <row r="97" spans="1:35">
      <c r="A97" s="74"/>
      <c r="B97" s="74"/>
      <c r="C97" s="74">
        <v>3</v>
      </c>
      <c r="D97" s="74" t="s">
        <v>88</v>
      </c>
      <c r="E97" s="81"/>
      <c r="F97" s="81"/>
      <c r="G97" s="81"/>
      <c r="H97" s="81"/>
      <c r="I97" s="81"/>
      <c r="J97" s="81"/>
      <c r="K97" s="81"/>
      <c r="L97" s="81"/>
      <c r="M97" s="81"/>
      <c r="N97" s="81"/>
      <c r="O97" s="81"/>
      <c r="P97" s="81"/>
      <c r="Q97" s="81"/>
      <c r="R97" s="81"/>
      <c r="S97" s="81"/>
      <c r="T97" s="74">
        <v>49.5</v>
      </c>
      <c r="U97" s="74">
        <f>AVERAGE(T93:T97)</f>
        <v>56.1</v>
      </c>
      <c r="V97" s="74"/>
      <c r="W97" s="74">
        <v>31.52</v>
      </c>
      <c r="X97" s="74">
        <f>AVERAGE(W93:W97)</f>
        <v>34.178000000000004</v>
      </c>
      <c r="Y97" s="74"/>
      <c r="Z97" s="74"/>
      <c r="AA97" s="84">
        <v>1.56</v>
      </c>
      <c r="AB97" s="74">
        <f>AVERAGE(AA93:AA97)</f>
        <v>2.306</v>
      </c>
      <c r="AC97" s="74"/>
      <c r="AD97" s="78">
        <f t="shared" si="0"/>
        <v>82.58</v>
      </c>
      <c r="AE97" s="79"/>
      <c r="AF97" s="79"/>
      <c r="AG97" s="79"/>
      <c r="AH97" s="79"/>
      <c r="AI97" s="79"/>
    </row>
    <row r="98" spans="1:35">
      <c r="A98" s="74"/>
      <c r="B98" s="74"/>
      <c r="C98" s="74">
        <v>4</v>
      </c>
      <c r="D98" s="74" t="s">
        <v>83</v>
      </c>
      <c r="E98" s="81"/>
      <c r="F98" s="81"/>
      <c r="G98" s="81"/>
      <c r="H98" s="81"/>
      <c r="I98" s="81"/>
      <c r="J98" s="81"/>
      <c r="K98" s="81"/>
      <c r="L98" s="81"/>
      <c r="M98" s="81"/>
      <c r="N98" s="81"/>
      <c r="O98" s="81"/>
      <c r="P98" s="81"/>
      <c r="Q98" s="81"/>
      <c r="R98" s="81"/>
      <c r="S98" s="81"/>
      <c r="T98" s="74">
        <v>95.6</v>
      </c>
      <c r="U98" s="74"/>
      <c r="V98" s="74"/>
      <c r="W98" s="102">
        <v>41.9</v>
      </c>
      <c r="X98" s="74"/>
      <c r="Y98" s="74"/>
      <c r="Z98" s="74"/>
      <c r="AA98" s="84">
        <v>3.73</v>
      </c>
      <c r="AB98" s="74"/>
      <c r="AC98" s="74"/>
      <c r="AD98" s="78">
        <f t="shared" si="0"/>
        <v>141.22999999999999</v>
      </c>
      <c r="AE98" s="79"/>
      <c r="AF98" s="79"/>
      <c r="AG98" s="79"/>
      <c r="AH98" s="79"/>
      <c r="AI98" s="79"/>
    </row>
    <row r="99" spans="1:35">
      <c r="A99" s="74"/>
      <c r="B99" s="74"/>
      <c r="C99" s="74">
        <v>4</v>
      </c>
      <c r="D99" s="74" t="s">
        <v>85</v>
      </c>
      <c r="E99" s="81"/>
      <c r="F99" s="81"/>
      <c r="G99" s="81"/>
      <c r="H99" s="81"/>
      <c r="I99" s="81"/>
      <c r="J99" s="81"/>
      <c r="K99" s="81"/>
      <c r="L99" s="81"/>
      <c r="M99" s="81"/>
      <c r="N99" s="81"/>
      <c r="O99" s="81"/>
      <c r="P99" s="81"/>
      <c r="Q99" s="81"/>
      <c r="R99" s="81"/>
      <c r="S99" s="81"/>
      <c r="T99" s="74">
        <v>80.099999999999994</v>
      </c>
      <c r="U99" s="74"/>
      <c r="V99" s="74"/>
      <c r="W99" s="74">
        <v>10.029999999999999</v>
      </c>
      <c r="X99" s="74"/>
      <c r="Y99" s="74"/>
      <c r="Z99" s="74"/>
      <c r="AA99" s="74">
        <v>1.72</v>
      </c>
      <c r="AB99" s="74"/>
      <c r="AC99" s="74"/>
      <c r="AD99" s="78">
        <f t="shared" si="0"/>
        <v>91.85</v>
      </c>
      <c r="AE99" s="79"/>
      <c r="AF99" s="79"/>
      <c r="AG99" s="79"/>
      <c r="AH99" s="79"/>
      <c r="AI99" s="79"/>
    </row>
    <row r="100" spans="1:35">
      <c r="A100" s="74"/>
      <c r="B100" s="74"/>
      <c r="C100" s="74">
        <v>4</v>
      </c>
      <c r="D100" s="74" t="s">
        <v>87</v>
      </c>
      <c r="E100" s="81"/>
      <c r="F100" s="81"/>
      <c r="G100" s="81"/>
      <c r="H100" s="81"/>
      <c r="I100" s="81"/>
      <c r="J100" s="81"/>
      <c r="K100" s="81"/>
      <c r="L100" s="81"/>
      <c r="M100" s="81"/>
      <c r="N100" s="81"/>
      <c r="O100" s="81"/>
      <c r="P100" s="81"/>
      <c r="Q100" s="81"/>
      <c r="R100" s="81"/>
      <c r="S100" s="81"/>
      <c r="T100" s="74">
        <v>77.8</v>
      </c>
      <c r="U100" s="74"/>
      <c r="V100" s="74"/>
      <c r="W100" s="106">
        <f>AVERAGE(W98,W99,W101,W101,W102)</f>
        <v>23.002000000000002</v>
      </c>
      <c r="X100" s="74"/>
      <c r="Y100" s="74" t="s">
        <v>211</v>
      </c>
      <c r="Z100" s="74"/>
      <c r="AA100" s="84">
        <v>2.4900000000000002</v>
      </c>
      <c r="AB100" s="74"/>
      <c r="AC100" s="74"/>
      <c r="AD100" s="78">
        <f t="shared" si="0"/>
        <v>103.29199999999999</v>
      </c>
      <c r="AE100" s="79"/>
      <c r="AF100" s="79"/>
      <c r="AG100" s="79"/>
      <c r="AH100" s="79"/>
      <c r="AI100" s="79"/>
    </row>
    <row r="101" spans="1:35">
      <c r="A101" s="74"/>
      <c r="B101" s="74"/>
      <c r="C101" s="74">
        <v>4</v>
      </c>
      <c r="D101" s="74" t="s">
        <v>79</v>
      </c>
      <c r="E101" s="81"/>
      <c r="F101" s="81"/>
      <c r="G101" s="81"/>
      <c r="H101" s="81"/>
      <c r="I101" s="81"/>
      <c r="J101" s="81"/>
      <c r="K101" s="81"/>
      <c r="L101" s="81"/>
      <c r="M101" s="81"/>
      <c r="N101" s="81"/>
      <c r="O101" s="81"/>
      <c r="P101" s="81"/>
      <c r="Q101" s="81"/>
      <c r="R101" s="81"/>
      <c r="S101" s="81"/>
      <c r="T101" s="74">
        <v>59.6</v>
      </c>
      <c r="U101" s="74"/>
      <c r="V101" s="74"/>
      <c r="W101" s="12">
        <v>23</v>
      </c>
      <c r="X101" s="74"/>
      <c r="Y101" s="74" t="s">
        <v>212</v>
      </c>
      <c r="Z101" s="74"/>
      <c r="AA101" s="84">
        <v>4.0999999999999996</v>
      </c>
      <c r="AB101" s="74"/>
      <c r="AC101" s="74"/>
      <c r="AD101" s="78">
        <f t="shared" si="0"/>
        <v>86.699999999999989</v>
      </c>
      <c r="AE101" s="79"/>
      <c r="AF101" s="77" t="s">
        <v>92</v>
      </c>
      <c r="AG101" s="77" t="s">
        <v>91</v>
      </c>
      <c r="AH101" s="77" t="s">
        <v>93</v>
      </c>
      <c r="AI101" s="77" t="s">
        <v>90</v>
      </c>
    </row>
    <row r="102" spans="1:35">
      <c r="A102" s="74"/>
      <c r="B102" s="74"/>
      <c r="C102" s="74">
        <v>4</v>
      </c>
      <c r="D102" s="74" t="s">
        <v>88</v>
      </c>
      <c r="E102" s="81"/>
      <c r="F102" s="81"/>
      <c r="G102" s="81"/>
      <c r="H102" s="81"/>
      <c r="I102" s="81"/>
      <c r="J102" s="81"/>
      <c r="K102" s="81"/>
      <c r="L102" s="81"/>
      <c r="M102" s="81"/>
      <c r="N102" s="81"/>
      <c r="O102" s="81"/>
      <c r="P102" s="81"/>
      <c r="Q102" s="81"/>
      <c r="R102" s="81"/>
      <c r="S102" s="81"/>
      <c r="T102" s="74">
        <v>60.1</v>
      </c>
      <c r="U102" s="74">
        <f>AVERAGE(T98:T102)</f>
        <v>74.640000000000015</v>
      </c>
      <c r="V102" s="74"/>
      <c r="W102" s="102">
        <v>17.079999999999998</v>
      </c>
      <c r="X102" s="102">
        <f>AVERAGE(W98:W102)</f>
        <v>23.002400000000002</v>
      </c>
      <c r="Y102" s="74"/>
      <c r="Z102" s="74"/>
      <c r="AA102" s="84">
        <v>2.11</v>
      </c>
      <c r="AB102" s="74">
        <f>AVERAGE(AA98:AA102)</f>
        <v>2.8299999999999996</v>
      </c>
      <c r="AC102" s="74"/>
      <c r="AD102" s="78">
        <f t="shared" si="0"/>
        <v>79.290000000000006</v>
      </c>
      <c r="AE102" s="79"/>
      <c r="AF102" s="77">
        <v>65.09</v>
      </c>
      <c r="AG102" s="77">
        <v>95.38</v>
      </c>
      <c r="AH102" s="77">
        <v>64.05</v>
      </c>
      <c r="AI102" s="77">
        <v>105.94000000000001</v>
      </c>
    </row>
    <row r="103" spans="1:35">
      <c r="A103" s="74" t="s">
        <v>78</v>
      </c>
      <c r="B103" s="74" t="s">
        <v>104</v>
      </c>
      <c r="C103" s="74">
        <v>1</v>
      </c>
      <c r="D103" s="74" t="s">
        <v>83</v>
      </c>
      <c r="E103" s="81"/>
      <c r="F103" s="81"/>
      <c r="G103" s="81"/>
      <c r="H103" s="81"/>
      <c r="I103" s="81"/>
      <c r="J103" s="81"/>
      <c r="K103" s="81"/>
      <c r="L103" s="81"/>
      <c r="M103" s="81"/>
      <c r="N103" s="81"/>
      <c r="O103" s="81"/>
      <c r="P103" s="81"/>
      <c r="Q103" s="81"/>
      <c r="R103" s="81"/>
      <c r="S103" s="81"/>
      <c r="T103" s="74">
        <v>63.3</v>
      </c>
      <c r="U103" s="74"/>
      <c r="V103" s="74"/>
      <c r="W103" s="102">
        <v>1.18</v>
      </c>
      <c r="X103" s="74"/>
      <c r="Y103" s="74"/>
      <c r="Z103" s="74"/>
      <c r="AA103" s="74">
        <v>0.61</v>
      </c>
      <c r="AB103" s="74"/>
      <c r="AC103" s="74"/>
      <c r="AD103" s="78">
        <f t="shared" si="0"/>
        <v>65.09</v>
      </c>
      <c r="AE103" s="79"/>
      <c r="AF103" s="77">
        <v>115.8</v>
      </c>
      <c r="AG103" s="77">
        <v>108.55000000000001</v>
      </c>
      <c r="AH103" s="77">
        <v>104.18999999999998</v>
      </c>
      <c r="AI103" s="77">
        <v>92.28</v>
      </c>
    </row>
    <row r="104" spans="1:35">
      <c r="A104" s="74"/>
      <c r="B104" s="74"/>
      <c r="C104" s="74">
        <v>1</v>
      </c>
      <c r="D104" s="74" t="s">
        <v>85</v>
      </c>
      <c r="E104" s="81"/>
      <c r="F104" s="81"/>
      <c r="G104" s="81"/>
      <c r="H104" s="81"/>
      <c r="I104" s="81"/>
      <c r="J104" s="81"/>
      <c r="K104" s="81"/>
      <c r="L104" s="81"/>
      <c r="M104" s="81"/>
      <c r="N104" s="81"/>
      <c r="O104" s="81"/>
      <c r="P104" s="81"/>
      <c r="Q104" s="81"/>
      <c r="R104" s="81"/>
      <c r="S104" s="81"/>
      <c r="T104" s="74">
        <v>93.5</v>
      </c>
      <c r="U104" s="74"/>
      <c r="V104" s="74"/>
      <c r="W104" s="102">
        <v>19.7</v>
      </c>
      <c r="X104" s="74"/>
      <c r="Y104" s="74"/>
      <c r="Z104" s="74"/>
      <c r="AA104" s="74">
        <v>2.6</v>
      </c>
      <c r="AB104" s="74"/>
      <c r="AC104" s="74"/>
      <c r="AD104" s="78">
        <f t="shared" si="0"/>
        <v>115.8</v>
      </c>
      <c r="AE104" s="79"/>
      <c r="AF104" s="77">
        <v>77.09</v>
      </c>
      <c r="AG104" s="77">
        <v>109.86</v>
      </c>
      <c r="AH104" s="77">
        <v>90.61999999999999</v>
      </c>
      <c r="AI104" s="77">
        <v>75.350000000000009</v>
      </c>
    </row>
    <row r="105" spans="1:35">
      <c r="A105" s="74"/>
      <c r="B105" s="74"/>
      <c r="C105" s="74">
        <v>1</v>
      </c>
      <c r="D105" s="74" t="s">
        <v>87</v>
      </c>
      <c r="E105" s="81"/>
      <c r="F105" s="81"/>
      <c r="G105" s="81"/>
      <c r="H105" s="81"/>
      <c r="I105" s="81"/>
      <c r="J105" s="81"/>
      <c r="K105" s="81"/>
      <c r="L105" s="81"/>
      <c r="M105" s="81"/>
      <c r="N105" s="81"/>
      <c r="O105" s="81"/>
      <c r="P105" s="81"/>
      <c r="Q105" s="81"/>
      <c r="R105" s="81"/>
      <c r="S105" s="81"/>
      <c r="T105" s="74">
        <v>69.5</v>
      </c>
      <c r="U105" s="74"/>
      <c r="V105" s="74"/>
      <c r="W105" s="102">
        <v>4.2</v>
      </c>
      <c r="X105" s="74"/>
      <c r="Y105" s="74"/>
      <c r="Z105" s="74"/>
      <c r="AA105" s="74">
        <v>3.39</v>
      </c>
      <c r="AB105" s="74"/>
      <c r="AC105" s="74"/>
      <c r="AD105" s="78">
        <f t="shared" si="0"/>
        <v>77.09</v>
      </c>
      <c r="AE105" s="79"/>
      <c r="AF105" s="77">
        <v>126.35</v>
      </c>
      <c r="AG105" s="77">
        <v>69.790000000000006</v>
      </c>
      <c r="AH105" s="77">
        <v>91.99</v>
      </c>
      <c r="AI105" s="77">
        <v>83.06</v>
      </c>
    </row>
    <row r="106" spans="1:35">
      <c r="A106" s="74"/>
      <c r="B106" s="74"/>
      <c r="C106" s="74">
        <v>1</v>
      </c>
      <c r="D106" s="74" t="s">
        <v>79</v>
      </c>
      <c r="E106" s="81"/>
      <c r="F106" s="81"/>
      <c r="G106" s="81"/>
      <c r="H106" s="81"/>
      <c r="I106" s="81"/>
      <c r="J106" s="81"/>
      <c r="K106" s="81"/>
      <c r="L106" s="81"/>
      <c r="M106" s="81"/>
      <c r="N106" s="81"/>
      <c r="O106" s="81"/>
      <c r="P106" s="81"/>
      <c r="Q106" s="81"/>
      <c r="R106" s="81"/>
      <c r="S106" s="81"/>
      <c r="T106" s="74">
        <v>75.900000000000006</v>
      </c>
      <c r="U106" s="74"/>
      <c r="V106" s="74"/>
      <c r="W106" s="102">
        <v>44.73</v>
      </c>
      <c r="X106" s="74"/>
      <c r="Y106" s="74"/>
      <c r="Z106" s="74"/>
      <c r="AA106" s="74">
        <v>5.72</v>
      </c>
      <c r="AB106" s="74"/>
      <c r="AC106" s="74"/>
      <c r="AD106" s="78">
        <f t="shared" si="0"/>
        <v>126.35</v>
      </c>
      <c r="AE106" s="79"/>
      <c r="AF106" s="77">
        <v>85.260000000000019</v>
      </c>
      <c r="AG106" s="77">
        <v>80.850000000000009</v>
      </c>
      <c r="AH106" s="77">
        <v>98.88</v>
      </c>
      <c r="AI106" s="77">
        <v>79.55</v>
      </c>
    </row>
    <row r="107" spans="1:35">
      <c r="A107" s="74"/>
      <c r="B107" s="74"/>
      <c r="C107" s="74">
        <v>1</v>
      </c>
      <c r="D107" s="74" t="s">
        <v>88</v>
      </c>
      <c r="E107" s="81"/>
      <c r="F107" s="81"/>
      <c r="G107" s="81"/>
      <c r="H107" s="81"/>
      <c r="I107" s="81"/>
      <c r="J107" s="81"/>
      <c r="K107" s="81"/>
      <c r="L107" s="81"/>
      <c r="M107" s="81"/>
      <c r="N107" s="81"/>
      <c r="O107" s="81"/>
      <c r="P107" s="81"/>
      <c r="Q107" s="81"/>
      <c r="R107" s="81"/>
      <c r="S107" s="81"/>
      <c r="T107" s="12">
        <f>AVERAGE(T103:T106)</f>
        <v>75.550000000000011</v>
      </c>
      <c r="U107" s="74">
        <f>AVERAGE(T103:T107)</f>
        <v>75.550000000000011</v>
      </c>
      <c r="V107" s="74"/>
      <c r="W107" s="102">
        <v>7.59</v>
      </c>
      <c r="X107" s="102">
        <f>AVERAGE(W103:W107)</f>
        <v>15.48</v>
      </c>
      <c r="Y107" s="74"/>
      <c r="Z107" s="74"/>
      <c r="AA107" s="74">
        <v>2.12</v>
      </c>
      <c r="AB107" s="74">
        <f>AVERAGE(AA103:AA107)</f>
        <v>2.8880000000000003</v>
      </c>
      <c r="AC107" s="74"/>
      <c r="AD107" s="78">
        <f t="shared" si="0"/>
        <v>85.260000000000019</v>
      </c>
      <c r="AE107" s="79"/>
      <c r="AF107" s="79"/>
      <c r="AG107" s="79"/>
      <c r="AH107" s="79"/>
      <c r="AI107" s="79"/>
    </row>
    <row r="108" spans="1:35">
      <c r="A108" s="74"/>
      <c r="B108" s="74"/>
      <c r="C108" s="74">
        <v>2</v>
      </c>
      <c r="D108" s="74" t="s">
        <v>83</v>
      </c>
      <c r="E108" s="81"/>
      <c r="F108" s="81"/>
      <c r="G108" s="81"/>
      <c r="H108" s="81"/>
      <c r="I108" s="81"/>
      <c r="J108" s="81"/>
      <c r="K108" s="81"/>
      <c r="L108" s="81"/>
      <c r="M108" s="81"/>
      <c r="N108" s="81"/>
      <c r="O108" s="81"/>
      <c r="P108" s="81"/>
      <c r="Q108" s="81"/>
      <c r="R108" s="81"/>
      <c r="S108" s="81"/>
      <c r="T108" s="74">
        <v>77</v>
      </c>
      <c r="U108" s="74"/>
      <c r="V108" s="74"/>
      <c r="W108" s="102">
        <v>16.32</v>
      </c>
      <c r="X108" s="74"/>
      <c r="Y108" s="74"/>
      <c r="Z108" s="74"/>
      <c r="AA108" s="84">
        <v>2.2000000000000002</v>
      </c>
      <c r="AB108" s="74"/>
      <c r="AC108" s="74"/>
      <c r="AD108" s="78">
        <f t="shared" si="0"/>
        <v>95.52</v>
      </c>
      <c r="AE108" s="79"/>
      <c r="AF108" s="79"/>
      <c r="AG108" s="79"/>
      <c r="AH108" s="79"/>
      <c r="AI108" s="79"/>
    </row>
    <row r="109" spans="1:35">
      <c r="A109" s="74"/>
      <c r="B109" s="74"/>
      <c r="C109" s="74">
        <v>2</v>
      </c>
      <c r="D109" s="74" t="s">
        <v>85</v>
      </c>
      <c r="E109" s="81"/>
      <c r="F109" s="81"/>
      <c r="G109" s="81"/>
      <c r="H109" s="81"/>
      <c r="I109" s="81"/>
      <c r="J109" s="81"/>
      <c r="K109" s="81"/>
      <c r="L109" s="81"/>
      <c r="M109" s="81"/>
      <c r="N109" s="81"/>
      <c r="O109" s="81"/>
      <c r="P109" s="81"/>
      <c r="Q109" s="81"/>
      <c r="R109" s="81"/>
      <c r="S109" s="81"/>
      <c r="T109" s="74">
        <v>85.2</v>
      </c>
      <c r="U109" s="74"/>
      <c r="V109" s="74"/>
      <c r="W109" s="102">
        <v>20.84</v>
      </c>
      <c r="X109" s="74"/>
      <c r="Y109" s="74"/>
      <c r="Z109" s="74"/>
      <c r="AA109" s="84">
        <v>2.33</v>
      </c>
      <c r="AB109" s="74"/>
      <c r="AC109" s="74"/>
      <c r="AD109" s="78">
        <f t="shared" si="0"/>
        <v>108.37</v>
      </c>
      <c r="AE109" s="79"/>
      <c r="AF109" s="79"/>
      <c r="AG109" s="79"/>
      <c r="AH109" s="79"/>
      <c r="AI109" s="79"/>
    </row>
    <row r="110" spans="1:35">
      <c r="A110" s="74"/>
      <c r="B110" s="74"/>
      <c r="C110" s="74">
        <v>2</v>
      </c>
      <c r="D110" s="74" t="s">
        <v>87</v>
      </c>
      <c r="E110" s="81"/>
      <c r="F110" s="81"/>
      <c r="G110" s="81"/>
      <c r="H110" s="81"/>
      <c r="I110" s="81"/>
      <c r="J110" s="81"/>
      <c r="K110" s="81"/>
      <c r="L110" s="81"/>
      <c r="M110" s="81"/>
      <c r="N110" s="81"/>
      <c r="O110" s="81"/>
      <c r="P110" s="81"/>
      <c r="Q110" s="81"/>
      <c r="R110" s="81"/>
      <c r="S110" s="81"/>
      <c r="T110" s="74">
        <v>94.5</v>
      </c>
      <c r="U110" s="74"/>
      <c r="V110" s="74"/>
      <c r="W110" s="102">
        <v>11.64</v>
      </c>
      <c r="X110" s="74"/>
      <c r="Y110" s="74"/>
      <c r="Z110" s="74"/>
      <c r="AA110" s="74">
        <v>3.72</v>
      </c>
      <c r="AB110" s="74"/>
      <c r="AC110" s="74"/>
      <c r="AD110" s="78">
        <f t="shared" si="0"/>
        <v>109.86</v>
      </c>
      <c r="AE110" s="79"/>
      <c r="AF110" s="79"/>
      <c r="AG110" s="79"/>
      <c r="AH110" s="79"/>
      <c r="AI110" s="79"/>
    </row>
    <row r="111" spans="1:35">
      <c r="A111" s="74"/>
      <c r="B111" s="74"/>
      <c r="C111" s="74">
        <v>2</v>
      </c>
      <c r="D111" s="74" t="s">
        <v>79</v>
      </c>
      <c r="E111" s="81"/>
      <c r="F111" s="81"/>
      <c r="G111" s="81"/>
      <c r="H111" s="81"/>
      <c r="I111" s="81"/>
      <c r="J111" s="81"/>
      <c r="K111" s="81"/>
      <c r="L111" s="81"/>
      <c r="M111" s="81"/>
      <c r="N111" s="81"/>
      <c r="O111" s="81"/>
      <c r="P111" s="81"/>
      <c r="Q111" s="81"/>
      <c r="R111" s="81"/>
      <c r="S111" s="81"/>
      <c r="T111" s="74">
        <v>60.1</v>
      </c>
      <c r="U111" s="74"/>
      <c r="V111" s="74"/>
      <c r="W111" s="102">
        <v>8.69</v>
      </c>
      <c r="X111" s="74"/>
      <c r="Y111" s="74"/>
      <c r="Z111" s="74"/>
      <c r="AA111" s="74">
        <v>1</v>
      </c>
      <c r="AB111" s="74"/>
      <c r="AC111" s="74"/>
      <c r="AD111" s="78">
        <f t="shared" si="0"/>
        <v>69.790000000000006</v>
      </c>
      <c r="AE111" s="79"/>
      <c r="AF111" s="79"/>
      <c r="AG111" s="79"/>
      <c r="AH111" s="79"/>
      <c r="AI111" s="79"/>
    </row>
    <row r="112" spans="1:35">
      <c r="A112" s="74"/>
      <c r="B112" s="74"/>
      <c r="C112" s="74">
        <v>2</v>
      </c>
      <c r="D112" s="74" t="s">
        <v>88</v>
      </c>
      <c r="E112" s="81"/>
      <c r="F112" s="81"/>
      <c r="G112" s="81"/>
      <c r="H112" s="81"/>
      <c r="I112" s="81"/>
      <c r="J112" s="81"/>
      <c r="K112" s="81"/>
      <c r="L112" s="81"/>
      <c r="M112" s="81"/>
      <c r="N112" s="81"/>
      <c r="O112" s="81"/>
      <c r="P112" s="81"/>
      <c r="Q112" s="81"/>
      <c r="R112" s="81"/>
      <c r="S112" s="81"/>
      <c r="T112" s="74">
        <v>66.400000000000006</v>
      </c>
      <c r="U112" s="74">
        <f>AVERAGE(T108:T112)</f>
        <v>76.640000000000015</v>
      </c>
      <c r="V112" s="74"/>
      <c r="W112" s="102">
        <v>10.23</v>
      </c>
      <c r="X112" s="102">
        <f>AVERAGE(W108:W112)</f>
        <v>13.544</v>
      </c>
      <c r="Y112" s="74"/>
      <c r="Z112" s="74"/>
      <c r="AA112" s="84">
        <v>4.2</v>
      </c>
      <c r="AB112" s="74">
        <f>AVERAGE(AA108:AA112)</f>
        <v>2.69</v>
      </c>
      <c r="AC112" s="74"/>
      <c r="AD112" s="78">
        <f t="shared" si="0"/>
        <v>80.830000000000013</v>
      </c>
      <c r="AE112" s="79"/>
      <c r="AF112" s="79"/>
      <c r="AG112" s="79"/>
      <c r="AH112" s="79"/>
      <c r="AI112" s="79"/>
    </row>
    <row r="113" spans="1:35">
      <c r="A113" s="74"/>
      <c r="B113" s="74"/>
      <c r="C113" s="74">
        <v>3</v>
      </c>
      <c r="D113" s="74" t="s">
        <v>83</v>
      </c>
      <c r="E113" s="81"/>
      <c r="F113" s="81"/>
      <c r="G113" s="81"/>
      <c r="H113" s="81"/>
      <c r="I113" s="81"/>
      <c r="J113" s="81"/>
      <c r="K113" s="81"/>
      <c r="L113" s="81"/>
      <c r="M113" s="81"/>
      <c r="N113" s="81"/>
      <c r="O113" s="81"/>
      <c r="P113" s="81"/>
      <c r="Q113" s="81"/>
      <c r="R113" s="81"/>
      <c r="S113" s="81"/>
      <c r="T113" s="74">
        <v>43.6</v>
      </c>
      <c r="U113" s="74"/>
      <c r="V113" s="74"/>
      <c r="W113" s="102">
        <v>17.03</v>
      </c>
      <c r="X113" s="74"/>
      <c r="Y113" s="74"/>
      <c r="Z113" s="74"/>
      <c r="AA113" s="84">
        <v>3.15</v>
      </c>
      <c r="AB113" s="74"/>
      <c r="AC113" s="74"/>
      <c r="AD113" s="78">
        <f t="shared" si="0"/>
        <v>63.78</v>
      </c>
      <c r="AE113" s="79"/>
      <c r="AF113" s="79"/>
      <c r="AG113" s="79"/>
      <c r="AH113" s="79"/>
      <c r="AI113" s="79"/>
    </row>
    <row r="114" spans="1:35">
      <c r="A114" s="74"/>
      <c r="B114" s="74"/>
      <c r="C114" s="74">
        <v>3</v>
      </c>
      <c r="D114" s="74" t="s">
        <v>85</v>
      </c>
      <c r="E114" s="81"/>
      <c r="F114" s="81"/>
      <c r="G114" s="81"/>
      <c r="H114" s="81"/>
      <c r="I114" s="81"/>
      <c r="J114" s="81"/>
      <c r="K114" s="81"/>
      <c r="L114" s="81"/>
      <c r="M114" s="81"/>
      <c r="N114" s="81"/>
      <c r="O114" s="81"/>
      <c r="P114" s="81"/>
      <c r="Q114" s="81"/>
      <c r="R114" s="81"/>
      <c r="S114" s="81"/>
      <c r="T114" s="74">
        <v>67.599999999999994</v>
      </c>
      <c r="U114" s="74"/>
      <c r="V114" s="74"/>
      <c r="W114" s="102">
        <v>33.57</v>
      </c>
      <c r="X114" s="74"/>
      <c r="Y114" s="74"/>
      <c r="Z114" s="74"/>
      <c r="AA114" s="109">
        <v>2.92</v>
      </c>
      <c r="AB114" s="74"/>
      <c r="AC114" s="74"/>
      <c r="AD114" s="78">
        <f t="shared" si="0"/>
        <v>104.08999999999999</v>
      </c>
      <c r="AE114" s="79"/>
      <c r="AF114" s="79"/>
      <c r="AG114" s="79"/>
      <c r="AH114" s="79"/>
      <c r="AI114" s="79"/>
    </row>
    <row r="115" spans="1:35">
      <c r="A115" s="74"/>
      <c r="B115" s="74"/>
      <c r="C115" s="74">
        <v>3</v>
      </c>
      <c r="D115" s="74" t="s">
        <v>87</v>
      </c>
      <c r="E115" s="81"/>
      <c r="F115" s="81"/>
      <c r="G115" s="81"/>
      <c r="H115" s="81"/>
      <c r="I115" s="81"/>
      <c r="J115" s="81"/>
      <c r="K115" s="81"/>
      <c r="L115" s="81"/>
      <c r="M115" s="81"/>
      <c r="N115" s="81"/>
      <c r="O115" s="81"/>
      <c r="P115" s="81"/>
      <c r="Q115" s="81"/>
      <c r="R115" s="81"/>
      <c r="S115" s="81"/>
      <c r="T115" s="74">
        <v>73.2</v>
      </c>
      <c r="U115" s="74"/>
      <c r="V115" s="74"/>
      <c r="W115" s="102">
        <v>13.71</v>
      </c>
      <c r="X115" s="74"/>
      <c r="Y115" s="74"/>
      <c r="Z115" s="74"/>
      <c r="AA115" s="74">
        <v>3.71</v>
      </c>
      <c r="AB115" s="74"/>
      <c r="AC115" s="74"/>
      <c r="AD115" s="78">
        <f t="shared" si="0"/>
        <v>90.61999999999999</v>
      </c>
      <c r="AE115" s="79"/>
      <c r="AF115" s="79"/>
      <c r="AG115" s="79"/>
      <c r="AH115" s="79"/>
      <c r="AI115" s="79"/>
    </row>
    <row r="116" spans="1:35">
      <c r="A116" s="74"/>
      <c r="B116" s="74"/>
      <c r="C116" s="74">
        <v>3</v>
      </c>
      <c r="D116" s="74" t="s">
        <v>79</v>
      </c>
      <c r="E116" s="81"/>
      <c r="F116" s="81"/>
      <c r="G116" s="81"/>
      <c r="H116" s="81"/>
      <c r="I116" s="81"/>
      <c r="J116" s="81"/>
      <c r="K116" s="81"/>
      <c r="L116" s="81"/>
      <c r="M116" s="81"/>
      <c r="N116" s="81"/>
      <c r="O116" s="81"/>
      <c r="P116" s="81"/>
      <c r="Q116" s="81"/>
      <c r="R116" s="81"/>
      <c r="S116" s="81"/>
      <c r="T116" s="74">
        <v>77.599999999999994</v>
      </c>
      <c r="U116" s="74"/>
      <c r="V116" s="74"/>
      <c r="W116" s="102">
        <v>11.55</v>
      </c>
      <c r="X116" s="74"/>
      <c r="Y116" s="74"/>
      <c r="Z116" s="74"/>
      <c r="AA116" s="74">
        <v>2.84</v>
      </c>
      <c r="AB116" s="74"/>
      <c r="AC116" s="74"/>
      <c r="AD116" s="78">
        <f t="shared" si="0"/>
        <v>91.99</v>
      </c>
      <c r="AE116" s="79"/>
      <c r="AF116" s="79"/>
      <c r="AG116" s="79"/>
      <c r="AH116" s="79"/>
      <c r="AI116" s="79"/>
    </row>
    <row r="117" spans="1:35">
      <c r="A117" s="74"/>
      <c r="B117" s="74"/>
      <c r="C117" s="74">
        <v>3</v>
      </c>
      <c r="D117" s="74" t="s">
        <v>88</v>
      </c>
      <c r="E117" s="81"/>
      <c r="F117" s="81"/>
      <c r="G117" s="81"/>
      <c r="H117" s="81"/>
      <c r="I117" s="81"/>
      <c r="J117" s="81"/>
      <c r="K117" s="81"/>
      <c r="L117" s="81"/>
      <c r="M117" s="81"/>
      <c r="N117" s="81"/>
      <c r="O117" s="81"/>
      <c r="P117" s="81"/>
      <c r="Q117" s="81"/>
      <c r="R117" s="81"/>
      <c r="S117" s="81"/>
      <c r="T117" s="74">
        <v>79.3</v>
      </c>
      <c r="U117" s="74">
        <f>AVERAGE(T113:T117)</f>
        <v>68.260000000000005</v>
      </c>
      <c r="V117" s="74"/>
      <c r="W117" s="102">
        <v>15.4</v>
      </c>
      <c r="X117" s="102">
        <f>AVERAGE(W113:W117)</f>
        <v>18.252000000000002</v>
      </c>
      <c r="Y117" s="74"/>
      <c r="Z117" s="74"/>
      <c r="AA117" s="74">
        <v>4.18</v>
      </c>
      <c r="AB117" s="74">
        <f>AVERAGE(AA113:AA117)</f>
        <v>3.3600000000000003</v>
      </c>
      <c r="AC117" s="74"/>
      <c r="AD117" s="78">
        <f t="shared" si="0"/>
        <v>98.88</v>
      </c>
      <c r="AE117" s="79"/>
      <c r="AF117" s="79"/>
      <c r="AG117" s="79"/>
      <c r="AH117" s="79"/>
      <c r="AI117" s="79"/>
    </row>
    <row r="118" spans="1:35">
      <c r="A118" s="74"/>
      <c r="B118" s="74"/>
      <c r="C118" s="74">
        <v>4</v>
      </c>
      <c r="D118" s="74" t="s">
        <v>83</v>
      </c>
      <c r="E118" s="81"/>
      <c r="F118" s="81"/>
      <c r="G118" s="81"/>
      <c r="H118" s="81"/>
      <c r="I118" s="81"/>
      <c r="J118" s="81"/>
      <c r="K118" s="81"/>
      <c r="L118" s="81"/>
      <c r="M118" s="81"/>
      <c r="N118" s="81"/>
      <c r="O118" s="81"/>
      <c r="P118" s="81"/>
      <c r="Q118" s="81"/>
      <c r="R118" s="81"/>
      <c r="S118" s="81"/>
      <c r="T118" s="74">
        <v>58.6</v>
      </c>
      <c r="U118" s="74"/>
      <c r="V118" s="74"/>
      <c r="W118" s="102">
        <v>42.55</v>
      </c>
      <c r="X118" s="74"/>
      <c r="Y118" s="74"/>
      <c r="Z118" s="74"/>
      <c r="AA118" s="74">
        <v>4.79</v>
      </c>
      <c r="AB118" s="74"/>
      <c r="AC118" s="74"/>
      <c r="AD118" s="78">
        <f t="shared" si="0"/>
        <v>105.94000000000001</v>
      </c>
      <c r="AE118" s="79"/>
      <c r="AF118" s="79"/>
      <c r="AG118" s="79"/>
      <c r="AH118" s="79"/>
      <c r="AI118" s="79"/>
    </row>
    <row r="119" spans="1:35">
      <c r="A119" s="74"/>
      <c r="B119" s="74"/>
      <c r="C119" s="74">
        <v>4</v>
      </c>
      <c r="D119" s="74" t="s">
        <v>85</v>
      </c>
      <c r="E119" s="81"/>
      <c r="F119" s="81"/>
      <c r="G119" s="81"/>
      <c r="H119" s="81"/>
      <c r="I119" s="81"/>
      <c r="J119" s="81"/>
      <c r="K119" s="81"/>
      <c r="L119" s="81"/>
      <c r="M119" s="81"/>
      <c r="N119" s="81"/>
      <c r="O119" s="81"/>
      <c r="P119" s="81"/>
      <c r="Q119" s="81"/>
      <c r="R119" s="81"/>
      <c r="S119" s="81"/>
      <c r="T119" s="74">
        <v>50</v>
      </c>
      <c r="U119" s="74"/>
      <c r="V119" s="74"/>
      <c r="W119" s="102">
        <v>40.39</v>
      </c>
      <c r="X119" s="74"/>
      <c r="Y119" s="74"/>
      <c r="Z119" s="74"/>
      <c r="AA119" s="74">
        <v>1.89</v>
      </c>
      <c r="AB119" s="74"/>
      <c r="AC119" s="74"/>
      <c r="AD119" s="78">
        <f t="shared" si="0"/>
        <v>92.28</v>
      </c>
      <c r="AE119" s="79"/>
      <c r="AF119" s="77" t="s">
        <v>91</v>
      </c>
      <c r="AG119" s="77" t="s">
        <v>92</v>
      </c>
      <c r="AH119" s="77" t="s">
        <v>90</v>
      </c>
      <c r="AI119" s="77" t="s">
        <v>93</v>
      </c>
    </row>
    <row r="120" spans="1:35">
      <c r="A120" s="74"/>
      <c r="B120" s="74"/>
      <c r="C120" s="74">
        <v>4</v>
      </c>
      <c r="D120" s="74" t="s">
        <v>87</v>
      </c>
      <c r="E120" s="81"/>
      <c r="F120" s="81"/>
      <c r="G120" s="81"/>
      <c r="H120" s="81"/>
      <c r="I120" s="81"/>
      <c r="J120" s="81"/>
      <c r="K120" s="81"/>
      <c r="L120" s="81"/>
      <c r="M120" s="81"/>
      <c r="N120" s="81"/>
      <c r="O120" s="81"/>
      <c r="P120" s="81"/>
      <c r="Q120" s="81"/>
      <c r="R120" s="81"/>
      <c r="S120" s="81"/>
      <c r="T120" s="74">
        <v>62.2</v>
      </c>
      <c r="U120" s="74"/>
      <c r="V120" s="74"/>
      <c r="W120" s="102">
        <v>9.5299999999999994</v>
      </c>
      <c r="X120" s="74"/>
      <c r="Y120" s="74"/>
      <c r="Z120" s="74"/>
      <c r="AA120" s="84">
        <v>3.3</v>
      </c>
      <c r="AB120" s="74"/>
      <c r="AC120" s="74"/>
      <c r="AD120" s="78">
        <f t="shared" si="0"/>
        <v>75.03</v>
      </c>
      <c r="AE120" s="79"/>
      <c r="AF120" s="77">
        <v>107.48</v>
      </c>
      <c r="AG120" s="77">
        <v>95.339999999999989</v>
      </c>
      <c r="AH120" s="77">
        <v>99.87</v>
      </c>
      <c r="AI120" s="77">
        <v>90.429999999999993</v>
      </c>
    </row>
    <row r="121" spans="1:35">
      <c r="A121" s="74"/>
      <c r="B121" s="74"/>
      <c r="C121" s="74">
        <v>4</v>
      </c>
      <c r="D121" s="74" t="s">
        <v>79</v>
      </c>
      <c r="E121" s="81"/>
      <c r="F121" s="81"/>
      <c r="G121" s="81"/>
      <c r="H121" s="81"/>
      <c r="I121" s="81"/>
      <c r="J121" s="81"/>
      <c r="K121" s="81"/>
      <c r="L121" s="81"/>
      <c r="M121" s="81"/>
      <c r="N121" s="81"/>
      <c r="O121" s="81"/>
      <c r="P121" s="81"/>
      <c r="Q121" s="81"/>
      <c r="R121" s="81"/>
      <c r="S121" s="81"/>
      <c r="T121" s="74">
        <v>67.5</v>
      </c>
      <c r="U121" s="74"/>
      <c r="V121" s="74"/>
      <c r="W121" s="102">
        <v>13.28</v>
      </c>
      <c r="X121" s="74"/>
      <c r="Y121" s="74"/>
      <c r="Z121" s="74"/>
      <c r="AA121" s="74">
        <v>2.2799999999999998</v>
      </c>
      <c r="AB121" s="74"/>
      <c r="AC121" s="74"/>
      <c r="AD121" s="78">
        <f t="shared" si="0"/>
        <v>83.06</v>
      </c>
      <c r="AE121" s="79"/>
      <c r="AF121" s="77">
        <v>85.62</v>
      </c>
      <c r="AG121" s="77">
        <v>59.910000000000004</v>
      </c>
      <c r="AH121" s="77">
        <v>89.089999999999989</v>
      </c>
      <c r="AI121" s="77">
        <v>98.26</v>
      </c>
    </row>
    <row r="122" spans="1:35">
      <c r="A122" s="74"/>
      <c r="B122" s="74"/>
      <c r="C122" s="74">
        <v>4</v>
      </c>
      <c r="D122" s="74" t="s">
        <v>88</v>
      </c>
      <c r="E122" s="81"/>
      <c r="F122" s="81"/>
      <c r="G122" s="81"/>
      <c r="H122" s="81"/>
      <c r="I122" s="81"/>
      <c r="J122" s="81"/>
      <c r="K122" s="81"/>
      <c r="L122" s="81"/>
      <c r="M122" s="81"/>
      <c r="N122" s="81"/>
      <c r="O122" s="81"/>
      <c r="P122" s="81"/>
      <c r="Q122" s="81"/>
      <c r="R122" s="81"/>
      <c r="S122" s="81"/>
      <c r="T122" s="74">
        <v>59.7</v>
      </c>
      <c r="U122" s="74">
        <f>AVERAGE(T118:T122)</f>
        <v>59.6</v>
      </c>
      <c r="V122" s="74"/>
      <c r="W122" s="102">
        <v>17.27</v>
      </c>
      <c r="X122" s="102">
        <f>AVERAGE(W118:W122)</f>
        <v>24.603999999999999</v>
      </c>
      <c r="Y122" s="74"/>
      <c r="Z122" s="74"/>
      <c r="AA122" s="74">
        <v>2.58</v>
      </c>
      <c r="AB122" s="74">
        <f>AVERAGE(AA118:AA122)</f>
        <v>2.968</v>
      </c>
      <c r="AC122" s="74"/>
      <c r="AD122" s="78">
        <f t="shared" si="0"/>
        <v>79.55</v>
      </c>
      <c r="AE122" s="79"/>
      <c r="AF122" s="77">
        <v>94.87</v>
      </c>
      <c r="AG122" s="77">
        <v>83.149999999999991</v>
      </c>
      <c r="AH122" s="77">
        <v>85.05</v>
      </c>
      <c r="AI122" s="77">
        <v>90.65</v>
      </c>
    </row>
    <row r="123" spans="1:35">
      <c r="A123" s="74" t="s">
        <v>78</v>
      </c>
      <c r="B123" s="74" t="s">
        <v>105</v>
      </c>
      <c r="C123" s="74">
        <v>1</v>
      </c>
      <c r="D123" s="74" t="s">
        <v>83</v>
      </c>
      <c r="E123" s="81"/>
      <c r="F123" s="81"/>
      <c r="G123" s="81"/>
      <c r="H123" s="81"/>
      <c r="I123" s="81"/>
      <c r="J123" s="81"/>
      <c r="K123" s="81"/>
      <c r="L123" s="81"/>
      <c r="M123" s="81"/>
      <c r="N123" s="81"/>
      <c r="O123" s="81"/>
      <c r="P123" s="81"/>
      <c r="Q123" s="81"/>
      <c r="R123" s="81"/>
      <c r="S123" s="81"/>
      <c r="T123" s="74">
        <v>97.4</v>
      </c>
      <c r="U123" s="74"/>
      <c r="V123" s="74"/>
      <c r="W123" s="102">
        <v>7.46</v>
      </c>
      <c r="X123" s="74"/>
      <c r="Y123" s="74"/>
      <c r="Z123" s="74"/>
      <c r="AA123" s="74">
        <v>2.62</v>
      </c>
      <c r="AB123" s="74"/>
      <c r="AC123" s="74"/>
      <c r="AD123" s="78">
        <f t="shared" si="0"/>
        <v>107.48</v>
      </c>
      <c r="AE123" s="79"/>
      <c r="AF123" s="77">
        <v>110.81</v>
      </c>
      <c r="AG123" s="77">
        <v>86.08</v>
      </c>
      <c r="AH123" s="77">
        <v>89.89</v>
      </c>
      <c r="AI123" s="77">
        <v>80.86</v>
      </c>
    </row>
    <row r="124" spans="1:35">
      <c r="A124" s="74"/>
      <c r="B124" s="74"/>
      <c r="C124" s="74">
        <v>1</v>
      </c>
      <c r="D124" s="74" t="s">
        <v>85</v>
      </c>
      <c r="E124" s="81"/>
      <c r="F124" s="81"/>
      <c r="G124" s="81"/>
      <c r="H124" s="81"/>
      <c r="I124" s="81"/>
      <c r="J124" s="81"/>
      <c r="K124" s="81"/>
      <c r="L124" s="81"/>
      <c r="M124" s="81"/>
      <c r="N124" s="81"/>
      <c r="O124" s="81"/>
      <c r="P124" s="81"/>
      <c r="Q124" s="81"/>
      <c r="R124" s="81"/>
      <c r="S124" s="81"/>
      <c r="T124" s="74">
        <v>77.400000000000006</v>
      </c>
      <c r="U124" s="74"/>
      <c r="V124" s="74"/>
      <c r="W124" s="102">
        <v>5.09</v>
      </c>
      <c r="X124" s="74"/>
      <c r="Y124" s="74"/>
      <c r="Z124" s="74"/>
      <c r="AA124" s="84">
        <v>2.79</v>
      </c>
      <c r="AB124" s="74"/>
      <c r="AC124" s="74"/>
      <c r="AD124" s="78">
        <f t="shared" si="0"/>
        <v>85.280000000000015</v>
      </c>
      <c r="AE124" s="79"/>
      <c r="AF124" s="77">
        <v>79.760000000000005</v>
      </c>
      <c r="AG124" s="77">
        <v>91.01</v>
      </c>
      <c r="AH124" s="77">
        <v>98.67</v>
      </c>
      <c r="AI124" s="77">
        <v>159.93</v>
      </c>
    </row>
    <row r="125" spans="1:35">
      <c r="A125" s="74"/>
      <c r="B125" s="74"/>
      <c r="C125" s="74">
        <v>1</v>
      </c>
      <c r="D125" s="74" t="s">
        <v>87</v>
      </c>
      <c r="E125" s="81"/>
      <c r="F125" s="81"/>
      <c r="G125" s="81"/>
      <c r="H125" s="81"/>
      <c r="I125" s="81"/>
      <c r="J125" s="81"/>
      <c r="K125" s="81"/>
      <c r="L125" s="81"/>
      <c r="M125" s="81"/>
      <c r="N125" s="81"/>
      <c r="O125" s="81"/>
      <c r="P125" s="81"/>
      <c r="Q125" s="81"/>
      <c r="R125" s="81"/>
      <c r="S125" s="81"/>
      <c r="T125" s="74">
        <v>78.3</v>
      </c>
      <c r="U125" s="74"/>
      <c r="V125" s="74"/>
      <c r="W125" s="102">
        <v>13.87</v>
      </c>
      <c r="X125" s="74"/>
      <c r="Y125" s="74"/>
      <c r="Z125" s="74"/>
      <c r="AA125" s="74">
        <v>2.7</v>
      </c>
      <c r="AB125" s="74"/>
      <c r="AC125" s="74"/>
      <c r="AD125" s="78">
        <f t="shared" si="0"/>
        <v>94.87</v>
      </c>
      <c r="AE125" s="79"/>
      <c r="AF125" s="79"/>
      <c r="AG125" s="79"/>
      <c r="AH125" s="79"/>
      <c r="AI125" s="79"/>
    </row>
    <row r="126" spans="1:35">
      <c r="A126" s="74"/>
      <c r="B126" s="74"/>
      <c r="C126" s="74">
        <v>1</v>
      </c>
      <c r="D126" s="74" t="s">
        <v>79</v>
      </c>
      <c r="E126" s="81"/>
      <c r="F126" s="81"/>
      <c r="G126" s="81"/>
      <c r="H126" s="81"/>
      <c r="I126" s="81"/>
      <c r="J126" s="81"/>
      <c r="K126" s="81"/>
      <c r="L126" s="81"/>
      <c r="M126" s="81"/>
      <c r="N126" s="81"/>
      <c r="O126" s="81"/>
      <c r="P126" s="81"/>
      <c r="Q126" s="81"/>
      <c r="R126" s="81"/>
      <c r="S126" s="81"/>
      <c r="T126" s="74">
        <v>96.3</v>
      </c>
      <c r="U126" s="74"/>
      <c r="V126" s="74"/>
      <c r="W126" s="102">
        <v>11.47</v>
      </c>
      <c r="X126" s="74"/>
      <c r="Y126" s="74"/>
      <c r="Z126" s="74"/>
      <c r="AA126" s="84">
        <v>2.99</v>
      </c>
      <c r="AB126" s="74"/>
      <c r="AC126" s="74"/>
      <c r="AD126" s="78">
        <f t="shared" si="0"/>
        <v>110.75999999999999</v>
      </c>
      <c r="AE126" s="79"/>
      <c r="AF126" s="79"/>
      <c r="AG126" s="79"/>
      <c r="AH126" s="79"/>
      <c r="AI126" s="79"/>
    </row>
    <row r="127" spans="1:35">
      <c r="A127" s="74"/>
      <c r="B127" s="74"/>
      <c r="C127" s="74">
        <v>1</v>
      </c>
      <c r="D127" s="74" t="s">
        <v>88</v>
      </c>
      <c r="E127" s="81"/>
      <c r="F127" s="81"/>
      <c r="G127" s="81"/>
      <c r="H127" s="81"/>
      <c r="I127" s="81"/>
      <c r="J127" s="81"/>
      <c r="K127" s="81"/>
      <c r="L127" s="81"/>
      <c r="M127" s="81"/>
      <c r="N127" s="81"/>
      <c r="O127" s="81"/>
      <c r="P127" s="81"/>
      <c r="Q127" s="81"/>
      <c r="R127" s="81"/>
      <c r="S127" s="81"/>
      <c r="T127" s="74">
        <v>72.5</v>
      </c>
      <c r="U127" s="74">
        <f>AVERAGE(T123:T127)</f>
        <v>84.38000000000001</v>
      </c>
      <c r="V127" s="74"/>
      <c r="W127" s="102">
        <v>5.29</v>
      </c>
      <c r="X127" s="102">
        <f>AVERAGE(W123:W127)</f>
        <v>8.6359999999999992</v>
      </c>
      <c r="Y127" s="74"/>
      <c r="Z127" s="74"/>
      <c r="AA127" s="109">
        <v>1.91</v>
      </c>
      <c r="AB127" s="74">
        <f>AVERAGE(AA123:AA127)</f>
        <v>2.6019999999999999</v>
      </c>
      <c r="AC127" s="74"/>
      <c r="AD127" s="78">
        <f t="shared" si="0"/>
        <v>79.7</v>
      </c>
      <c r="AE127" s="79"/>
      <c r="AF127" s="79"/>
      <c r="AG127" s="79"/>
      <c r="AH127" s="79"/>
      <c r="AI127" s="79"/>
    </row>
    <row r="128" spans="1:35">
      <c r="A128" s="74"/>
      <c r="B128" s="74"/>
      <c r="C128" s="74">
        <v>2</v>
      </c>
      <c r="D128" s="74" t="s">
        <v>83</v>
      </c>
      <c r="E128" s="81"/>
      <c r="F128" s="81"/>
      <c r="G128" s="81"/>
      <c r="H128" s="81"/>
      <c r="I128" s="81"/>
      <c r="J128" s="81"/>
      <c r="K128" s="81"/>
      <c r="L128" s="81"/>
      <c r="M128" s="81"/>
      <c r="N128" s="81"/>
      <c r="O128" s="81"/>
      <c r="P128" s="81"/>
      <c r="Q128" s="81"/>
      <c r="R128" s="81"/>
      <c r="S128" s="81"/>
      <c r="T128" s="74">
        <v>77.5</v>
      </c>
      <c r="U128" s="74"/>
      <c r="V128" s="74"/>
      <c r="W128" s="102">
        <v>13.49</v>
      </c>
      <c r="X128" s="74"/>
      <c r="Y128" s="74"/>
      <c r="Z128" s="74"/>
      <c r="AA128" s="74">
        <v>4.3499999999999996</v>
      </c>
      <c r="AB128" s="74"/>
      <c r="AC128" s="74"/>
      <c r="AD128" s="78">
        <f t="shared" si="0"/>
        <v>95.339999999999989</v>
      </c>
      <c r="AE128" s="79"/>
      <c r="AF128" s="79"/>
      <c r="AG128" s="79"/>
      <c r="AH128" s="79"/>
      <c r="AI128" s="79"/>
    </row>
    <row r="129" spans="1:35">
      <c r="A129" s="74"/>
      <c r="B129" s="74"/>
      <c r="C129" s="74">
        <v>2</v>
      </c>
      <c r="D129" s="74" t="s">
        <v>85</v>
      </c>
      <c r="E129" s="81"/>
      <c r="F129" s="81"/>
      <c r="G129" s="81"/>
      <c r="H129" s="81"/>
      <c r="I129" s="81"/>
      <c r="J129" s="81"/>
      <c r="K129" s="81"/>
      <c r="L129" s="81"/>
      <c r="M129" s="81"/>
      <c r="N129" s="81"/>
      <c r="O129" s="81"/>
      <c r="P129" s="81"/>
      <c r="Q129" s="81"/>
      <c r="R129" s="81"/>
      <c r="S129" s="81"/>
      <c r="T129" s="74">
        <v>46.2</v>
      </c>
      <c r="U129" s="74"/>
      <c r="V129" s="74"/>
      <c r="W129" s="102">
        <v>10.74</v>
      </c>
      <c r="X129" s="74"/>
      <c r="Y129" s="74"/>
      <c r="Z129" s="74"/>
      <c r="AA129" s="74">
        <v>2.97</v>
      </c>
      <c r="AB129" s="74"/>
      <c r="AC129" s="74"/>
      <c r="AD129" s="78">
        <f t="shared" si="0"/>
        <v>59.910000000000004</v>
      </c>
      <c r="AE129" s="79"/>
      <c r="AF129" s="79"/>
      <c r="AG129" s="79"/>
      <c r="AH129" s="79"/>
      <c r="AI129" s="79"/>
    </row>
    <row r="130" spans="1:35">
      <c r="A130" s="74"/>
      <c r="B130" s="74"/>
      <c r="C130" s="74">
        <v>2</v>
      </c>
      <c r="D130" s="74" t="s">
        <v>87</v>
      </c>
      <c r="E130" s="81"/>
      <c r="F130" s="81"/>
      <c r="G130" s="81"/>
      <c r="H130" s="81"/>
      <c r="I130" s="81"/>
      <c r="J130" s="81"/>
      <c r="K130" s="81"/>
      <c r="L130" s="81"/>
      <c r="M130" s="81"/>
      <c r="N130" s="81"/>
      <c r="O130" s="81"/>
      <c r="P130" s="81"/>
      <c r="Q130" s="81"/>
      <c r="R130" s="81"/>
      <c r="S130" s="81"/>
      <c r="T130" s="74">
        <v>69.5</v>
      </c>
      <c r="U130" s="74"/>
      <c r="V130" s="74"/>
      <c r="W130" s="102">
        <v>11.52</v>
      </c>
      <c r="X130" s="74"/>
      <c r="Y130" s="74"/>
      <c r="Z130" s="74"/>
      <c r="AA130" s="74">
        <v>2.13</v>
      </c>
      <c r="AB130" s="74"/>
      <c r="AC130" s="74"/>
      <c r="AD130" s="78">
        <f t="shared" si="0"/>
        <v>83.149999999999991</v>
      </c>
      <c r="AE130" s="79"/>
      <c r="AF130" s="79"/>
      <c r="AG130" s="79"/>
      <c r="AH130" s="79"/>
      <c r="AI130" s="79"/>
    </row>
    <row r="131" spans="1:35">
      <c r="A131" s="74"/>
      <c r="B131" s="74"/>
      <c r="C131" s="74">
        <v>2</v>
      </c>
      <c r="D131" s="74" t="s">
        <v>79</v>
      </c>
      <c r="E131" s="81"/>
      <c r="F131" s="81"/>
      <c r="G131" s="81"/>
      <c r="H131" s="81"/>
      <c r="I131" s="81"/>
      <c r="J131" s="81"/>
      <c r="K131" s="81"/>
      <c r="L131" s="81"/>
      <c r="M131" s="81"/>
      <c r="N131" s="81"/>
      <c r="O131" s="81"/>
      <c r="P131" s="81"/>
      <c r="Q131" s="81"/>
      <c r="R131" s="81"/>
      <c r="S131" s="81"/>
      <c r="T131" s="74">
        <v>69</v>
      </c>
      <c r="U131" s="74"/>
      <c r="V131" s="74"/>
      <c r="W131" s="102">
        <v>14.31</v>
      </c>
      <c r="X131" s="74"/>
      <c r="Y131" s="74"/>
      <c r="Z131" s="74"/>
      <c r="AA131" s="74">
        <v>2.77</v>
      </c>
      <c r="AB131" s="74"/>
      <c r="AC131" s="74"/>
      <c r="AD131" s="78">
        <f t="shared" si="0"/>
        <v>86.08</v>
      </c>
      <c r="AE131" s="79"/>
      <c r="AF131" s="79"/>
      <c r="AG131" s="79"/>
      <c r="AH131" s="79"/>
      <c r="AI131" s="79"/>
    </row>
    <row r="132" spans="1:35">
      <c r="A132" s="74"/>
      <c r="B132" s="74"/>
      <c r="C132" s="74">
        <v>2</v>
      </c>
      <c r="D132" s="74" t="s">
        <v>88</v>
      </c>
      <c r="E132" s="81"/>
      <c r="F132" s="81"/>
      <c r="G132" s="81"/>
      <c r="H132" s="81"/>
      <c r="I132" s="81"/>
      <c r="J132" s="81"/>
      <c r="K132" s="81"/>
      <c r="L132" s="81"/>
      <c r="M132" s="81"/>
      <c r="N132" s="81"/>
      <c r="O132" s="81"/>
      <c r="P132" s="81"/>
      <c r="Q132" s="81"/>
      <c r="R132" s="81"/>
      <c r="S132" s="81"/>
      <c r="T132" s="74">
        <v>83.2</v>
      </c>
      <c r="U132" s="74">
        <f>AVERAGE(T128:T132)</f>
        <v>69.08</v>
      </c>
      <c r="V132" s="74"/>
      <c r="W132" s="102">
        <v>6.11</v>
      </c>
      <c r="X132" s="102">
        <f>AVERAGE(W128:W132)</f>
        <v>11.234</v>
      </c>
      <c r="Y132" s="74"/>
      <c r="Z132" s="74"/>
      <c r="AA132" s="74">
        <v>1.7</v>
      </c>
      <c r="AB132" s="74">
        <f>AVERAGE(AA128:AA132)</f>
        <v>2.7839999999999998</v>
      </c>
      <c r="AC132" s="74"/>
      <c r="AD132" s="78">
        <f t="shared" si="0"/>
        <v>91.01</v>
      </c>
      <c r="AE132" s="79"/>
      <c r="AF132" s="79"/>
      <c r="AG132" s="79"/>
      <c r="AH132" s="79"/>
      <c r="AI132" s="79"/>
    </row>
    <row r="133" spans="1:35">
      <c r="A133" s="74"/>
      <c r="B133" s="74"/>
      <c r="C133" s="74">
        <v>3</v>
      </c>
      <c r="D133" s="74" t="s">
        <v>83</v>
      </c>
      <c r="E133" s="81"/>
      <c r="F133" s="81"/>
      <c r="G133" s="81"/>
      <c r="H133" s="81"/>
      <c r="I133" s="81"/>
      <c r="J133" s="81"/>
      <c r="K133" s="81"/>
      <c r="L133" s="81"/>
      <c r="M133" s="81"/>
      <c r="N133" s="81"/>
      <c r="O133" s="81"/>
      <c r="P133" s="81"/>
      <c r="Q133" s="81"/>
      <c r="R133" s="81"/>
      <c r="S133" s="81"/>
      <c r="T133" s="74">
        <v>73</v>
      </c>
      <c r="U133" s="74"/>
      <c r="V133" s="74"/>
      <c r="W133" s="102">
        <v>22.71</v>
      </c>
      <c r="X133" s="74"/>
      <c r="Y133" s="74"/>
      <c r="Z133" s="74"/>
      <c r="AA133" s="74">
        <v>4.16</v>
      </c>
      <c r="AB133" s="74"/>
      <c r="AC133" s="74"/>
      <c r="AD133" s="78">
        <f t="shared" si="0"/>
        <v>99.87</v>
      </c>
      <c r="AE133" s="79"/>
      <c r="AF133" s="79"/>
      <c r="AG133" s="79"/>
      <c r="AH133" s="79"/>
      <c r="AI133" s="79"/>
    </row>
    <row r="134" spans="1:35">
      <c r="A134" s="74"/>
      <c r="B134" s="74"/>
      <c r="C134" s="74">
        <v>3</v>
      </c>
      <c r="D134" s="74" t="s">
        <v>85</v>
      </c>
      <c r="E134" s="81"/>
      <c r="F134" s="81"/>
      <c r="G134" s="81"/>
      <c r="H134" s="81"/>
      <c r="I134" s="81"/>
      <c r="J134" s="81"/>
      <c r="K134" s="81"/>
      <c r="L134" s="81"/>
      <c r="M134" s="81"/>
      <c r="N134" s="81"/>
      <c r="O134" s="81"/>
      <c r="P134" s="81"/>
      <c r="Q134" s="81"/>
      <c r="R134" s="81"/>
      <c r="S134" s="81"/>
      <c r="T134" s="74">
        <v>70.3</v>
      </c>
      <c r="U134" s="74"/>
      <c r="V134" s="74"/>
      <c r="W134" s="74">
        <v>16.239999999999998</v>
      </c>
      <c r="X134" s="74"/>
      <c r="Y134" s="74"/>
      <c r="Z134" s="74"/>
      <c r="AA134" s="74">
        <v>2.5499999999999998</v>
      </c>
      <c r="AB134" s="74"/>
      <c r="AC134" s="74"/>
      <c r="AD134" s="78">
        <f t="shared" si="0"/>
        <v>89.089999999999989</v>
      </c>
      <c r="AE134" s="79"/>
      <c r="AF134" s="79"/>
      <c r="AG134" s="79"/>
      <c r="AH134" s="79"/>
      <c r="AI134" s="79"/>
    </row>
    <row r="135" spans="1:35">
      <c r="A135" s="74"/>
      <c r="B135" s="74"/>
      <c r="C135" s="74">
        <v>3</v>
      </c>
      <c r="D135" s="74" t="s">
        <v>87</v>
      </c>
      <c r="E135" s="81"/>
      <c r="F135" s="81"/>
      <c r="G135" s="81"/>
      <c r="H135" s="81"/>
      <c r="I135" s="81"/>
      <c r="J135" s="81"/>
      <c r="K135" s="81"/>
      <c r="L135" s="81"/>
      <c r="M135" s="81"/>
      <c r="N135" s="81"/>
      <c r="O135" s="81"/>
      <c r="P135" s="81"/>
      <c r="Q135" s="81"/>
      <c r="R135" s="81"/>
      <c r="S135" s="81"/>
      <c r="T135" s="74">
        <v>75.7</v>
      </c>
      <c r="U135" s="74"/>
      <c r="V135" s="74"/>
      <c r="W135" s="74">
        <v>5.38</v>
      </c>
      <c r="X135" s="74"/>
      <c r="Y135" s="74"/>
      <c r="Z135" s="74"/>
      <c r="AA135" s="74">
        <v>3.97</v>
      </c>
      <c r="AB135" s="74"/>
      <c r="AC135" s="74"/>
      <c r="AD135" s="78">
        <f t="shared" si="0"/>
        <v>85.05</v>
      </c>
      <c r="AE135" s="79"/>
      <c r="AF135" s="79"/>
      <c r="AG135" s="79"/>
      <c r="AH135" s="79"/>
      <c r="AI135" s="79"/>
    </row>
    <row r="136" spans="1:35">
      <c r="A136" s="74"/>
      <c r="B136" s="74"/>
      <c r="C136" s="74">
        <v>3</v>
      </c>
      <c r="D136" s="74" t="s">
        <v>79</v>
      </c>
      <c r="E136" s="81"/>
      <c r="F136" s="81"/>
      <c r="G136" s="81"/>
      <c r="H136" s="81"/>
      <c r="I136" s="81"/>
      <c r="J136" s="81"/>
      <c r="K136" s="81"/>
      <c r="L136" s="81"/>
      <c r="M136" s="81"/>
      <c r="N136" s="81"/>
      <c r="O136" s="81"/>
      <c r="P136" s="81"/>
      <c r="Q136" s="81"/>
      <c r="R136" s="81"/>
      <c r="S136" s="81"/>
      <c r="T136" s="74">
        <v>64.2</v>
      </c>
      <c r="U136" s="74"/>
      <c r="V136" s="74"/>
      <c r="W136" s="74">
        <v>23.78</v>
      </c>
      <c r="X136" s="74"/>
      <c r="Y136" s="74"/>
      <c r="Z136" s="74"/>
      <c r="AA136" s="74">
        <v>1.91</v>
      </c>
      <c r="AB136" s="74"/>
      <c r="AC136" s="74"/>
      <c r="AD136" s="78">
        <f t="shared" si="0"/>
        <v>89.89</v>
      </c>
      <c r="AE136" s="79"/>
      <c r="AF136" s="79"/>
      <c r="AG136" s="79"/>
      <c r="AH136" s="79"/>
      <c r="AI136" s="79"/>
    </row>
    <row r="137" spans="1:35">
      <c r="A137" s="74"/>
      <c r="B137" s="74"/>
      <c r="C137" s="74">
        <v>3</v>
      </c>
      <c r="D137" s="74" t="s">
        <v>88</v>
      </c>
      <c r="E137" s="81"/>
      <c r="F137" s="81"/>
      <c r="G137" s="81"/>
      <c r="H137" s="81"/>
      <c r="I137" s="81"/>
      <c r="J137" s="81"/>
      <c r="K137" s="81"/>
      <c r="L137" s="81"/>
      <c r="M137" s="81"/>
      <c r="N137" s="81"/>
      <c r="O137" s="81"/>
      <c r="P137" s="81"/>
      <c r="Q137" s="81"/>
      <c r="R137" s="81"/>
      <c r="S137" s="81"/>
      <c r="T137" s="74">
        <v>75.7</v>
      </c>
      <c r="U137" s="74">
        <f>AVERAGE(T133:T137)</f>
        <v>71.78</v>
      </c>
      <c r="V137" s="74"/>
      <c r="W137" s="74">
        <v>18.510000000000002</v>
      </c>
      <c r="X137" s="102">
        <f>AVERAGE(W133:W137)</f>
        <v>17.324000000000005</v>
      </c>
      <c r="Y137" s="74"/>
      <c r="Z137" s="74"/>
      <c r="AA137" s="84">
        <v>4.5999999999999996</v>
      </c>
      <c r="AB137" s="74">
        <f>AVERAGE(AA133:AA137)</f>
        <v>3.4379999999999997</v>
      </c>
      <c r="AC137" s="74"/>
      <c r="AD137" s="78">
        <f t="shared" si="0"/>
        <v>98.81</v>
      </c>
      <c r="AE137" s="79"/>
      <c r="AF137" s="79"/>
      <c r="AG137" s="79"/>
      <c r="AH137" s="79"/>
      <c r="AI137" s="79"/>
    </row>
    <row r="138" spans="1:35">
      <c r="A138" s="74"/>
      <c r="B138" s="74"/>
      <c r="C138" s="74">
        <v>4</v>
      </c>
      <c r="D138" s="74" t="s">
        <v>83</v>
      </c>
      <c r="E138" s="81"/>
      <c r="F138" s="81"/>
      <c r="G138" s="81"/>
      <c r="H138" s="81"/>
      <c r="I138" s="81"/>
      <c r="J138" s="81"/>
      <c r="K138" s="81"/>
      <c r="L138" s="81"/>
      <c r="M138" s="81"/>
      <c r="N138" s="81"/>
      <c r="O138" s="81"/>
      <c r="P138" s="81"/>
      <c r="Q138" s="81"/>
      <c r="R138" s="81"/>
      <c r="S138" s="81"/>
      <c r="T138" s="74">
        <v>74.8</v>
      </c>
      <c r="U138" s="74"/>
      <c r="V138" s="74"/>
      <c r="W138" s="74">
        <v>11.33</v>
      </c>
      <c r="X138" s="74"/>
      <c r="Y138" s="74"/>
      <c r="Z138" s="74"/>
      <c r="AA138" s="74">
        <v>4.3</v>
      </c>
      <c r="AB138" s="74"/>
      <c r="AC138" s="74"/>
      <c r="AD138" s="78">
        <f t="shared" si="0"/>
        <v>90.429999999999993</v>
      </c>
      <c r="AE138" s="79"/>
      <c r="AF138" s="79"/>
      <c r="AG138" s="79"/>
      <c r="AH138" s="79"/>
      <c r="AI138" s="79"/>
    </row>
    <row r="139" spans="1:35">
      <c r="A139" s="74"/>
      <c r="B139" s="74"/>
      <c r="C139" s="74">
        <v>4</v>
      </c>
      <c r="D139" s="74" t="s">
        <v>85</v>
      </c>
      <c r="E139" s="81"/>
      <c r="F139" s="81"/>
      <c r="G139" s="81"/>
      <c r="H139" s="81"/>
      <c r="I139" s="81"/>
      <c r="J139" s="81"/>
      <c r="K139" s="81"/>
      <c r="L139" s="81"/>
      <c r="M139" s="81"/>
      <c r="N139" s="81"/>
      <c r="O139" s="81"/>
      <c r="P139" s="81"/>
      <c r="Q139" s="81"/>
      <c r="R139" s="81"/>
      <c r="S139" s="81"/>
      <c r="T139" s="74">
        <v>84</v>
      </c>
      <c r="U139" s="74"/>
      <c r="V139" s="74"/>
      <c r="W139" s="74">
        <v>11.96</v>
      </c>
      <c r="X139" s="74"/>
      <c r="Y139" s="74"/>
      <c r="Z139" s="74"/>
      <c r="AA139" s="74">
        <v>2.2999999999999998</v>
      </c>
      <c r="AB139" s="74"/>
      <c r="AC139" s="74"/>
      <c r="AD139" s="78">
        <f t="shared" si="0"/>
        <v>98.26</v>
      </c>
      <c r="AE139" s="79"/>
      <c r="AF139" s="79"/>
      <c r="AG139" s="79"/>
      <c r="AH139" s="79"/>
      <c r="AI139" s="79"/>
    </row>
    <row r="140" spans="1:35">
      <c r="A140" s="74"/>
      <c r="B140" s="74"/>
      <c r="C140" s="74">
        <v>4</v>
      </c>
      <c r="D140" s="74" t="s">
        <v>87</v>
      </c>
      <c r="E140" s="81"/>
      <c r="F140" s="81"/>
      <c r="G140" s="81"/>
      <c r="H140" s="81"/>
      <c r="I140" s="81"/>
      <c r="J140" s="81"/>
      <c r="K140" s="81"/>
      <c r="L140" s="81"/>
      <c r="M140" s="81"/>
      <c r="N140" s="81"/>
      <c r="O140" s="81"/>
      <c r="P140" s="81"/>
      <c r="Q140" s="81"/>
      <c r="R140" s="81"/>
      <c r="S140" s="81"/>
      <c r="T140" s="74">
        <v>74.7</v>
      </c>
      <c r="U140" s="74"/>
      <c r="V140" s="74"/>
      <c r="W140" s="74">
        <v>11.72</v>
      </c>
      <c r="X140" s="74"/>
      <c r="Y140" s="74"/>
      <c r="Z140" s="74"/>
      <c r="AA140" s="74">
        <v>4.2300000000000004</v>
      </c>
      <c r="AB140" s="74"/>
      <c r="AC140" s="74"/>
      <c r="AD140" s="78">
        <f t="shared" si="0"/>
        <v>90.65</v>
      </c>
      <c r="AE140" s="79"/>
      <c r="AF140" s="79"/>
      <c r="AG140" s="79"/>
      <c r="AH140" s="79"/>
      <c r="AI140" s="79"/>
    </row>
    <row r="141" spans="1:35">
      <c r="A141" s="74"/>
      <c r="B141" s="74"/>
      <c r="C141" s="74">
        <v>4</v>
      </c>
      <c r="D141" s="74" t="s">
        <v>79</v>
      </c>
      <c r="E141" s="81"/>
      <c r="F141" s="81"/>
      <c r="G141" s="81"/>
      <c r="H141" s="81"/>
      <c r="I141" s="81"/>
      <c r="J141" s="81"/>
      <c r="K141" s="81"/>
      <c r="L141" s="81"/>
      <c r="M141" s="81"/>
      <c r="N141" s="81"/>
      <c r="O141" s="81"/>
      <c r="P141" s="81"/>
      <c r="Q141" s="81"/>
      <c r="R141" s="81"/>
      <c r="S141" s="81"/>
      <c r="T141" s="74">
        <v>72.099999999999994</v>
      </c>
      <c r="U141" s="74"/>
      <c r="V141" s="74"/>
      <c r="W141" s="74">
        <v>6.23</v>
      </c>
      <c r="X141" s="74"/>
      <c r="Y141" s="74"/>
      <c r="Z141" s="74"/>
      <c r="AA141" s="74">
        <v>2.5299999999999998</v>
      </c>
      <c r="AB141" s="74"/>
      <c r="AC141" s="74"/>
      <c r="AD141" s="78">
        <f t="shared" si="0"/>
        <v>80.86</v>
      </c>
      <c r="AE141" s="79"/>
      <c r="AF141" s="85" t="s">
        <v>90</v>
      </c>
      <c r="AG141" s="85" t="s">
        <v>93</v>
      </c>
      <c r="AH141" s="85" t="s">
        <v>91</v>
      </c>
      <c r="AI141" s="85" t="s">
        <v>92</v>
      </c>
    </row>
    <row r="142" spans="1:35">
      <c r="A142" s="74"/>
      <c r="B142" s="74"/>
      <c r="C142" s="74">
        <v>4</v>
      </c>
      <c r="D142" s="74" t="s">
        <v>88</v>
      </c>
      <c r="E142" s="81"/>
      <c r="F142" s="81"/>
      <c r="G142" s="81"/>
      <c r="H142" s="81"/>
      <c r="I142" s="81"/>
      <c r="J142" s="81"/>
      <c r="K142" s="81"/>
      <c r="L142" s="81"/>
      <c r="M142" s="81"/>
      <c r="N142" s="81"/>
      <c r="O142" s="81"/>
      <c r="P142" s="81"/>
      <c r="Q142" s="81"/>
      <c r="R142" s="81"/>
      <c r="S142" s="81"/>
      <c r="T142" s="83">
        <v>136.4</v>
      </c>
      <c r="U142" s="74">
        <f>AVERAGE(T138:T142)</f>
        <v>88.4</v>
      </c>
      <c r="V142" s="74"/>
      <c r="W142" s="74">
        <v>18.54</v>
      </c>
      <c r="X142" s="74">
        <f>AVERAGE(W138:W142)</f>
        <v>11.956</v>
      </c>
      <c r="Y142" s="74"/>
      <c r="Z142" s="74"/>
      <c r="AA142" s="74">
        <v>4.99</v>
      </c>
      <c r="AB142" s="74">
        <f>AVERAGE(AA138:AA142)</f>
        <v>3.6700000000000004</v>
      </c>
      <c r="AC142" s="74"/>
      <c r="AD142" s="78">
        <f t="shared" si="0"/>
        <v>159.93</v>
      </c>
      <c r="AE142" s="79"/>
      <c r="AF142" s="77">
        <v>80.050000000000011</v>
      </c>
      <c r="AG142" s="77">
        <v>91.88</v>
      </c>
      <c r="AH142" s="77">
        <v>82.399999999999991</v>
      </c>
      <c r="AI142" s="77">
        <v>82.76</v>
      </c>
    </row>
    <row r="143" spans="1:35">
      <c r="A143" s="74" t="s">
        <v>106</v>
      </c>
      <c r="B143" s="74" t="s">
        <v>107</v>
      </c>
      <c r="C143" s="74">
        <v>1</v>
      </c>
      <c r="D143" s="74" t="s">
        <v>83</v>
      </c>
      <c r="E143" s="81"/>
      <c r="F143" s="81"/>
      <c r="G143" s="81"/>
      <c r="H143" s="81"/>
      <c r="I143" s="81"/>
      <c r="J143" s="81"/>
      <c r="K143" s="81"/>
      <c r="L143" s="81"/>
      <c r="M143" s="81"/>
      <c r="N143" s="81"/>
      <c r="O143" s="81"/>
      <c r="P143" s="81"/>
      <c r="Q143" s="81"/>
      <c r="R143" s="81"/>
      <c r="S143" s="81"/>
      <c r="T143" s="74">
        <v>69.2</v>
      </c>
      <c r="U143" s="74"/>
      <c r="V143" s="74"/>
      <c r="W143" s="74">
        <v>7.98</v>
      </c>
      <c r="X143" s="74"/>
      <c r="Y143" s="74"/>
      <c r="Z143" s="74"/>
      <c r="AA143" s="74">
        <v>2.87</v>
      </c>
      <c r="AB143" s="74"/>
      <c r="AC143" s="74"/>
      <c r="AD143" s="78">
        <f t="shared" si="0"/>
        <v>80.050000000000011</v>
      </c>
      <c r="AE143" s="79"/>
      <c r="AF143" s="77">
        <v>92.929999999999993</v>
      </c>
      <c r="AG143" s="77">
        <v>78.78</v>
      </c>
      <c r="AH143" s="77">
        <v>90.6</v>
      </c>
      <c r="AI143" s="77">
        <v>88.37</v>
      </c>
    </row>
    <row r="144" spans="1:35">
      <c r="A144" s="74"/>
      <c r="B144" s="74"/>
      <c r="C144" s="74">
        <v>1</v>
      </c>
      <c r="D144" s="74" t="s">
        <v>108</v>
      </c>
      <c r="E144" s="81"/>
      <c r="F144" s="81"/>
      <c r="G144" s="81"/>
      <c r="H144" s="81"/>
      <c r="I144" s="81"/>
      <c r="J144" s="81"/>
      <c r="K144" s="81"/>
      <c r="L144" s="81"/>
      <c r="M144" s="81"/>
      <c r="N144" s="81"/>
      <c r="O144" s="81"/>
      <c r="P144" s="81"/>
      <c r="Q144" s="81"/>
      <c r="R144" s="81"/>
      <c r="S144" s="81"/>
      <c r="T144" s="74">
        <v>85</v>
      </c>
      <c r="U144" s="74"/>
      <c r="V144" s="74"/>
      <c r="W144" s="74">
        <v>5.27</v>
      </c>
      <c r="X144" s="74"/>
      <c r="Y144" s="74"/>
      <c r="Z144" s="74"/>
      <c r="AA144" s="74">
        <v>2.66</v>
      </c>
      <c r="AB144" s="74"/>
      <c r="AC144" s="74"/>
      <c r="AD144" s="78">
        <f t="shared" si="0"/>
        <v>92.929999999999993</v>
      </c>
      <c r="AE144" s="79"/>
      <c r="AF144" s="77">
        <v>51.800000000000004</v>
      </c>
      <c r="AG144" s="77">
        <v>92.149999999999991</v>
      </c>
      <c r="AH144" s="77">
        <v>97.149999999999991</v>
      </c>
      <c r="AI144" s="77">
        <v>68.56</v>
      </c>
    </row>
    <row r="145" spans="1:35">
      <c r="A145" s="74"/>
      <c r="B145" s="74"/>
      <c r="C145" s="74">
        <v>1</v>
      </c>
      <c r="D145" s="74" t="s">
        <v>109</v>
      </c>
      <c r="E145" s="81"/>
      <c r="F145" s="81"/>
      <c r="G145" s="81"/>
      <c r="H145" s="81"/>
      <c r="I145" s="81"/>
      <c r="J145" s="81"/>
      <c r="K145" s="81"/>
      <c r="L145" s="81"/>
      <c r="M145" s="81"/>
      <c r="N145" s="81"/>
      <c r="O145" s="81"/>
      <c r="P145" s="81"/>
      <c r="Q145" s="81"/>
      <c r="R145" s="81"/>
      <c r="S145" s="81"/>
      <c r="T145" s="74">
        <v>45.7</v>
      </c>
      <c r="U145" s="74"/>
      <c r="V145" s="74"/>
      <c r="W145" s="74">
        <v>1.85</v>
      </c>
      <c r="X145" s="74"/>
      <c r="Y145" s="74"/>
      <c r="Z145" s="74"/>
      <c r="AA145" s="84">
        <v>2.6</v>
      </c>
      <c r="AB145" s="74"/>
      <c r="AC145" s="74"/>
      <c r="AD145" s="78">
        <f t="shared" si="0"/>
        <v>50.150000000000006</v>
      </c>
      <c r="AE145" s="79"/>
      <c r="AF145" s="77">
        <v>137.85</v>
      </c>
      <c r="AG145" s="77">
        <v>87.89</v>
      </c>
      <c r="AH145" s="77">
        <v>88.36</v>
      </c>
      <c r="AI145" s="77">
        <v>97.89</v>
      </c>
    </row>
    <row r="146" spans="1:35">
      <c r="A146" s="74"/>
      <c r="B146" s="74"/>
      <c r="C146" s="74">
        <v>1</v>
      </c>
      <c r="D146" s="74" t="s">
        <v>87</v>
      </c>
      <c r="E146" s="81"/>
      <c r="F146" s="81"/>
      <c r="G146" s="81"/>
      <c r="H146" s="81"/>
      <c r="I146" s="81"/>
      <c r="J146" s="81"/>
      <c r="K146" s="81"/>
      <c r="L146" s="81"/>
      <c r="M146" s="81"/>
      <c r="N146" s="81"/>
      <c r="O146" s="81"/>
      <c r="P146" s="81"/>
      <c r="Q146" s="81"/>
      <c r="R146" s="81"/>
      <c r="S146" s="81"/>
      <c r="T146" s="83">
        <v>113.5</v>
      </c>
      <c r="U146" s="74"/>
      <c r="V146" s="74"/>
      <c r="W146" s="74">
        <v>19.899999999999999</v>
      </c>
      <c r="X146" s="74"/>
      <c r="Y146" s="74"/>
      <c r="Z146" s="74"/>
      <c r="AA146" s="74">
        <v>4.45</v>
      </c>
      <c r="AB146" s="74"/>
      <c r="AC146" s="74"/>
      <c r="AD146" s="78">
        <f t="shared" si="0"/>
        <v>137.85</v>
      </c>
      <c r="AE146" s="79"/>
      <c r="AF146" s="77">
        <v>94.54</v>
      </c>
      <c r="AG146" s="77">
        <v>102.03999999999999</v>
      </c>
      <c r="AH146" s="77">
        <v>89.06</v>
      </c>
      <c r="AI146" s="77">
        <v>77.784999999999997</v>
      </c>
    </row>
    <row r="147" spans="1:35">
      <c r="A147" s="74"/>
      <c r="B147" s="74"/>
      <c r="C147" s="74">
        <v>1</v>
      </c>
      <c r="D147" s="74" t="s">
        <v>79</v>
      </c>
      <c r="E147" s="81"/>
      <c r="F147" s="81"/>
      <c r="G147" s="81"/>
      <c r="H147" s="81"/>
      <c r="I147" s="81"/>
      <c r="J147" s="81"/>
      <c r="K147" s="81"/>
      <c r="L147" s="81"/>
      <c r="M147" s="81"/>
      <c r="N147" s="81"/>
      <c r="O147" s="81"/>
      <c r="P147" s="81"/>
      <c r="Q147" s="81"/>
      <c r="R147" s="81"/>
      <c r="S147" s="81"/>
      <c r="T147" s="74">
        <v>80.900000000000006</v>
      </c>
      <c r="U147" s="74">
        <f>AVERAGE(T143:T147)</f>
        <v>78.859999999999985</v>
      </c>
      <c r="V147" s="74"/>
      <c r="W147" s="12">
        <f>AVERAGE(W143:W146)</f>
        <v>8.75</v>
      </c>
      <c r="X147" s="74">
        <f>AVERAGE(W143:W147)</f>
        <v>8.75</v>
      </c>
      <c r="Y147" s="74"/>
      <c r="Z147" s="74"/>
      <c r="AA147" s="101">
        <v>4.8899999999999997</v>
      </c>
      <c r="AB147" s="74">
        <f>AVERAGE(AA143:AA147)</f>
        <v>3.4940000000000007</v>
      </c>
      <c r="AC147" s="74"/>
      <c r="AD147" s="78">
        <f t="shared" si="0"/>
        <v>94.54</v>
      </c>
      <c r="AE147" s="79"/>
      <c r="AF147" s="79"/>
      <c r="AG147" s="79"/>
      <c r="AH147" s="79"/>
      <c r="AI147" s="79"/>
    </row>
    <row r="148" spans="1:35">
      <c r="A148" s="74"/>
      <c r="B148" s="74"/>
      <c r="C148" s="74">
        <v>2</v>
      </c>
      <c r="D148" s="74" t="s">
        <v>83</v>
      </c>
      <c r="E148" s="81"/>
      <c r="F148" s="81"/>
      <c r="G148" s="81"/>
      <c r="H148" s="81"/>
      <c r="I148" s="81"/>
      <c r="J148" s="81"/>
      <c r="K148" s="81"/>
      <c r="L148" s="81"/>
      <c r="M148" s="81"/>
      <c r="N148" s="81"/>
      <c r="O148" s="81"/>
      <c r="P148" s="81"/>
      <c r="Q148" s="81"/>
      <c r="R148" s="81"/>
      <c r="S148" s="81"/>
      <c r="T148" s="74">
        <v>81</v>
      </c>
      <c r="U148" s="74"/>
      <c r="V148" s="74"/>
      <c r="W148" s="12">
        <f>AVERAGE(W149:W152)</f>
        <v>8.11</v>
      </c>
      <c r="X148" s="74"/>
      <c r="Y148" s="74"/>
      <c r="Z148" s="74"/>
      <c r="AA148" s="74">
        <v>2.77</v>
      </c>
      <c r="AB148" s="74"/>
      <c r="AC148" s="74"/>
      <c r="AD148" s="78">
        <f t="shared" si="0"/>
        <v>91.88</v>
      </c>
      <c r="AE148" s="79"/>
      <c r="AF148" s="79"/>
      <c r="AG148" s="79"/>
      <c r="AH148" s="79"/>
      <c r="AI148" s="79"/>
    </row>
    <row r="149" spans="1:35">
      <c r="A149" s="74"/>
      <c r="B149" s="74"/>
      <c r="C149" s="74">
        <v>2</v>
      </c>
      <c r="D149" s="74" t="s">
        <v>108</v>
      </c>
      <c r="E149" s="81"/>
      <c r="F149" s="81"/>
      <c r="G149" s="81"/>
      <c r="H149" s="81"/>
      <c r="I149" s="81"/>
      <c r="J149" s="81"/>
      <c r="K149" s="81"/>
      <c r="L149" s="81"/>
      <c r="M149" s="81"/>
      <c r="N149" s="81"/>
      <c r="O149" s="81"/>
      <c r="P149" s="81"/>
      <c r="Q149" s="81"/>
      <c r="R149" s="81"/>
      <c r="S149" s="81"/>
      <c r="T149" s="74">
        <v>70.3</v>
      </c>
      <c r="U149" s="74"/>
      <c r="V149" s="74"/>
      <c r="W149" s="74">
        <v>5.26</v>
      </c>
      <c r="X149" s="74"/>
      <c r="Y149" s="74"/>
      <c r="Z149" s="74"/>
      <c r="AA149" s="74">
        <v>3.22</v>
      </c>
      <c r="AB149" s="74"/>
      <c r="AC149" s="74"/>
      <c r="AD149" s="78">
        <f t="shared" si="0"/>
        <v>78.78</v>
      </c>
      <c r="AE149" s="79"/>
      <c r="AF149" s="79"/>
      <c r="AG149" s="79"/>
      <c r="AH149" s="79"/>
      <c r="AI149" s="79"/>
    </row>
    <row r="150" spans="1:35">
      <c r="A150" s="74"/>
      <c r="B150" s="74"/>
      <c r="C150" s="74">
        <v>2</v>
      </c>
      <c r="D150" s="74" t="s">
        <v>109</v>
      </c>
      <c r="E150" s="81"/>
      <c r="F150" s="81"/>
      <c r="G150" s="81"/>
      <c r="H150" s="81"/>
      <c r="I150" s="81"/>
      <c r="J150" s="81"/>
      <c r="K150" s="81"/>
      <c r="L150" s="81"/>
      <c r="M150" s="81"/>
      <c r="N150" s="81"/>
      <c r="O150" s="81"/>
      <c r="P150" s="81"/>
      <c r="Q150" s="81"/>
      <c r="R150" s="81"/>
      <c r="S150" s="81"/>
      <c r="T150" s="74">
        <v>82.3</v>
      </c>
      <c r="U150" s="74"/>
      <c r="V150" s="74"/>
      <c r="W150" s="74">
        <v>7</v>
      </c>
      <c r="X150" s="74"/>
      <c r="Y150" s="74"/>
      <c r="Z150" s="74"/>
      <c r="AA150" s="84">
        <v>2.83</v>
      </c>
      <c r="AB150" s="74"/>
      <c r="AC150" s="74"/>
      <c r="AD150" s="78">
        <f t="shared" si="0"/>
        <v>92.13</v>
      </c>
      <c r="AE150" s="79"/>
      <c r="AF150" s="79"/>
      <c r="AG150" s="79"/>
      <c r="AH150" s="79"/>
      <c r="AI150" s="79"/>
    </row>
    <row r="151" spans="1:35">
      <c r="A151" s="74"/>
      <c r="B151" s="74"/>
      <c r="C151" s="74">
        <v>2</v>
      </c>
      <c r="D151" s="74" t="s">
        <v>87</v>
      </c>
      <c r="E151" s="81"/>
      <c r="F151" s="81"/>
      <c r="G151" s="81"/>
      <c r="H151" s="81"/>
      <c r="I151" s="81"/>
      <c r="J151" s="81"/>
      <c r="K151" s="81"/>
      <c r="L151" s="81"/>
      <c r="M151" s="81"/>
      <c r="N151" s="81"/>
      <c r="O151" s="81"/>
      <c r="P151" s="81"/>
      <c r="Q151" s="81"/>
      <c r="R151" s="81"/>
      <c r="S151" s="81"/>
      <c r="T151" s="74">
        <v>74.2</v>
      </c>
      <c r="U151" s="74"/>
      <c r="V151" s="74"/>
      <c r="W151" s="97">
        <v>9.08</v>
      </c>
      <c r="X151" s="74"/>
      <c r="Y151" s="74"/>
      <c r="Z151" s="74"/>
      <c r="AA151" s="84">
        <v>4.5999999999999996</v>
      </c>
      <c r="AB151" s="74"/>
      <c r="AC151" s="74"/>
      <c r="AD151" s="78">
        <f t="shared" si="0"/>
        <v>87.88</v>
      </c>
      <c r="AE151" s="79"/>
      <c r="AF151" s="79"/>
      <c r="AG151" s="79"/>
      <c r="AH151" s="79"/>
      <c r="AI151" s="79"/>
    </row>
    <row r="152" spans="1:35">
      <c r="A152" s="74"/>
      <c r="B152" s="74"/>
      <c r="C152" s="74">
        <v>2</v>
      </c>
      <c r="D152" s="74" t="s">
        <v>79</v>
      </c>
      <c r="E152" s="81"/>
      <c r="F152" s="81"/>
      <c r="G152" s="81"/>
      <c r="H152" s="81"/>
      <c r="I152" s="81"/>
      <c r="J152" s="81"/>
      <c r="K152" s="81"/>
      <c r="L152" s="81"/>
      <c r="M152" s="81"/>
      <c r="N152" s="81"/>
      <c r="O152" s="81"/>
      <c r="P152" s="81"/>
      <c r="Q152" s="81"/>
      <c r="R152" s="81"/>
      <c r="S152" s="81"/>
      <c r="T152" s="74">
        <v>88.8</v>
      </c>
      <c r="U152" s="74">
        <f>AVERAGE(T148:T152)</f>
        <v>79.320000000000007</v>
      </c>
      <c r="V152" s="74"/>
      <c r="W152" s="97">
        <v>11.1</v>
      </c>
      <c r="X152" s="74">
        <f>AVERAGE(W148:W152)</f>
        <v>8.11</v>
      </c>
      <c r="Y152" s="74"/>
      <c r="Z152" s="74"/>
      <c r="AA152" s="74">
        <v>2.14</v>
      </c>
      <c r="AB152" s="74">
        <f>AVERAGE(AA148:AA152)</f>
        <v>3.1120000000000001</v>
      </c>
      <c r="AC152" s="74"/>
      <c r="AD152" s="78">
        <f t="shared" si="0"/>
        <v>102.03999999999999</v>
      </c>
      <c r="AE152" s="79"/>
      <c r="AF152" s="79"/>
      <c r="AG152" s="79"/>
      <c r="AH152" s="79"/>
      <c r="AI152" s="79"/>
    </row>
    <row r="153" spans="1:35">
      <c r="A153" s="74"/>
      <c r="B153" s="74"/>
      <c r="C153" s="74">
        <v>3</v>
      </c>
      <c r="D153" s="74" t="s">
        <v>83</v>
      </c>
      <c r="E153" s="81"/>
      <c r="F153" s="81"/>
      <c r="G153" s="81"/>
      <c r="H153" s="81"/>
      <c r="I153" s="81"/>
      <c r="J153" s="81"/>
      <c r="K153" s="81"/>
      <c r="L153" s="81"/>
      <c r="M153" s="81"/>
      <c r="N153" s="81"/>
      <c r="O153" s="81"/>
      <c r="P153" s="81"/>
      <c r="Q153" s="81"/>
      <c r="R153" s="81"/>
      <c r="S153" s="81"/>
      <c r="T153" s="74">
        <v>73</v>
      </c>
      <c r="U153" s="74"/>
      <c r="V153" s="74"/>
      <c r="W153" s="74">
        <v>7.88</v>
      </c>
      <c r="X153" s="74"/>
      <c r="Y153" s="74"/>
      <c r="Z153" s="74"/>
      <c r="AA153" s="74">
        <v>1.52</v>
      </c>
      <c r="AB153" s="74"/>
      <c r="AC153" s="74"/>
      <c r="AD153" s="78">
        <f t="shared" si="0"/>
        <v>82.399999999999991</v>
      </c>
      <c r="AE153" s="79"/>
      <c r="AF153" s="79"/>
      <c r="AG153" s="79"/>
      <c r="AH153" s="79"/>
      <c r="AI153" s="79"/>
    </row>
    <row r="154" spans="1:35">
      <c r="A154" s="74"/>
      <c r="B154" s="74"/>
      <c r="C154" s="74">
        <v>3</v>
      </c>
      <c r="D154" s="74" t="s">
        <v>108</v>
      </c>
      <c r="E154" s="81"/>
      <c r="F154" s="81"/>
      <c r="G154" s="81"/>
      <c r="H154" s="81"/>
      <c r="I154" s="81"/>
      <c r="J154" s="81"/>
      <c r="K154" s="81"/>
      <c r="L154" s="81"/>
      <c r="M154" s="81"/>
      <c r="N154" s="81"/>
      <c r="O154" s="81"/>
      <c r="P154" s="81"/>
      <c r="Q154" s="81"/>
      <c r="R154" s="81"/>
      <c r="S154" s="81"/>
      <c r="T154" s="74">
        <v>83.1</v>
      </c>
      <c r="U154" s="74"/>
      <c r="V154" s="74"/>
      <c r="W154" s="74">
        <v>5.76</v>
      </c>
      <c r="X154" s="74"/>
      <c r="Y154" s="74"/>
      <c r="Z154" s="74"/>
      <c r="AA154" s="74">
        <v>1.74</v>
      </c>
      <c r="AB154" s="74"/>
      <c r="AC154" s="74"/>
      <c r="AD154" s="78">
        <f t="shared" si="0"/>
        <v>90.6</v>
      </c>
      <c r="AE154" s="79"/>
      <c r="AF154" s="79"/>
      <c r="AG154" s="79"/>
      <c r="AH154" s="79"/>
      <c r="AI154" s="79"/>
    </row>
    <row r="155" spans="1:35">
      <c r="A155" s="74"/>
      <c r="B155" s="74"/>
      <c r="C155" s="74">
        <v>3</v>
      </c>
      <c r="D155" s="74" t="s">
        <v>109</v>
      </c>
      <c r="E155" s="81"/>
      <c r="F155" s="81"/>
      <c r="G155" s="81"/>
      <c r="H155" s="81"/>
      <c r="I155" s="81"/>
      <c r="J155" s="81"/>
      <c r="K155" s="81"/>
      <c r="L155" s="81"/>
      <c r="M155" s="81"/>
      <c r="N155" s="81"/>
      <c r="O155" s="81"/>
      <c r="P155" s="81"/>
      <c r="Q155" s="81"/>
      <c r="R155" s="81"/>
      <c r="S155" s="81"/>
      <c r="T155" s="74">
        <v>85.8</v>
      </c>
      <c r="U155" s="74"/>
      <c r="V155" s="74"/>
      <c r="W155" s="74">
        <v>9.24</v>
      </c>
      <c r="X155" s="74"/>
      <c r="Y155" s="74"/>
      <c r="Z155" s="74"/>
      <c r="AA155" s="74">
        <v>2.11</v>
      </c>
      <c r="AB155" s="74"/>
      <c r="AC155" s="74"/>
      <c r="AD155" s="78">
        <f t="shared" si="0"/>
        <v>97.149999999999991</v>
      </c>
      <c r="AE155" s="79"/>
      <c r="AF155" s="79"/>
      <c r="AG155" s="79"/>
      <c r="AH155" s="79"/>
      <c r="AI155" s="79"/>
    </row>
    <row r="156" spans="1:35">
      <c r="A156" s="74"/>
      <c r="B156" s="74"/>
      <c r="C156" s="74">
        <v>3</v>
      </c>
      <c r="D156" s="74" t="s">
        <v>87</v>
      </c>
      <c r="E156" s="81"/>
      <c r="F156" s="81"/>
      <c r="G156" s="81"/>
      <c r="H156" s="81"/>
      <c r="I156" s="81"/>
      <c r="J156" s="81"/>
      <c r="K156" s="81"/>
      <c r="L156" s="81"/>
      <c r="M156" s="81"/>
      <c r="N156" s="81"/>
      <c r="O156" s="81"/>
      <c r="P156" s="81"/>
      <c r="Q156" s="81"/>
      <c r="R156" s="81"/>
      <c r="S156" s="81"/>
      <c r="T156" s="74">
        <v>77.599999999999994</v>
      </c>
      <c r="U156" s="74"/>
      <c r="V156" s="74"/>
      <c r="W156" s="74">
        <v>8.1999999999999993</v>
      </c>
      <c r="X156" s="74"/>
      <c r="Y156" s="74"/>
      <c r="Z156" s="74"/>
      <c r="AA156" s="74">
        <v>2.56</v>
      </c>
      <c r="AB156" s="74"/>
      <c r="AC156" s="74"/>
      <c r="AD156" s="78">
        <f t="shared" si="0"/>
        <v>88.36</v>
      </c>
      <c r="AE156" s="79"/>
      <c r="AF156" s="79"/>
      <c r="AG156" s="79"/>
      <c r="AH156" s="79"/>
      <c r="AI156" s="79"/>
    </row>
    <row r="157" spans="1:35">
      <c r="A157" s="74"/>
      <c r="B157" s="74"/>
      <c r="C157" s="74">
        <v>3</v>
      </c>
      <c r="D157" s="74" t="s">
        <v>79</v>
      </c>
      <c r="E157" s="81"/>
      <c r="F157" s="81"/>
      <c r="G157" s="81"/>
      <c r="H157" s="81"/>
      <c r="I157" s="81"/>
      <c r="J157" s="81"/>
      <c r="K157" s="81"/>
      <c r="L157" s="81"/>
      <c r="M157" s="81"/>
      <c r="N157" s="81"/>
      <c r="O157" s="81"/>
      <c r="P157" s="81"/>
      <c r="Q157" s="81"/>
      <c r="R157" s="81"/>
      <c r="S157" s="81"/>
      <c r="T157" s="74">
        <v>82.3</v>
      </c>
      <c r="U157" s="74">
        <f>AVERAGE(T153:T157)</f>
        <v>80.36</v>
      </c>
      <c r="V157" s="74"/>
      <c r="W157" s="74">
        <v>4.28</v>
      </c>
      <c r="X157" s="74">
        <f>AVERAGE(W153:W157)</f>
        <v>7.0720000000000001</v>
      </c>
      <c r="Y157" s="74"/>
      <c r="Z157" s="74"/>
      <c r="AA157" s="74">
        <v>2.48</v>
      </c>
      <c r="AB157" s="74">
        <f>AVERAGE(AA153:AA157)</f>
        <v>2.0819999999999999</v>
      </c>
      <c r="AC157" s="74"/>
      <c r="AD157" s="78">
        <f t="shared" si="0"/>
        <v>89.06</v>
      </c>
      <c r="AE157" s="79"/>
      <c r="AF157" s="79"/>
      <c r="AG157" s="79"/>
      <c r="AH157" s="79"/>
      <c r="AI157" s="79"/>
    </row>
    <row r="158" spans="1:35">
      <c r="A158" s="74"/>
      <c r="B158" s="74"/>
      <c r="C158" s="74">
        <v>4</v>
      </c>
      <c r="D158" s="74" t="s">
        <v>83</v>
      </c>
      <c r="E158" s="81"/>
      <c r="F158" s="81"/>
      <c r="G158" s="81"/>
      <c r="H158" s="81"/>
      <c r="I158" s="81"/>
      <c r="J158" s="81"/>
      <c r="K158" s="81"/>
      <c r="L158" s="81"/>
      <c r="M158" s="81"/>
      <c r="N158" s="81"/>
      <c r="O158" s="81"/>
      <c r="P158" s="81"/>
      <c r="Q158" s="81"/>
      <c r="R158" s="81"/>
      <c r="S158" s="81"/>
      <c r="T158" s="74">
        <v>74.2</v>
      </c>
      <c r="U158" s="74"/>
      <c r="V158" s="74"/>
      <c r="W158" s="74">
        <v>5</v>
      </c>
      <c r="X158" s="74"/>
      <c r="Y158" s="74"/>
      <c r="Z158" s="74"/>
      <c r="AA158" s="74">
        <v>3.56</v>
      </c>
      <c r="AB158" s="74"/>
      <c r="AC158" s="74"/>
      <c r="AD158" s="78">
        <f t="shared" si="0"/>
        <v>82.76</v>
      </c>
      <c r="AE158" s="79"/>
      <c r="AF158" s="79"/>
      <c r="AG158" s="79"/>
      <c r="AH158" s="79"/>
      <c r="AI158" s="79"/>
    </row>
    <row r="159" spans="1:35">
      <c r="A159" s="74"/>
      <c r="B159" s="74"/>
      <c r="C159" s="74">
        <v>4</v>
      </c>
      <c r="D159" s="74" t="s">
        <v>108</v>
      </c>
      <c r="E159" s="81"/>
      <c r="F159" s="81"/>
      <c r="G159" s="81"/>
      <c r="H159" s="81"/>
      <c r="I159" s="81"/>
      <c r="J159" s="81"/>
      <c r="K159" s="81"/>
      <c r="L159" s="81"/>
      <c r="M159" s="81"/>
      <c r="N159" s="81"/>
      <c r="O159" s="81"/>
      <c r="P159" s="81"/>
      <c r="Q159" s="81"/>
      <c r="R159" s="81"/>
      <c r="S159" s="81"/>
      <c r="T159" s="74">
        <v>73</v>
      </c>
      <c r="U159" s="74"/>
      <c r="V159" s="74"/>
      <c r="W159" s="74">
        <v>10.89</v>
      </c>
      <c r="X159" s="74"/>
      <c r="Y159" s="74"/>
      <c r="Z159" s="74"/>
      <c r="AA159" s="74">
        <v>4.4800000000000004</v>
      </c>
      <c r="AB159" s="74"/>
      <c r="AC159" s="74"/>
      <c r="AD159" s="78">
        <f t="shared" si="0"/>
        <v>88.37</v>
      </c>
      <c r="AE159" s="79"/>
      <c r="AF159" s="79"/>
      <c r="AG159" s="79"/>
      <c r="AH159" s="79"/>
      <c r="AI159" s="79"/>
    </row>
    <row r="160" spans="1:35">
      <c r="A160" s="74"/>
      <c r="B160" s="74"/>
      <c r="C160" s="74">
        <v>4</v>
      </c>
      <c r="D160" s="74" t="s">
        <v>109</v>
      </c>
      <c r="E160" s="81"/>
      <c r="F160" s="81"/>
      <c r="G160" s="81"/>
      <c r="H160" s="81"/>
      <c r="I160" s="81"/>
      <c r="J160" s="81"/>
      <c r="K160" s="81"/>
      <c r="L160" s="81"/>
      <c r="M160" s="81"/>
      <c r="N160" s="81"/>
      <c r="O160" s="81"/>
      <c r="P160" s="81"/>
      <c r="Q160" s="81"/>
      <c r="R160" s="81"/>
      <c r="S160" s="81"/>
      <c r="T160" s="74">
        <v>61.2</v>
      </c>
      <c r="U160" s="74"/>
      <c r="V160" s="74"/>
      <c r="W160" s="74">
        <v>5.03</v>
      </c>
      <c r="X160" s="74"/>
      <c r="Y160" s="74"/>
      <c r="Z160" s="74"/>
      <c r="AA160" s="74">
        <v>2.33</v>
      </c>
      <c r="AB160" s="74"/>
      <c r="AC160" s="74"/>
      <c r="AD160" s="78">
        <f t="shared" si="0"/>
        <v>68.56</v>
      </c>
      <c r="AE160" s="79"/>
      <c r="AF160" s="79"/>
      <c r="AG160" s="79"/>
      <c r="AH160" s="79"/>
      <c r="AI160" s="79"/>
    </row>
    <row r="161" spans="1:35">
      <c r="A161" s="74"/>
      <c r="B161" s="74"/>
      <c r="C161" s="74">
        <v>4</v>
      </c>
      <c r="D161" s="74" t="s">
        <v>87</v>
      </c>
      <c r="E161" s="81"/>
      <c r="F161" s="81"/>
      <c r="G161" s="81"/>
      <c r="H161" s="81"/>
      <c r="I161" s="81"/>
      <c r="J161" s="81"/>
      <c r="K161" s="81"/>
      <c r="L161" s="81"/>
      <c r="M161" s="81"/>
      <c r="N161" s="81"/>
      <c r="O161" s="81"/>
      <c r="P161" s="81"/>
      <c r="Q161" s="81"/>
      <c r="R161" s="81"/>
      <c r="S161" s="81"/>
      <c r="T161" s="74">
        <v>82.5</v>
      </c>
      <c r="U161" s="74"/>
      <c r="V161" s="74"/>
      <c r="W161" s="74">
        <v>12.52</v>
      </c>
      <c r="X161" s="74"/>
      <c r="Y161" s="74"/>
      <c r="Z161" s="74"/>
      <c r="AA161" s="84">
        <v>2.8</v>
      </c>
      <c r="AB161" s="74"/>
      <c r="AC161" s="74"/>
      <c r="AD161" s="78">
        <f t="shared" si="0"/>
        <v>97.82</v>
      </c>
      <c r="AE161" s="79"/>
      <c r="AF161" s="77" t="s">
        <v>92</v>
      </c>
      <c r="AG161" s="77" t="s">
        <v>93</v>
      </c>
      <c r="AH161" s="77" t="s">
        <v>90</v>
      </c>
      <c r="AI161" s="77" t="s">
        <v>91</v>
      </c>
    </row>
    <row r="162" spans="1:35">
      <c r="A162" s="74"/>
      <c r="B162" s="74"/>
      <c r="C162" s="74">
        <v>4</v>
      </c>
      <c r="D162" s="74" t="s">
        <v>79</v>
      </c>
      <c r="E162" s="81"/>
      <c r="F162" s="81"/>
      <c r="G162" s="81"/>
      <c r="H162" s="81"/>
      <c r="I162" s="81"/>
      <c r="J162" s="81"/>
      <c r="K162" s="81"/>
      <c r="L162" s="81"/>
      <c r="M162" s="81"/>
      <c r="N162" s="81"/>
      <c r="O162" s="81"/>
      <c r="P162" s="81"/>
      <c r="Q162" s="81"/>
      <c r="R162" s="81"/>
      <c r="S162" s="81"/>
      <c r="T162" s="12">
        <f>AVERAGEA(T158:T161)</f>
        <v>72.724999999999994</v>
      </c>
      <c r="U162" s="74">
        <f>AVERAGE(T158:T162)</f>
        <v>72.724999999999994</v>
      </c>
      <c r="V162" s="74"/>
      <c r="W162" s="74">
        <v>1.75</v>
      </c>
      <c r="X162" s="74">
        <f>AVERAGE(W158:W162)</f>
        <v>7.0379999999999994</v>
      </c>
      <c r="Y162" s="74"/>
      <c r="Z162" s="74"/>
      <c r="AA162" s="12">
        <f>AVERAGE(AA158:AA161)</f>
        <v>3.2925000000000004</v>
      </c>
      <c r="AB162" s="74">
        <f>AVERAGE(AA158:AA162)</f>
        <v>3.2925000000000004</v>
      </c>
      <c r="AC162" s="74"/>
      <c r="AD162" s="78">
        <f t="shared" si="0"/>
        <v>77.767499999999998</v>
      </c>
      <c r="AE162" s="79"/>
      <c r="AF162" s="77">
        <v>68.739999999999995</v>
      </c>
      <c r="AG162" s="77">
        <v>82.954999999999984</v>
      </c>
      <c r="AH162" s="77">
        <v>77.38</v>
      </c>
      <c r="AI162" s="77">
        <v>83.200000000000017</v>
      </c>
    </row>
    <row r="163" spans="1:35">
      <c r="A163" s="74" t="s">
        <v>106</v>
      </c>
      <c r="B163" s="74" t="s">
        <v>110</v>
      </c>
      <c r="C163" s="74">
        <v>1</v>
      </c>
      <c r="D163" s="74" t="s">
        <v>83</v>
      </c>
      <c r="E163" s="81"/>
      <c r="F163" s="81"/>
      <c r="G163" s="81"/>
      <c r="H163" s="81"/>
      <c r="I163" s="81"/>
      <c r="J163" s="81"/>
      <c r="K163" s="81"/>
      <c r="L163" s="81"/>
      <c r="M163" s="81"/>
      <c r="N163" s="81"/>
      <c r="O163" s="81"/>
      <c r="P163" s="81"/>
      <c r="Q163" s="81"/>
      <c r="R163" s="81"/>
      <c r="S163" s="81"/>
      <c r="T163" s="12">
        <v>55.77</v>
      </c>
      <c r="U163" s="74"/>
      <c r="V163" s="74"/>
      <c r="W163" s="97">
        <v>10.53</v>
      </c>
      <c r="X163" s="74"/>
      <c r="Y163" s="74"/>
      <c r="Z163" s="74"/>
      <c r="AA163" s="74">
        <v>2.44</v>
      </c>
      <c r="AB163" s="74"/>
      <c r="AC163" s="74"/>
      <c r="AD163" s="78">
        <f t="shared" si="0"/>
        <v>68.739999999999995</v>
      </c>
      <c r="AE163" s="79"/>
      <c r="AF163" s="77">
        <v>68.706666666666663</v>
      </c>
      <c r="AG163" s="77">
        <v>67.36</v>
      </c>
      <c r="AH163" s="77">
        <v>15.650000000000002</v>
      </c>
      <c r="AI163" s="77">
        <v>102.45</v>
      </c>
    </row>
    <row r="164" spans="1:35">
      <c r="A164" s="74"/>
      <c r="B164" s="74"/>
      <c r="C164" s="74">
        <v>1</v>
      </c>
      <c r="D164" s="74" t="s">
        <v>85</v>
      </c>
      <c r="E164" s="81"/>
      <c r="F164" s="81"/>
      <c r="G164" s="81"/>
      <c r="H164" s="81"/>
      <c r="I164" s="81"/>
      <c r="J164" s="81"/>
      <c r="K164" s="81"/>
      <c r="L164" s="81"/>
      <c r="M164" s="81"/>
      <c r="N164" s="81"/>
      <c r="O164" s="81"/>
      <c r="P164" s="81"/>
      <c r="Q164" s="81"/>
      <c r="R164" s="81"/>
      <c r="S164" s="81"/>
      <c r="T164" s="74">
        <v>55.8</v>
      </c>
      <c r="U164" s="74"/>
      <c r="V164" s="74"/>
      <c r="W164" s="112">
        <f>AVERAGE(W163,W165,W167)</f>
        <v>9.8166666666666682</v>
      </c>
      <c r="X164" s="74"/>
      <c r="Y164" s="74"/>
      <c r="Z164" s="74"/>
      <c r="AA164" s="74">
        <v>3.09</v>
      </c>
      <c r="AB164" s="74"/>
      <c r="AC164" s="74"/>
      <c r="AD164" s="78">
        <f t="shared" si="0"/>
        <v>68.706666666666663</v>
      </c>
      <c r="AE164" s="79"/>
      <c r="AF164" s="77">
        <v>58.19</v>
      </c>
      <c r="AG164" s="77">
        <v>85</v>
      </c>
      <c r="AH164" s="77">
        <v>82.33</v>
      </c>
      <c r="AI164" s="77">
        <v>103.48</v>
      </c>
    </row>
    <row r="165" spans="1:35">
      <c r="A165" s="74"/>
      <c r="B165" s="74"/>
      <c r="C165" s="74">
        <v>1</v>
      </c>
      <c r="D165" s="74" t="s">
        <v>109</v>
      </c>
      <c r="E165" s="81"/>
      <c r="F165" s="81"/>
      <c r="G165" s="81"/>
      <c r="H165" s="81"/>
      <c r="I165" s="81"/>
      <c r="J165" s="81"/>
      <c r="K165" s="81"/>
      <c r="L165" s="81"/>
      <c r="M165" s="81"/>
      <c r="N165" s="81"/>
      <c r="O165" s="81"/>
      <c r="P165" s="81"/>
      <c r="Q165" s="81"/>
      <c r="R165" s="81"/>
      <c r="S165" s="81"/>
      <c r="T165" s="74">
        <v>44.4</v>
      </c>
      <c r="U165" s="74"/>
      <c r="V165" s="74"/>
      <c r="W165" s="74">
        <v>11</v>
      </c>
      <c r="X165" s="74"/>
      <c r="Y165" s="74"/>
      <c r="Z165" s="74"/>
      <c r="AA165" s="74">
        <v>2.79</v>
      </c>
      <c r="AB165" s="74"/>
      <c r="AC165" s="74"/>
      <c r="AD165" s="78">
        <f t="shared" si="0"/>
        <v>58.19</v>
      </c>
      <c r="AE165" s="79"/>
      <c r="AF165" s="77">
        <v>78.609999999999985</v>
      </c>
      <c r="AG165" s="77">
        <v>97.22999999999999</v>
      </c>
      <c r="AH165" s="77">
        <v>84.204999999999998</v>
      </c>
      <c r="AI165" s="77">
        <v>95.89</v>
      </c>
    </row>
    <row r="166" spans="1:35">
      <c r="A166" s="74"/>
      <c r="B166" s="74"/>
      <c r="C166" s="74">
        <v>1</v>
      </c>
      <c r="D166" s="74" t="s">
        <v>111</v>
      </c>
      <c r="E166" s="81"/>
      <c r="F166" s="81"/>
      <c r="G166" s="81"/>
      <c r="H166" s="81"/>
      <c r="I166" s="81"/>
      <c r="J166" s="81"/>
      <c r="K166" s="81"/>
      <c r="L166" s="81"/>
      <c r="M166" s="81"/>
      <c r="N166" s="81"/>
      <c r="O166" s="81"/>
      <c r="P166" s="81"/>
      <c r="Q166" s="81"/>
      <c r="R166" s="81"/>
      <c r="S166" s="81"/>
      <c r="T166" s="74">
        <v>67.099999999999994</v>
      </c>
      <c r="U166" s="74"/>
      <c r="V166" s="74"/>
      <c r="W166" s="112">
        <v>9.82</v>
      </c>
      <c r="X166" s="74"/>
      <c r="Y166" s="74" t="s">
        <v>222</v>
      </c>
      <c r="Z166" s="74"/>
      <c r="AA166" s="84">
        <v>1.6</v>
      </c>
      <c r="AB166" s="74"/>
      <c r="AC166" s="74"/>
      <c r="AD166" s="78">
        <f t="shared" si="0"/>
        <v>78.519999999999982</v>
      </c>
      <c r="AE166" s="79"/>
      <c r="AF166" s="77">
        <v>67.006666666666661</v>
      </c>
      <c r="AG166" s="77">
        <v>84.92</v>
      </c>
      <c r="AH166" s="77">
        <v>79.900000000000006</v>
      </c>
      <c r="AI166" s="77">
        <v>87.899999999999991</v>
      </c>
    </row>
    <row r="167" spans="1:35">
      <c r="A167" s="74"/>
      <c r="B167" s="74"/>
      <c r="C167" s="74">
        <v>1</v>
      </c>
      <c r="D167" s="74" t="s">
        <v>79</v>
      </c>
      <c r="E167" s="81"/>
      <c r="F167" s="81"/>
      <c r="G167" s="81"/>
      <c r="H167" s="81"/>
      <c r="I167" s="81"/>
      <c r="J167" s="81"/>
      <c r="K167" s="81"/>
      <c r="L167" s="81"/>
      <c r="M167" s="81"/>
      <c r="N167" s="81"/>
      <c r="O167" s="81"/>
      <c r="P167" s="81"/>
      <c r="Q167" s="81"/>
      <c r="R167" s="81"/>
      <c r="S167" s="81"/>
      <c r="T167" s="12">
        <f>AVERAGE(T164:T166)</f>
        <v>55.766666666666659</v>
      </c>
      <c r="U167" s="74">
        <f>AVERAGE(T163:T167)</f>
        <v>55.767333333333326</v>
      </c>
      <c r="V167" s="74"/>
      <c r="W167" s="102">
        <v>7.92</v>
      </c>
      <c r="X167" s="97">
        <f>AVERAGE(W163:W167)</f>
        <v>9.8173333333333339</v>
      </c>
      <c r="Y167" s="74"/>
      <c r="Z167" s="74"/>
      <c r="AA167" s="74">
        <v>3.32</v>
      </c>
      <c r="AB167" s="74">
        <f>AVERAGE(AA163:AA167)</f>
        <v>2.6480000000000001</v>
      </c>
      <c r="AC167" s="74"/>
      <c r="AD167" s="78">
        <f t="shared" si="0"/>
        <v>67.006666666666661</v>
      </c>
      <c r="AE167" s="79"/>
      <c r="AF167" s="79"/>
      <c r="AG167" s="79"/>
      <c r="AH167" s="79"/>
      <c r="AI167" s="79"/>
    </row>
    <row r="168" spans="1:35" ht="14.25" customHeight="1">
      <c r="A168" s="74"/>
      <c r="B168" s="74"/>
      <c r="C168" s="74">
        <v>2</v>
      </c>
      <c r="D168" s="74" t="s">
        <v>83</v>
      </c>
      <c r="E168" s="81"/>
      <c r="F168" s="81"/>
      <c r="G168" s="81"/>
      <c r="H168" s="81"/>
      <c r="I168" s="81"/>
      <c r="J168" s="81"/>
      <c r="K168" s="81"/>
      <c r="L168" s="81"/>
      <c r="M168" s="81"/>
      <c r="N168" s="81"/>
      <c r="O168" s="81"/>
      <c r="P168" s="81"/>
      <c r="Q168" s="81"/>
      <c r="R168" s="81"/>
      <c r="S168" s="81"/>
      <c r="T168" s="12">
        <v>70.099999999999994</v>
      </c>
      <c r="U168" s="74"/>
      <c r="V168" s="74"/>
      <c r="W168" s="112">
        <v>10.365</v>
      </c>
      <c r="X168" s="74"/>
      <c r="Y168" s="74" t="s">
        <v>223</v>
      </c>
      <c r="Z168" s="74"/>
      <c r="AA168" s="84">
        <v>2.2999999999999998</v>
      </c>
      <c r="AB168" s="74"/>
      <c r="AC168" s="74"/>
      <c r="AD168" s="78">
        <f t="shared" si="0"/>
        <v>82.764999999999986</v>
      </c>
      <c r="AE168" s="79"/>
      <c r="AF168" s="79"/>
      <c r="AG168" s="79"/>
      <c r="AH168" s="79"/>
      <c r="AI168" s="79"/>
    </row>
    <row r="169" spans="1:35" ht="16.5" customHeight="1">
      <c r="A169" s="74"/>
      <c r="B169" s="74"/>
      <c r="C169" s="74">
        <v>2</v>
      </c>
      <c r="D169" s="74" t="s">
        <v>85</v>
      </c>
      <c r="E169" s="81"/>
      <c r="F169" s="81"/>
      <c r="G169" s="81"/>
      <c r="H169" s="81"/>
      <c r="I169" s="81"/>
      <c r="J169" s="81"/>
      <c r="K169" s="81"/>
      <c r="L169" s="81"/>
      <c r="M169" s="81"/>
      <c r="N169" s="81"/>
      <c r="O169" s="81"/>
      <c r="P169" s="81"/>
      <c r="Q169" s="81"/>
      <c r="R169" s="81"/>
      <c r="S169" s="81"/>
      <c r="T169" s="74">
        <v>62.4</v>
      </c>
      <c r="U169" s="74"/>
      <c r="V169" s="74"/>
      <c r="W169" s="102">
        <v>3.03</v>
      </c>
      <c r="X169" s="74"/>
      <c r="Y169" s="74"/>
      <c r="Z169" s="74"/>
      <c r="AA169" s="84">
        <v>1.7</v>
      </c>
      <c r="AB169" s="74"/>
      <c r="AC169" s="74"/>
      <c r="AD169" s="78">
        <f t="shared" si="0"/>
        <v>67.13</v>
      </c>
      <c r="AE169" s="79"/>
      <c r="AF169" s="79"/>
      <c r="AG169" s="79"/>
      <c r="AH169" s="79"/>
      <c r="AI169" s="79"/>
    </row>
    <row r="170" spans="1:35">
      <c r="A170" s="74"/>
      <c r="B170" s="74"/>
      <c r="C170" s="74">
        <v>2</v>
      </c>
      <c r="D170" s="74" t="s">
        <v>87</v>
      </c>
      <c r="E170" s="81"/>
      <c r="F170" s="81"/>
      <c r="G170" s="81"/>
      <c r="H170" s="81"/>
      <c r="I170" s="81"/>
      <c r="J170" s="81"/>
      <c r="K170" s="81"/>
      <c r="L170" s="81"/>
      <c r="M170" s="81"/>
      <c r="N170" s="81"/>
      <c r="O170" s="81"/>
      <c r="P170" s="81"/>
      <c r="Q170" s="81"/>
      <c r="R170" s="81"/>
      <c r="S170" s="81"/>
      <c r="T170" s="74">
        <v>75.599999999999994</v>
      </c>
      <c r="U170" s="74"/>
      <c r="V170" s="74"/>
      <c r="W170" s="102">
        <v>6.34</v>
      </c>
      <c r="X170" s="74"/>
      <c r="Y170" s="74"/>
      <c r="Z170" s="74"/>
      <c r="AA170" s="84">
        <v>2.99</v>
      </c>
      <c r="AB170" s="74"/>
      <c r="AC170" s="74"/>
      <c r="AD170" s="78">
        <f t="shared" si="0"/>
        <v>84.929999999999993</v>
      </c>
      <c r="AE170" s="79"/>
      <c r="AF170" s="79"/>
      <c r="AG170" s="79"/>
      <c r="AH170" s="79"/>
      <c r="AI170" s="79"/>
    </row>
    <row r="171" spans="1:35">
      <c r="A171" s="74"/>
      <c r="B171" s="74"/>
      <c r="C171" s="74">
        <v>2</v>
      </c>
      <c r="D171" s="74" t="s">
        <v>79</v>
      </c>
      <c r="E171" s="81"/>
      <c r="F171" s="81"/>
      <c r="G171" s="81"/>
      <c r="H171" s="81"/>
      <c r="I171" s="81"/>
      <c r="J171" s="81"/>
      <c r="K171" s="81"/>
      <c r="L171" s="81"/>
      <c r="M171" s="81"/>
      <c r="N171" s="81"/>
      <c r="O171" s="81"/>
      <c r="P171" s="81"/>
      <c r="Q171" s="81"/>
      <c r="R171" s="81"/>
      <c r="S171" s="81"/>
      <c r="T171" s="74">
        <v>72.3</v>
      </c>
      <c r="U171" s="74"/>
      <c r="V171" s="74"/>
      <c r="W171" s="74">
        <v>22.13</v>
      </c>
      <c r="X171" s="74"/>
      <c r="Y171" s="74"/>
      <c r="Z171" s="74"/>
      <c r="AA171" s="74">
        <v>2.8</v>
      </c>
      <c r="AB171" s="74"/>
      <c r="AC171" s="74"/>
      <c r="AD171" s="78">
        <f t="shared" si="0"/>
        <v>97.22999999999999</v>
      </c>
      <c r="AE171" s="79"/>
      <c r="AF171" s="79"/>
      <c r="AG171" s="79"/>
      <c r="AH171" s="79"/>
      <c r="AI171" s="79"/>
    </row>
    <row r="172" spans="1:35">
      <c r="A172" s="74"/>
      <c r="B172" s="74"/>
      <c r="C172" s="74">
        <v>2</v>
      </c>
      <c r="D172" s="74" t="s">
        <v>88</v>
      </c>
      <c r="E172" s="81"/>
      <c r="F172" s="81"/>
      <c r="G172" s="81"/>
      <c r="H172" s="81"/>
      <c r="I172" s="81"/>
      <c r="J172" s="81"/>
      <c r="K172" s="81"/>
      <c r="L172" s="81"/>
      <c r="M172" s="81"/>
      <c r="N172" s="81"/>
      <c r="O172" s="81"/>
      <c r="P172" s="81"/>
      <c r="Q172" s="81"/>
      <c r="R172" s="81"/>
      <c r="S172" s="81"/>
      <c r="T172" s="12">
        <v>70.099999999999994</v>
      </c>
      <c r="U172" s="74">
        <f>AVERAGE(T168:T172)</f>
        <v>70.099999999999994</v>
      </c>
      <c r="V172" s="74"/>
      <c r="W172" s="102">
        <v>9.9600000000000009</v>
      </c>
      <c r="X172" s="97">
        <f>AVERAGE(W168:W172)</f>
        <v>10.364999999999998</v>
      </c>
      <c r="Y172" s="74"/>
      <c r="Z172" s="74"/>
      <c r="AA172" s="84">
        <v>2.8</v>
      </c>
      <c r="AB172" s="74">
        <f>AVERAGE(AA168:AA172)</f>
        <v>2.5179999999999998</v>
      </c>
      <c r="AC172" s="74"/>
      <c r="AD172" s="78">
        <f t="shared" si="0"/>
        <v>82.86</v>
      </c>
      <c r="AE172" s="79"/>
      <c r="AF172" s="79"/>
      <c r="AG172" s="79"/>
      <c r="AH172" s="79"/>
      <c r="AI172" s="79"/>
    </row>
    <row r="173" spans="1:35">
      <c r="A173" s="74"/>
      <c r="B173" s="74"/>
      <c r="C173" s="74">
        <v>3</v>
      </c>
      <c r="D173" s="74" t="s">
        <v>83</v>
      </c>
      <c r="E173" s="81"/>
      <c r="F173" s="81"/>
      <c r="G173" s="81"/>
      <c r="H173" s="81"/>
      <c r="I173" s="81"/>
      <c r="J173" s="81"/>
      <c r="K173" s="81"/>
      <c r="L173" s="81"/>
      <c r="M173" s="81"/>
      <c r="N173" s="81"/>
      <c r="O173" s="81"/>
      <c r="P173" s="81"/>
      <c r="Q173" s="81"/>
      <c r="R173" s="81"/>
      <c r="S173" s="81"/>
      <c r="T173" s="74">
        <v>74</v>
      </c>
      <c r="U173" s="74"/>
      <c r="V173" s="74"/>
      <c r="W173" s="74">
        <v>1.88</v>
      </c>
      <c r="X173" s="74"/>
      <c r="Y173" s="74"/>
      <c r="Z173" s="74"/>
      <c r="AA173" s="101">
        <v>1.5</v>
      </c>
      <c r="AB173" s="74"/>
      <c r="AC173" s="74"/>
      <c r="AD173" s="78">
        <f t="shared" si="0"/>
        <v>77.38</v>
      </c>
      <c r="AE173" s="79"/>
      <c r="AF173" s="79"/>
      <c r="AG173" s="79"/>
      <c r="AH173" s="79"/>
      <c r="AI173" s="79"/>
    </row>
    <row r="174" spans="1:35">
      <c r="A174" s="74"/>
      <c r="B174" s="74"/>
      <c r="C174" s="74">
        <v>3</v>
      </c>
      <c r="D174" s="74" t="s">
        <v>85</v>
      </c>
      <c r="E174" s="81"/>
      <c r="F174" s="81"/>
      <c r="G174" s="81"/>
      <c r="H174" s="81"/>
      <c r="I174" s="81"/>
      <c r="J174" s="81"/>
      <c r="K174" s="81"/>
      <c r="L174" s="81"/>
      <c r="M174" s="81"/>
      <c r="N174" s="81"/>
      <c r="O174" s="81"/>
      <c r="P174" s="81"/>
      <c r="Q174" s="81"/>
      <c r="R174" s="81"/>
      <c r="S174" s="81"/>
      <c r="T174" s="83">
        <v>12.3</v>
      </c>
      <c r="U174" s="74"/>
      <c r="V174" s="74"/>
      <c r="W174" s="74">
        <v>2.62</v>
      </c>
      <c r="X174" s="74"/>
      <c r="Y174" s="74"/>
      <c r="Z174" s="74"/>
      <c r="AA174" s="101">
        <v>0.73</v>
      </c>
      <c r="AB174" s="74"/>
      <c r="AC174" s="74"/>
      <c r="AD174" s="78">
        <f t="shared" si="0"/>
        <v>15.650000000000002</v>
      </c>
      <c r="AE174" s="79"/>
      <c r="AF174" s="79"/>
      <c r="AG174" s="79"/>
      <c r="AH174" s="79"/>
      <c r="AI174" s="79"/>
    </row>
    <row r="175" spans="1:35">
      <c r="A175" s="74"/>
      <c r="B175" s="74"/>
      <c r="C175" s="74">
        <v>3</v>
      </c>
      <c r="D175" s="74" t="s">
        <v>109</v>
      </c>
      <c r="E175" s="81"/>
      <c r="F175" s="81"/>
      <c r="G175" s="81"/>
      <c r="H175" s="81"/>
      <c r="I175" s="81"/>
      <c r="J175" s="81"/>
      <c r="K175" s="81"/>
      <c r="L175" s="81"/>
      <c r="M175" s="81"/>
      <c r="N175" s="81"/>
      <c r="O175" s="81"/>
      <c r="P175" s="81"/>
      <c r="Q175" s="81"/>
      <c r="R175" s="81"/>
      <c r="S175" s="81"/>
      <c r="T175" s="74">
        <v>66</v>
      </c>
      <c r="U175" s="74"/>
      <c r="V175" s="74"/>
      <c r="W175" s="74">
        <v>13.35</v>
      </c>
      <c r="X175" s="74"/>
      <c r="Y175" s="74"/>
      <c r="Z175" s="74"/>
      <c r="AA175" s="74">
        <v>2.98</v>
      </c>
      <c r="AB175" s="74"/>
      <c r="AC175" s="74"/>
      <c r="AD175" s="78">
        <f t="shared" si="0"/>
        <v>82.33</v>
      </c>
      <c r="AE175" s="79"/>
      <c r="AF175" s="79"/>
      <c r="AG175" s="79"/>
      <c r="AH175" s="79"/>
      <c r="AI175" s="79"/>
    </row>
    <row r="176" spans="1:35">
      <c r="A176" s="74"/>
      <c r="B176" s="74"/>
      <c r="C176" s="74">
        <v>3</v>
      </c>
      <c r="D176" s="74" t="s">
        <v>79</v>
      </c>
      <c r="E176" s="81"/>
      <c r="F176" s="81"/>
      <c r="G176" s="81"/>
      <c r="H176" s="81"/>
      <c r="I176" s="81"/>
      <c r="J176" s="81"/>
      <c r="K176" s="81"/>
      <c r="L176" s="81"/>
      <c r="M176" s="81"/>
      <c r="N176" s="81"/>
      <c r="O176" s="81"/>
      <c r="P176" s="81"/>
      <c r="Q176" s="81"/>
      <c r="R176" s="81"/>
      <c r="S176" s="81"/>
      <c r="T176" s="74">
        <v>75.8</v>
      </c>
      <c r="U176" s="74"/>
      <c r="V176" s="74"/>
      <c r="W176" s="12">
        <f>AVERAGE(W173:W175,W177)</f>
        <v>5.3450000000000006</v>
      </c>
      <c r="X176" s="74"/>
      <c r="Y176" s="74"/>
      <c r="Z176" s="74"/>
      <c r="AA176" s="74">
        <v>3.06</v>
      </c>
      <c r="AB176" s="74"/>
      <c r="AC176" s="74"/>
      <c r="AD176" s="78">
        <f t="shared" si="0"/>
        <v>84.204999999999998</v>
      </c>
      <c r="AE176" s="79"/>
      <c r="AF176" s="79"/>
      <c r="AG176" s="79"/>
      <c r="AH176" s="79"/>
      <c r="AI176" s="79"/>
    </row>
    <row r="177" spans="1:35">
      <c r="A177" s="74"/>
      <c r="B177" s="74"/>
      <c r="C177" s="74">
        <v>3</v>
      </c>
      <c r="D177" s="74" t="s">
        <v>88</v>
      </c>
      <c r="E177" s="81"/>
      <c r="F177" s="81"/>
      <c r="G177" s="81"/>
      <c r="H177" s="81"/>
      <c r="I177" s="81"/>
      <c r="J177" s="81"/>
      <c r="K177" s="81"/>
      <c r="L177" s="81"/>
      <c r="M177" s="81"/>
      <c r="N177" s="81"/>
      <c r="O177" s="81"/>
      <c r="P177" s="81"/>
      <c r="Q177" s="81"/>
      <c r="R177" s="81"/>
      <c r="S177" s="81"/>
      <c r="T177" s="74">
        <v>73.900000000000006</v>
      </c>
      <c r="U177" s="74">
        <f>AVERAGE(T173:T177)</f>
        <v>60.4</v>
      </c>
      <c r="V177" s="74"/>
      <c r="W177" s="74">
        <v>3.53</v>
      </c>
      <c r="X177" s="74">
        <f>AVERAGE(W173:W177)</f>
        <v>5.3450000000000006</v>
      </c>
      <c r="Y177" s="74"/>
      <c r="Z177" s="74"/>
      <c r="AA177" s="74">
        <v>2.4700000000000002</v>
      </c>
      <c r="AB177" s="74">
        <f>AVERAGE(AA173:AA177)</f>
        <v>2.1480000000000001</v>
      </c>
      <c r="AC177" s="74"/>
      <c r="AD177" s="78">
        <f t="shared" si="0"/>
        <v>79.900000000000006</v>
      </c>
      <c r="AE177" s="79"/>
      <c r="AF177" s="79"/>
      <c r="AG177" s="79"/>
      <c r="AH177" s="79"/>
      <c r="AI177" s="79"/>
    </row>
    <row r="178" spans="1:35">
      <c r="A178" s="74"/>
      <c r="B178" s="74"/>
      <c r="C178" s="74">
        <v>4</v>
      </c>
      <c r="D178" s="74" t="s">
        <v>83</v>
      </c>
      <c r="E178" s="81"/>
      <c r="F178" s="81"/>
      <c r="G178" s="81"/>
      <c r="H178" s="81"/>
      <c r="I178" s="81"/>
      <c r="J178" s="81"/>
      <c r="K178" s="81"/>
      <c r="L178" s="81"/>
      <c r="M178" s="81"/>
      <c r="N178" s="81"/>
      <c r="O178" s="81"/>
      <c r="P178" s="81"/>
      <c r="Q178" s="81"/>
      <c r="R178" s="81"/>
      <c r="S178" s="81"/>
      <c r="T178" s="74">
        <v>66.400000000000006</v>
      </c>
      <c r="U178" s="74"/>
      <c r="V178" s="74"/>
      <c r="W178" s="74">
        <v>12.62</v>
      </c>
      <c r="X178" s="74"/>
      <c r="Y178" s="74"/>
      <c r="Z178" s="74"/>
      <c r="AA178" s="74">
        <v>4.18</v>
      </c>
      <c r="AB178" s="74"/>
      <c r="AC178" s="74"/>
      <c r="AD178" s="78">
        <f t="shared" si="0"/>
        <v>83.200000000000017</v>
      </c>
      <c r="AE178" s="79"/>
      <c r="AF178" s="79"/>
      <c r="AG178" s="79"/>
      <c r="AH178" s="79"/>
      <c r="AI178" s="79"/>
    </row>
    <row r="179" spans="1:35">
      <c r="A179" s="74"/>
      <c r="B179" s="74"/>
      <c r="C179" s="74">
        <v>4</v>
      </c>
      <c r="D179" s="74" t="s">
        <v>85</v>
      </c>
      <c r="E179" s="81"/>
      <c r="F179" s="81"/>
      <c r="G179" s="81"/>
      <c r="H179" s="81"/>
      <c r="I179" s="81"/>
      <c r="J179" s="81"/>
      <c r="K179" s="81"/>
      <c r="L179" s="81"/>
      <c r="M179" s="81"/>
      <c r="N179" s="81"/>
      <c r="O179" s="81"/>
      <c r="P179" s="81"/>
      <c r="Q179" s="81"/>
      <c r="R179" s="81"/>
      <c r="S179" s="81"/>
      <c r="T179" s="12">
        <v>73.25</v>
      </c>
      <c r="U179" s="74"/>
      <c r="V179" s="74"/>
      <c r="W179" s="74">
        <v>23.81</v>
      </c>
      <c r="X179" s="74"/>
      <c r="Y179" s="74"/>
      <c r="Z179" s="74"/>
      <c r="AA179" s="74">
        <v>5.39</v>
      </c>
      <c r="AB179" s="74"/>
      <c r="AC179" s="74"/>
      <c r="AD179" s="78">
        <f t="shared" si="0"/>
        <v>102.45</v>
      </c>
      <c r="AE179" s="79"/>
      <c r="AF179" s="79"/>
      <c r="AG179" s="79"/>
      <c r="AH179" s="79"/>
      <c r="AI179" s="79"/>
    </row>
    <row r="180" spans="1:35">
      <c r="A180" s="74"/>
      <c r="B180" s="74"/>
      <c r="C180" s="74">
        <v>4</v>
      </c>
      <c r="D180" s="74" t="s">
        <v>87</v>
      </c>
      <c r="E180" s="81"/>
      <c r="F180" s="81"/>
      <c r="G180" s="81"/>
      <c r="H180" s="81"/>
      <c r="I180" s="81"/>
      <c r="J180" s="81"/>
      <c r="K180" s="81"/>
      <c r="L180" s="81"/>
      <c r="M180" s="81"/>
      <c r="N180" s="81"/>
      <c r="O180" s="81"/>
      <c r="P180" s="81"/>
      <c r="Q180" s="81"/>
      <c r="R180" s="81"/>
      <c r="S180" s="81"/>
      <c r="T180" s="74">
        <v>80.099999999999994</v>
      </c>
      <c r="U180" s="74"/>
      <c r="V180" s="74"/>
      <c r="W180" s="74">
        <v>18.34</v>
      </c>
      <c r="X180" s="74"/>
      <c r="Y180" s="74"/>
      <c r="Z180" s="74"/>
      <c r="AA180" s="74">
        <v>5.04</v>
      </c>
      <c r="AB180" s="74"/>
      <c r="AC180" s="74"/>
      <c r="AD180" s="78">
        <f t="shared" si="0"/>
        <v>103.48</v>
      </c>
      <c r="AE180" s="79"/>
      <c r="AF180" s="79"/>
      <c r="AG180" s="79"/>
      <c r="AH180" s="79"/>
      <c r="AI180" s="79"/>
    </row>
    <row r="181" spans="1:35">
      <c r="A181" s="74"/>
      <c r="B181" s="74"/>
      <c r="C181" s="74">
        <v>4</v>
      </c>
      <c r="D181" s="74" t="s">
        <v>79</v>
      </c>
      <c r="E181" s="81"/>
      <c r="F181" s="81"/>
      <c r="G181" s="81"/>
      <c r="H181" s="81"/>
      <c r="I181" s="81"/>
      <c r="J181" s="81"/>
      <c r="K181" s="81"/>
      <c r="L181" s="81"/>
      <c r="M181" s="81"/>
      <c r="N181" s="81"/>
      <c r="O181" s="81"/>
      <c r="P181" s="81"/>
      <c r="Q181" s="81"/>
      <c r="R181" s="81"/>
      <c r="S181" s="81"/>
      <c r="T181" s="12">
        <v>73.25</v>
      </c>
      <c r="U181" s="74"/>
      <c r="V181" s="74"/>
      <c r="W181" s="112">
        <v>16.62</v>
      </c>
      <c r="X181" s="77"/>
      <c r="Y181" s="74" t="s">
        <v>224</v>
      </c>
      <c r="Z181" s="74"/>
      <c r="AA181" s="74">
        <v>6.02</v>
      </c>
      <c r="AB181" s="74"/>
      <c r="AC181" s="74" t="s">
        <v>225</v>
      </c>
      <c r="AD181" s="78">
        <f t="shared" si="0"/>
        <v>95.89</v>
      </c>
      <c r="AE181" s="79"/>
      <c r="AF181" s="85" t="s">
        <v>90</v>
      </c>
      <c r="AG181" s="85" t="s">
        <v>92</v>
      </c>
      <c r="AH181" s="85" t="s">
        <v>226</v>
      </c>
      <c r="AI181" s="85" t="s">
        <v>91</v>
      </c>
    </row>
    <row r="182" spans="1:35">
      <c r="A182" s="74"/>
      <c r="B182" s="74"/>
      <c r="C182" s="74">
        <v>4</v>
      </c>
      <c r="D182" s="74" t="s">
        <v>88</v>
      </c>
      <c r="E182" s="81"/>
      <c r="F182" s="81"/>
      <c r="G182" s="81"/>
      <c r="H182" s="81"/>
      <c r="I182" s="81"/>
      <c r="J182" s="81"/>
      <c r="K182" s="81"/>
      <c r="L182" s="81"/>
      <c r="M182" s="81"/>
      <c r="N182" s="81"/>
      <c r="O182" s="81"/>
      <c r="P182" s="81"/>
      <c r="Q182" s="81"/>
      <c r="R182" s="81"/>
      <c r="S182" s="81"/>
      <c r="T182" s="12">
        <v>73.25</v>
      </c>
      <c r="U182" s="74">
        <f>AVERAGE(T178:T182)</f>
        <v>73.25</v>
      </c>
      <c r="V182" s="74"/>
      <c r="W182" s="97">
        <v>11.69</v>
      </c>
      <c r="X182" s="74">
        <f>AVERAGE(W178:W182)</f>
        <v>16.616</v>
      </c>
      <c r="Y182" s="74"/>
      <c r="Z182" s="74"/>
      <c r="AA182" s="74">
        <v>2.96</v>
      </c>
      <c r="AB182" s="74">
        <f>AVERAGE(AA178:AA182)</f>
        <v>4.718</v>
      </c>
      <c r="AC182" s="74"/>
      <c r="AD182" s="78">
        <f t="shared" si="0"/>
        <v>87.899999999999991</v>
      </c>
      <c r="AE182" s="79"/>
      <c r="AF182" s="77">
        <v>61.99</v>
      </c>
      <c r="AG182" s="77">
        <v>61.6</v>
      </c>
      <c r="AH182" s="77">
        <v>65.72999999999999</v>
      </c>
      <c r="AI182" s="77">
        <v>56.79</v>
      </c>
    </row>
    <row r="183" spans="1:35">
      <c r="A183" s="74" t="s">
        <v>112</v>
      </c>
      <c r="B183" s="74" t="s">
        <v>113</v>
      </c>
      <c r="C183" s="74">
        <v>1</v>
      </c>
      <c r="D183" s="74" t="s">
        <v>83</v>
      </c>
      <c r="E183" s="81"/>
      <c r="F183" s="81"/>
      <c r="G183" s="81"/>
      <c r="H183" s="81"/>
      <c r="I183" s="81"/>
      <c r="J183" s="81"/>
      <c r="K183" s="81"/>
      <c r="L183" s="81"/>
      <c r="M183" s="81"/>
      <c r="N183" s="81"/>
      <c r="O183" s="81"/>
      <c r="P183" s="81"/>
      <c r="Q183" s="81"/>
      <c r="R183" s="81"/>
      <c r="S183" s="81"/>
      <c r="T183" s="74">
        <v>53.1</v>
      </c>
      <c r="U183" s="74"/>
      <c r="V183" s="74"/>
      <c r="W183" s="102">
        <v>4.1500000000000004</v>
      </c>
      <c r="X183" s="74"/>
      <c r="Y183" s="74"/>
      <c r="Z183" s="74"/>
      <c r="AA183" s="74">
        <v>4.74</v>
      </c>
      <c r="AB183" s="74"/>
      <c r="AC183" s="74"/>
      <c r="AD183" s="78">
        <f t="shared" si="0"/>
        <v>61.99</v>
      </c>
      <c r="AE183" s="79"/>
      <c r="AF183" s="77">
        <v>57.929999999999993</v>
      </c>
      <c r="AG183" s="77">
        <v>60.99</v>
      </c>
      <c r="AH183" s="77">
        <v>75.09</v>
      </c>
      <c r="AI183" s="77">
        <v>59.455000000000005</v>
      </c>
    </row>
    <row r="184" spans="1:35">
      <c r="A184" s="74"/>
      <c r="B184" s="74"/>
      <c r="C184" s="74">
        <v>1</v>
      </c>
      <c r="D184" s="74" t="s">
        <v>108</v>
      </c>
      <c r="E184" s="81"/>
      <c r="F184" s="81"/>
      <c r="G184" s="81"/>
      <c r="H184" s="81"/>
      <c r="I184" s="81"/>
      <c r="J184" s="81"/>
      <c r="K184" s="81"/>
      <c r="L184" s="81"/>
      <c r="M184" s="81"/>
      <c r="N184" s="81"/>
      <c r="O184" s="81"/>
      <c r="P184" s="81"/>
      <c r="Q184" s="81"/>
      <c r="R184" s="81"/>
      <c r="S184" s="81"/>
      <c r="T184" s="74">
        <v>49.3</v>
      </c>
      <c r="U184" s="74"/>
      <c r="V184" s="74"/>
      <c r="W184" s="102">
        <v>1.58</v>
      </c>
      <c r="X184" s="74"/>
      <c r="Y184" s="74"/>
      <c r="Z184" s="74"/>
      <c r="AA184" s="74">
        <v>7.05</v>
      </c>
      <c r="AB184" s="74"/>
      <c r="AC184" s="74"/>
      <c r="AD184" s="78">
        <f t="shared" si="0"/>
        <v>57.929999999999993</v>
      </c>
      <c r="AE184" s="79"/>
      <c r="AF184" s="77">
        <v>60.71</v>
      </c>
      <c r="AG184" s="77">
        <v>60.64</v>
      </c>
      <c r="AH184" s="77">
        <v>44.55</v>
      </c>
      <c r="AI184" s="77">
        <v>57.18</v>
      </c>
    </row>
    <row r="185" spans="1:35">
      <c r="A185" s="74"/>
      <c r="B185" s="74"/>
      <c r="C185" s="74">
        <v>1</v>
      </c>
      <c r="D185" s="74" t="s">
        <v>109</v>
      </c>
      <c r="E185" s="81"/>
      <c r="F185" s="81"/>
      <c r="G185" s="81"/>
      <c r="H185" s="81"/>
      <c r="I185" s="81"/>
      <c r="J185" s="81"/>
      <c r="K185" s="81"/>
      <c r="L185" s="81"/>
      <c r="M185" s="81"/>
      <c r="N185" s="81"/>
      <c r="O185" s="81"/>
      <c r="P185" s="81"/>
      <c r="Q185" s="81"/>
      <c r="R185" s="81"/>
      <c r="S185" s="81"/>
      <c r="T185" s="74">
        <v>54.2</v>
      </c>
      <c r="U185" s="74"/>
      <c r="V185" s="74"/>
      <c r="W185" s="102">
        <v>3.64</v>
      </c>
      <c r="X185" s="74"/>
      <c r="Y185" s="74"/>
      <c r="Z185" s="74"/>
      <c r="AA185" s="74">
        <v>2.87</v>
      </c>
      <c r="AB185" s="74"/>
      <c r="AC185" s="74"/>
      <c r="AD185" s="78">
        <f t="shared" si="0"/>
        <v>60.71</v>
      </c>
      <c r="AE185" s="79"/>
      <c r="AF185" s="77">
        <v>56.94</v>
      </c>
      <c r="AG185" s="77">
        <v>65.67</v>
      </c>
      <c r="AH185" s="77">
        <v>61.81</v>
      </c>
      <c r="AI185" s="77">
        <v>65.5</v>
      </c>
    </row>
    <row r="186" spans="1:35">
      <c r="A186" s="74"/>
      <c r="B186" s="74"/>
      <c r="C186" s="74">
        <v>1</v>
      </c>
      <c r="D186" s="74" t="s">
        <v>87</v>
      </c>
      <c r="E186" s="81"/>
      <c r="F186" s="81"/>
      <c r="G186" s="81"/>
      <c r="H186" s="81"/>
      <c r="I186" s="81"/>
      <c r="J186" s="81"/>
      <c r="K186" s="81"/>
      <c r="L186" s="81"/>
      <c r="M186" s="81"/>
      <c r="N186" s="81"/>
      <c r="O186" s="81"/>
      <c r="P186" s="81"/>
      <c r="Q186" s="81"/>
      <c r="R186" s="81"/>
      <c r="S186" s="81"/>
      <c r="T186" s="74">
        <v>50.4</v>
      </c>
      <c r="U186" s="74"/>
      <c r="V186" s="74"/>
      <c r="W186" s="102">
        <v>2.95</v>
      </c>
      <c r="X186" s="74"/>
      <c r="Y186" s="74"/>
      <c r="Z186" s="74"/>
      <c r="AA186" s="84">
        <v>2.4</v>
      </c>
      <c r="AB186" s="74"/>
      <c r="AC186" s="74"/>
      <c r="AD186" s="78">
        <f t="shared" si="0"/>
        <v>55.75</v>
      </c>
      <c r="AE186" s="79"/>
      <c r="AF186" s="77">
        <v>61.85</v>
      </c>
      <c r="AG186" s="77">
        <v>58.29</v>
      </c>
      <c r="AH186" s="77">
        <v>60.32</v>
      </c>
      <c r="AI186" s="77">
        <v>63.690000000000005</v>
      </c>
    </row>
    <row r="187" spans="1:35">
      <c r="A187" s="74"/>
      <c r="B187" s="74"/>
      <c r="C187" s="74">
        <v>1</v>
      </c>
      <c r="D187" s="74" t="s">
        <v>79</v>
      </c>
      <c r="E187" s="81"/>
      <c r="F187" s="81"/>
      <c r="G187" s="81"/>
      <c r="H187" s="81"/>
      <c r="I187" s="81"/>
      <c r="J187" s="81"/>
      <c r="K187" s="81"/>
      <c r="L187" s="81"/>
      <c r="M187" s="81"/>
      <c r="N187" s="81"/>
      <c r="O187" s="81"/>
      <c r="P187" s="81"/>
      <c r="Q187" s="81"/>
      <c r="R187" s="81"/>
      <c r="S187" s="81"/>
      <c r="T187" s="74">
        <v>54.6</v>
      </c>
      <c r="U187" s="74">
        <f>AVERAGE(T183:T187)</f>
        <v>52.320000000000007</v>
      </c>
      <c r="V187" s="74"/>
      <c r="W187" s="97">
        <v>1</v>
      </c>
      <c r="X187" s="102">
        <f>AVERAGE(W183:W187)</f>
        <v>2.6640000000000001</v>
      </c>
      <c r="Y187" s="74"/>
      <c r="Z187" s="74"/>
      <c r="AA187" s="74">
        <v>6.25</v>
      </c>
      <c r="AB187" s="74">
        <f>AVERAGE(AA183:AA187)</f>
        <v>4.6619999999999999</v>
      </c>
      <c r="AC187" s="74"/>
      <c r="AD187" s="78">
        <f t="shared" si="0"/>
        <v>61.85</v>
      </c>
      <c r="AE187" s="79"/>
      <c r="AF187" s="79"/>
      <c r="AG187" s="79"/>
      <c r="AH187" s="79"/>
      <c r="AI187" s="79"/>
    </row>
    <row r="188" spans="1:35">
      <c r="A188" s="74"/>
      <c r="B188" s="74"/>
      <c r="C188" s="74">
        <v>2</v>
      </c>
      <c r="D188" s="74" t="s">
        <v>83</v>
      </c>
      <c r="E188" s="81"/>
      <c r="F188" s="81"/>
      <c r="G188" s="81"/>
      <c r="H188" s="81"/>
      <c r="I188" s="81"/>
      <c r="J188" s="81"/>
      <c r="K188" s="81"/>
      <c r="L188" s="81"/>
      <c r="M188" s="81"/>
      <c r="N188" s="81"/>
      <c r="O188" s="81"/>
      <c r="P188" s="81"/>
      <c r="Q188" s="81"/>
      <c r="R188" s="81"/>
      <c r="S188" s="81"/>
      <c r="T188" s="74">
        <v>54.8</v>
      </c>
      <c r="U188" s="74"/>
      <c r="V188" s="74"/>
      <c r="W188" s="97">
        <v>3.63</v>
      </c>
      <c r="X188" s="74"/>
      <c r="Y188" s="74"/>
      <c r="Z188" s="74"/>
      <c r="AA188" s="74">
        <v>3.17</v>
      </c>
      <c r="AB188" s="74"/>
      <c r="AC188" s="74"/>
      <c r="AD188" s="78">
        <f t="shared" si="0"/>
        <v>61.6</v>
      </c>
      <c r="AE188" s="79"/>
      <c r="AF188" s="79"/>
      <c r="AG188" s="79"/>
      <c r="AH188" s="79"/>
      <c r="AI188" s="79"/>
    </row>
    <row r="189" spans="1:35">
      <c r="A189" s="74"/>
      <c r="B189" s="74"/>
      <c r="C189" s="74">
        <v>2</v>
      </c>
      <c r="D189" s="74" t="s">
        <v>108</v>
      </c>
      <c r="E189" s="81"/>
      <c r="F189" s="81"/>
      <c r="G189" s="81"/>
      <c r="H189" s="81"/>
      <c r="I189" s="81"/>
      <c r="J189" s="81"/>
      <c r="K189" s="81"/>
      <c r="L189" s="81"/>
      <c r="M189" s="81"/>
      <c r="N189" s="81"/>
      <c r="O189" s="81"/>
      <c r="P189" s="81"/>
      <c r="Q189" s="81"/>
      <c r="R189" s="81"/>
      <c r="S189" s="81"/>
      <c r="T189" s="74">
        <v>49.6</v>
      </c>
      <c r="U189" s="74"/>
      <c r="V189" s="74"/>
      <c r="W189" s="97">
        <v>9.02</v>
      </c>
      <c r="X189" s="12">
        <v>2.15</v>
      </c>
      <c r="Y189" s="74" t="s">
        <v>227</v>
      </c>
      <c r="Z189" s="74"/>
      <c r="AA189" s="74">
        <v>2.37</v>
      </c>
      <c r="AB189" s="74"/>
      <c r="AC189" s="74"/>
      <c r="AD189" s="78">
        <f t="shared" si="0"/>
        <v>60.99</v>
      </c>
      <c r="AE189" s="79"/>
      <c r="AF189" s="79"/>
      <c r="AG189" s="79"/>
      <c r="AH189" s="79"/>
      <c r="AI189" s="79"/>
    </row>
    <row r="190" spans="1:35">
      <c r="A190" s="74"/>
      <c r="B190" s="74"/>
      <c r="C190" s="74">
        <v>2</v>
      </c>
      <c r="D190" s="74" t="s">
        <v>109</v>
      </c>
      <c r="E190" s="81"/>
      <c r="F190" s="81"/>
      <c r="G190" s="81"/>
      <c r="H190" s="81"/>
      <c r="I190" s="81"/>
      <c r="J190" s="81"/>
      <c r="K190" s="81"/>
      <c r="L190" s="81"/>
      <c r="M190" s="81"/>
      <c r="N190" s="81"/>
      <c r="O190" s="81"/>
      <c r="P190" s="81"/>
      <c r="Q190" s="81"/>
      <c r="R190" s="81"/>
      <c r="S190" s="81"/>
      <c r="T190" s="74">
        <v>54</v>
      </c>
      <c r="U190" s="74"/>
      <c r="V190" s="74"/>
      <c r="W190" s="97">
        <v>2.09</v>
      </c>
      <c r="X190" s="74"/>
      <c r="Y190" s="74"/>
      <c r="Z190" s="74"/>
      <c r="AA190" s="84">
        <v>3.1</v>
      </c>
      <c r="AB190" s="74"/>
      <c r="AC190" s="74"/>
      <c r="AD190" s="78">
        <f t="shared" si="0"/>
        <v>59.190000000000005</v>
      </c>
      <c r="AE190" s="79"/>
      <c r="AF190" s="79"/>
      <c r="AG190" s="79"/>
      <c r="AH190" s="79"/>
      <c r="AI190" s="79"/>
    </row>
    <row r="191" spans="1:35">
      <c r="A191" s="74"/>
      <c r="B191" s="74"/>
      <c r="C191" s="74">
        <v>2</v>
      </c>
      <c r="D191" s="74" t="s">
        <v>87</v>
      </c>
      <c r="E191" s="81"/>
      <c r="F191" s="81"/>
      <c r="G191" s="81"/>
      <c r="H191" s="81"/>
      <c r="I191" s="81"/>
      <c r="J191" s="81"/>
      <c r="K191" s="81"/>
      <c r="L191" s="81"/>
      <c r="M191" s="81"/>
      <c r="N191" s="81"/>
      <c r="O191" s="81"/>
      <c r="P191" s="81"/>
      <c r="Q191" s="81"/>
      <c r="R191" s="81"/>
      <c r="S191" s="81"/>
      <c r="T191" s="74">
        <v>49.1</v>
      </c>
      <c r="U191" s="74"/>
      <c r="V191" s="74"/>
      <c r="W191" s="97">
        <v>11.02</v>
      </c>
      <c r="X191" s="74"/>
      <c r="Y191" s="74"/>
      <c r="Z191" s="74"/>
      <c r="AA191" s="74">
        <v>5.55</v>
      </c>
      <c r="AB191" s="74"/>
      <c r="AC191" s="74"/>
      <c r="AD191" s="78">
        <f t="shared" si="0"/>
        <v>65.67</v>
      </c>
      <c r="AE191" s="79"/>
      <c r="AF191" s="79"/>
      <c r="AG191" s="79"/>
      <c r="AH191" s="79"/>
      <c r="AI191" s="79"/>
    </row>
    <row r="192" spans="1:35">
      <c r="A192" s="74"/>
      <c r="B192" s="74"/>
      <c r="C192" s="74">
        <v>2</v>
      </c>
      <c r="D192" s="74" t="s">
        <v>79</v>
      </c>
      <c r="E192" s="81"/>
      <c r="F192" s="81"/>
      <c r="G192" s="81"/>
      <c r="H192" s="81"/>
      <c r="I192" s="81"/>
      <c r="J192" s="81"/>
      <c r="K192" s="81"/>
      <c r="L192" s="81"/>
      <c r="M192" s="81"/>
      <c r="N192" s="81"/>
      <c r="O192" s="81"/>
      <c r="P192" s="81"/>
      <c r="Q192" s="81"/>
      <c r="R192" s="81"/>
      <c r="S192" s="81"/>
      <c r="T192" s="74">
        <v>52.8</v>
      </c>
      <c r="U192" s="74">
        <f>AVERAGE(T188:T192)</f>
        <v>52.06</v>
      </c>
      <c r="V192" s="74"/>
      <c r="W192" s="97">
        <v>2.17</v>
      </c>
      <c r="X192" s="97">
        <f>AVERAGE(W188:W192)</f>
        <v>5.5860000000000003</v>
      </c>
      <c r="Y192" s="74"/>
      <c r="Z192" s="74"/>
      <c r="AA192" s="74">
        <v>3.32</v>
      </c>
      <c r="AB192" s="74">
        <f>AVERAGE(AA188:AA192)</f>
        <v>3.5020000000000002</v>
      </c>
      <c r="AC192" s="74"/>
      <c r="AD192" s="78">
        <f t="shared" si="0"/>
        <v>58.29</v>
      </c>
      <c r="AE192" s="79"/>
      <c r="AF192" s="79"/>
      <c r="AG192" s="79"/>
      <c r="AH192" s="79"/>
      <c r="AI192" s="79"/>
    </row>
    <row r="193" spans="1:35">
      <c r="A193" s="74"/>
      <c r="B193" s="74"/>
      <c r="C193" s="74">
        <v>3</v>
      </c>
      <c r="D193" s="74" t="s">
        <v>83</v>
      </c>
      <c r="E193" s="81"/>
      <c r="F193" s="81"/>
      <c r="G193" s="81"/>
      <c r="H193" s="81"/>
      <c r="I193" s="81"/>
      <c r="J193" s="81"/>
      <c r="K193" s="81"/>
      <c r="L193" s="81"/>
      <c r="M193" s="81"/>
      <c r="N193" s="81"/>
      <c r="O193" s="81"/>
      <c r="P193" s="81"/>
      <c r="Q193" s="81"/>
      <c r="R193" s="81"/>
      <c r="S193" s="81"/>
      <c r="T193" s="74">
        <v>57.9</v>
      </c>
      <c r="U193" s="74"/>
      <c r="V193" s="74"/>
      <c r="W193" s="97">
        <v>2.5499999999999998</v>
      </c>
      <c r="X193" s="74"/>
      <c r="Y193" s="74"/>
      <c r="Z193" s="74"/>
      <c r="AA193" s="102">
        <v>5.28</v>
      </c>
      <c r="AB193" s="74"/>
      <c r="AC193" s="74"/>
      <c r="AD193" s="78">
        <f t="shared" si="0"/>
        <v>65.72999999999999</v>
      </c>
      <c r="AE193" s="79"/>
      <c r="AF193" s="79"/>
      <c r="AG193" s="79"/>
      <c r="AH193" s="79"/>
      <c r="AI193" s="79"/>
    </row>
    <row r="194" spans="1:35">
      <c r="A194" s="74"/>
      <c r="B194" s="74"/>
      <c r="C194" s="74">
        <v>3</v>
      </c>
      <c r="D194" s="74" t="s">
        <v>108</v>
      </c>
      <c r="E194" s="81"/>
      <c r="F194" s="81"/>
      <c r="G194" s="81"/>
      <c r="H194" s="81"/>
      <c r="I194" s="81"/>
      <c r="J194" s="81"/>
      <c r="K194" s="81"/>
      <c r="L194" s="81"/>
      <c r="M194" s="81"/>
      <c r="N194" s="81"/>
      <c r="O194" s="81"/>
      <c r="P194" s="81"/>
      <c r="Q194" s="81"/>
      <c r="R194" s="81"/>
      <c r="S194" s="81"/>
      <c r="T194" s="74">
        <v>65.8</v>
      </c>
      <c r="U194" s="74"/>
      <c r="V194" s="74"/>
      <c r="W194" s="97">
        <v>5.64</v>
      </c>
      <c r="X194" s="74"/>
      <c r="Y194" s="74"/>
      <c r="Z194" s="74"/>
      <c r="AA194" s="102">
        <v>3.65</v>
      </c>
      <c r="AB194" s="74"/>
      <c r="AC194" s="74"/>
      <c r="AD194" s="78">
        <f t="shared" si="0"/>
        <v>75.09</v>
      </c>
      <c r="AE194" s="79"/>
      <c r="AF194" s="79"/>
      <c r="AG194" s="79"/>
      <c r="AH194" s="79"/>
      <c r="AI194" s="79"/>
    </row>
    <row r="195" spans="1:35">
      <c r="A195" s="74"/>
      <c r="B195" s="74"/>
      <c r="C195" s="74">
        <v>3</v>
      </c>
      <c r="D195" s="74" t="s">
        <v>109</v>
      </c>
      <c r="E195" s="81"/>
      <c r="F195" s="81"/>
      <c r="G195" s="81"/>
      <c r="H195" s="81"/>
      <c r="I195" s="81"/>
      <c r="J195" s="81"/>
      <c r="K195" s="81"/>
      <c r="L195" s="81"/>
      <c r="M195" s="81"/>
      <c r="N195" s="81"/>
      <c r="O195" s="81"/>
      <c r="P195" s="81"/>
      <c r="Q195" s="81"/>
      <c r="R195" s="81"/>
      <c r="S195" s="81"/>
      <c r="T195" s="74">
        <v>39.9</v>
      </c>
      <c r="U195" s="74"/>
      <c r="V195" s="74"/>
      <c r="W195" s="97">
        <v>1.82</v>
      </c>
      <c r="X195" s="74"/>
      <c r="Y195" s="74"/>
      <c r="Z195" s="74"/>
      <c r="AA195" s="102">
        <v>2.83</v>
      </c>
      <c r="AB195" s="74"/>
      <c r="AC195" s="74"/>
      <c r="AD195" s="78">
        <f t="shared" si="0"/>
        <v>44.55</v>
      </c>
      <c r="AE195" s="79"/>
      <c r="AF195" s="79"/>
      <c r="AG195" s="79"/>
      <c r="AH195" s="79"/>
      <c r="AI195" s="79"/>
    </row>
    <row r="196" spans="1:35">
      <c r="A196" s="74"/>
      <c r="B196" s="74"/>
      <c r="C196" s="74">
        <v>3</v>
      </c>
      <c r="D196" s="74" t="s">
        <v>87</v>
      </c>
      <c r="E196" s="81"/>
      <c r="F196" s="81"/>
      <c r="G196" s="81"/>
      <c r="H196" s="81"/>
      <c r="I196" s="81"/>
      <c r="J196" s="81"/>
      <c r="K196" s="81"/>
      <c r="L196" s="81"/>
      <c r="M196" s="81"/>
      <c r="N196" s="81"/>
      <c r="O196" s="81"/>
      <c r="P196" s="81"/>
      <c r="Q196" s="81"/>
      <c r="R196" s="81"/>
      <c r="S196" s="81"/>
      <c r="T196" s="74">
        <v>56.7</v>
      </c>
      <c r="U196" s="74"/>
      <c r="V196" s="74"/>
      <c r="W196" s="97">
        <v>2.25</v>
      </c>
      <c r="X196" s="74"/>
      <c r="Y196" s="74"/>
      <c r="Z196" s="74"/>
      <c r="AA196" s="99">
        <v>2.1</v>
      </c>
      <c r="AB196" s="74"/>
      <c r="AC196" s="74"/>
      <c r="AD196" s="78">
        <f t="shared" si="0"/>
        <v>61.050000000000004</v>
      </c>
      <c r="AE196" s="79"/>
      <c r="AF196" s="79"/>
      <c r="AG196" s="79"/>
      <c r="AH196" s="79"/>
      <c r="AI196" s="79"/>
    </row>
    <row r="197" spans="1:35">
      <c r="A197" s="74"/>
      <c r="B197" s="74"/>
      <c r="C197" s="74">
        <v>3</v>
      </c>
      <c r="D197" s="74" t="s">
        <v>79</v>
      </c>
      <c r="E197" s="81"/>
      <c r="F197" s="81"/>
      <c r="G197" s="81"/>
      <c r="H197" s="81"/>
      <c r="I197" s="81"/>
      <c r="J197" s="81"/>
      <c r="K197" s="81"/>
      <c r="L197" s="81"/>
      <c r="M197" s="81"/>
      <c r="N197" s="81"/>
      <c r="O197" s="81"/>
      <c r="P197" s="81"/>
      <c r="Q197" s="81"/>
      <c r="R197" s="81"/>
      <c r="S197" s="81"/>
      <c r="T197" s="74">
        <v>54.9</v>
      </c>
      <c r="U197" s="74">
        <f>AVERAGE(T193:T197)</f>
        <v>55.04</v>
      </c>
      <c r="V197" s="74"/>
      <c r="W197" s="97">
        <v>1.82</v>
      </c>
      <c r="X197" s="97">
        <f>AVERAGE(W193:W197)</f>
        <v>2.8159999999999998</v>
      </c>
      <c r="Y197" s="74"/>
      <c r="Z197" s="74"/>
      <c r="AA197" s="102">
        <v>3.6</v>
      </c>
      <c r="AB197" s="102">
        <f>AVERAGE(AA193:AA197)</f>
        <v>3.492</v>
      </c>
      <c r="AC197" s="74"/>
      <c r="AD197" s="78">
        <f t="shared" si="0"/>
        <v>60.32</v>
      </c>
      <c r="AE197" s="79"/>
      <c r="AF197" s="79"/>
      <c r="AG197" s="79"/>
      <c r="AH197" s="79"/>
      <c r="AI197" s="79"/>
    </row>
    <row r="198" spans="1:35">
      <c r="A198" s="74"/>
      <c r="B198" s="74"/>
      <c r="C198" s="74">
        <v>4</v>
      </c>
      <c r="D198" s="74" t="s">
        <v>83</v>
      </c>
      <c r="E198" s="81"/>
      <c r="F198" s="81"/>
      <c r="G198" s="81"/>
      <c r="H198" s="81"/>
      <c r="I198" s="81"/>
      <c r="J198" s="81"/>
      <c r="K198" s="81"/>
      <c r="L198" s="81"/>
      <c r="M198" s="81"/>
      <c r="N198" s="81"/>
      <c r="O198" s="81"/>
      <c r="P198" s="81"/>
      <c r="Q198" s="81"/>
      <c r="R198" s="81"/>
      <c r="S198" s="81"/>
      <c r="T198" s="74">
        <v>50.9</v>
      </c>
      <c r="U198" s="74"/>
      <c r="V198" s="74"/>
      <c r="W198" s="97">
        <v>1.93</v>
      </c>
      <c r="X198" s="74"/>
      <c r="Y198" s="74"/>
      <c r="Z198" s="74"/>
      <c r="AA198" s="102">
        <v>3.96</v>
      </c>
      <c r="AB198" s="74"/>
      <c r="AC198" s="74"/>
      <c r="AD198" s="78">
        <f t="shared" si="0"/>
        <v>56.79</v>
      </c>
      <c r="AE198" s="79"/>
      <c r="AF198" s="79"/>
      <c r="AG198" s="79"/>
      <c r="AH198" s="79"/>
      <c r="AI198" s="79"/>
    </row>
    <row r="199" spans="1:35">
      <c r="A199" s="74"/>
      <c r="B199" s="74"/>
      <c r="C199" s="74">
        <v>4</v>
      </c>
      <c r="D199" s="74" t="s">
        <v>108</v>
      </c>
      <c r="E199" s="81"/>
      <c r="F199" s="81"/>
      <c r="G199" s="81"/>
      <c r="H199" s="81"/>
      <c r="I199" s="81"/>
      <c r="J199" s="81"/>
      <c r="K199" s="81"/>
      <c r="L199" s="81"/>
      <c r="M199" s="81"/>
      <c r="N199" s="81"/>
      <c r="O199" s="81"/>
      <c r="P199" s="81"/>
      <c r="Q199" s="81"/>
      <c r="R199" s="81"/>
      <c r="S199" s="81"/>
      <c r="T199" s="12">
        <v>54.725000000000001</v>
      </c>
      <c r="U199" s="74"/>
      <c r="V199" s="74"/>
      <c r="W199" s="97">
        <v>0.42</v>
      </c>
      <c r="X199" s="74"/>
      <c r="Y199" s="74"/>
      <c r="Z199" s="74"/>
      <c r="AA199" s="102">
        <v>4.3099999999999996</v>
      </c>
      <c r="AB199" s="74"/>
      <c r="AC199" s="74"/>
      <c r="AD199" s="78">
        <f t="shared" si="0"/>
        <v>59.455000000000005</v>
      </c>
      <c r="AE199" s="79"/>
      <c r="AF199" s="79"/>
      <c r="AG199" s="79"/>
      <c r="AH199" s="79"/>
      <c r="AI199" s="79"/>
    </row>
    <row r="200" spans="1:35">
      <c r="A200" s="74"/>
      <c r="B200" s="74"/>
      <c r="C200" s="74">
        <v>4</v>
      </c>
      <c r="D200" s="74" t="s">
        <v>109</v>
      </c>
      <c r="E200" s="81"/>
      <c r="F200" s="81"/>
      <c r="G200" s="81"/>
      <c r="H200" s="81"/>
      <c r="I200" s="81"/>
      <c r="J200" s="81"/>
      <c r="K200" s="81"/>
      <c r="L200" s="81"/>
      <c r="M200" s="81"/>
      <c r="N200" s="81"/>
      <c r="O200" s="81"/>
      <c r="P200" s="81"/>
      <c r="Q200" s="81"/>
      <c r="R200" s="81"/>
      <c r="S200" s="81"/>
      <c r="T200" s="74">
        <v>53.7</v>
      </c>
      <c r="U200" s="74"/>
      <c r="V200" s="74"/>
      <c r="W200" s="97">
        <v>1.68</v>
      </c>
      <c r="X200" s="74"/>
      <c r="Y200" s="74"/>
      <c r="Z200" s="74"/>
      <c r="AA200" s="102">
        <v>1.8</v>
      </c>
      <c r="AB200" s="74"/>
      <c r="AC200" s="74"/>
      <c r="AD200" s="78">
        <f t="shared" si="0"/>
        <v>57.18</v>
      </c>
      <c r="AE200" s="79"/>
      <c r="AF200" s="79"/>
      <c r="AG200" s="79"/>
      <c r="AH200" s="79"/>
      <c r="AI200" s="79"/>
    </row>
    <row r="201" spans="1:35">
      <c r="A201" s="74"/>
      <c r="B201" s="74"/>
      <c r="C201" s="74">
        <v>4</v>
      </c>
      <c r="D201" s="74" t="s">
        <v>87</v>
      </c>
      <c r="E201" s="74"/>
      <c r="F201" s="74"/>
      <c r="G201" s="74"/>
      <c r="H201" s="74"/>
      <c r="I201" s="74"/>
      <c r="J201" s="74"/>
      <c r="K201" s="74"/>
      <c r="L201" s="74"/>
      <c r="M201" s="74"/>
      <c r="N201" s="74"/>
      <c r="O201" s="74"/>
      <c r="P201" s="74"/>
      <c r="Q201" s="74"/>
      <c r="R201" s="74"/>
      <c r="S201" s="74"/>
      <c r="T201" s="74">
        <v>56.7</v>
      </c>
      <c r="U201" s="74"/>
      <c r="V201" s="74"/>
      <c r="W201" s="97">
        <v>2</v>
      </c>
      <c r="X201" s="74"/>
      <c r="Y201" s="74"/>
      <c r="Z201" s="74"/>
      <c r="AA201" s="102">
        <v>6.8</v>
      </c>
      <c r="AB201" s="74"/>
      <c r="AC201" s="74"/>
      <c r="AD201" s="78">
        <f t="shared" si="0"/>
        <v>65.5</v>
      </c>
      <c r="AE201" s="79"/>
      <c r="AF201" s="79"/>
      <c r="AG201" s="79"/>
      <c r="AH201" s="79"/>
      <c r="AI201" s="79"/>
    </row>
    <row r="202" spans="1:35">
      <c r="A202" s="74"/>
      <c r="B202" s="74"/>
      <c r="C202" s="74">
        <v>4</v>
      </c>
      <c r="D202" s="74" t="s">
        <v>79</v>
      </c>
      <c r="E202" s="74"/>
      <c r="F202" s="74"/>
      <c r="G202" s="74"/>
      <c r="H202" s="74"/>
      <c r="I202" s="74"/>
      <c r="J202" s="74"/>
      <c r="K202" s="74"/>
      <c r="L202" s="74"/>
      <c r="M202" s="74"/>
      <c r="N202" s="74"/>
      <c r="O202" s="74"/>
      <c r="P202" s="74"/>
      <c r="Q202" s="74"/>
      <c r="R202" s="74"/>
      <c r="S202" s="74"/>
      <c r="T202" s="74">
        <v>57.6</v>
      </c>
      <c r="U202" s="74">
        <f>AVERAGE(T198:T202)</f>
        <v>54.725000000000001</v>
      </c>
      <c r="V202" s="74"/>
      <c r="W202" s="97">
        <v>4.0999999999999996</v>
      </c>
      <c r="X202" s="97">
        <f>AVERAGE(W198:W202)</f>
        <v>2.0259999999999998</v>
      </c>
      <c r="Y202" s="74"/>
      <c r="Z202" s="74"/>
      <c r="AA202" s="74">
        <v>1.99</v>
      </c>
      <c r="AB202" s="102">
        <f>AVERAGE(AA198:AA202)</f>
        <v>3.7719999999999998</v>
      </c>
      <c r="AC202" s="74"/>
      <c r="AD202" s="78">
        <f t="shared" si="0"/>
        <v>63.690000000000005</v>
      </c>
      <c r="AE202" s="79"/>
      <c r="AF202" s="77" t="s">
        <v>90</v>
      </c>
      <c r="AG202" s="77" t="s">
        <v>92</v>
      </c>
      <c r="AH202" s="77" t="s">
        <v>93</v>
      </c>
      <c r="AI202" s="77" t="s">
        <v>91</v>
      </c>
    </row>
    <row r="203" spans="1:35">
      <c r="A203" s="74" t="s">
        <v>112</v>
      </c>
      <c r="B203" s="74" t="s">
        <v>115</v>
      </c>
      <c r="C203" s="74">
        <v>1</v>
      </c>
      <c r="D203" s="74" t="s">
        <v>83</v>
      </c>
      <c r="E203" s="81"/>
      <c r="F203" s="81"/>
      <c r="G203" s="81"/>
      <c r="H203" s="81"/>
      <c r="I203" s="81"/>
      <c r="J203" s="81"/>
      <c r="K203" s="81"/>
      <c r="L203" s="81"/>
      <c r="M203" s="81"/>
      <c r="N203" s="81"/>
      <c r="O203" s="81"/>
      <c r="P203" s="81"/>
      <c r="Q203" s="81"/>
      <c r="R203" s="81"/>
      <c r="S203" s="81"/>
      <c r="T203" s="74">
        <v>47.6</v>
      </c>
      <c r="U203" s="74"/>
      <c r="V203" s="74"/>
      <c r="W203" s="102">
        <v>1.98</v>
      </c>
      <c r="X203" s="74"/>
      <c r="Y203" s="74"/>
      <c r="Z203" s="74"/>
      <c r="AA203" s="74">
        <v>2.63</v>
      </c>
      <c r="AB203" s="74"/>
      <c r="AC203" s="74"/>
      <c r="AD203" s="78">
        <f t="shared" si="0"/>
        <v>52.21</v>
      </c>
      <c r="AE203" s="79"/>
      <c r="AF203" s="77">
        <v>52.21</v>
      </c>
      <c r="AG203" s="77">
        <v>52.49</v>
      </c>
      <c r="AH203" s="77">
        <v>58.709999999999994</v>
      </c>
      <c r="AI203" s="77">
        <v>50.8125</v>
      </c>
    </row>
    <row r="204" spans="1:35">
      <c r="A204" s="74"/>
      <c r="B204" s="74"/>
      <c r="C204" s="74">
        <v>1</v>
      </c>
      <c r="D204" s="74" t="s">
        <v>85</v>
      </c>
      <c r="E204" s="81"/>
      <c r="F204" s="81"/>
      <c r="G204" s="81"/>
      <c r="H204" s="81"/>
      <c r="I204" s="81"/>
      <c r="J204" s="81"/>
      <c r="K204" s="81"/>
      <c r="L204" s="81"/>
      <c r="M204" s="81"/>
      <c r="N204" s="81"/>
      <c r="O204" s="81"/>
      <c r="P204" s="81"/>
      <c r="Q204" s="81"/>
      <c r="R204" s="81"/>
      <c r="S204" s="81"/>
      <c r="T204" s="74">
        <v>59</v>
      </c>
      <c r="U204" s="74"/>
      <c r="V204" s="74"/>
      <c r="W204" s="102">
        <v>2.12</v>
      </c>
      <c r="X204" s="74"/>
      <c r="Y204" s="74"/>
      <c r="Z204" s="74"/>
      <c r="AA204" s="74">
        <v>4.53</v>
      </c>
      <c r="AB204" s="74"/>
      <c r="AC204" s="74"/>
      <c r="AD204" s="78">
        <f t="shared" si="0"/>
        <v>65.649999999999991</v>
      </c>
      <c r="AE204" s="79"/>
      <c r="AF204" s="77">
        <v>65.649999999999991</v>
      </c>
      <c r="AG204" s="77">
        <v>57.24</v>
      </c>
      <c r="AH204" s="77">
        <v>50.64</v>
      </c>
      <c r="AI204" s="77">
        <v>55.77</v>
      </c>
    </row>
    <row r="205" spans="1:35">
      <c r="A205" s="74"/>
      <c r="B205" s="74"/>
      <c r="C205" s="74">
        <v>1</v>
      </c>
      <c r="D205" s="74" t="s">
        <v>87</v>
      </c>
      <c r="E205" s="81"/>
      <c r="F205" s="81"/>
      <c r="G205" s="81"/>
      <c r="H205" s="81"/>
      <c r="I205" s="81"/>
      <c r="J205" s="81"/>
      <c r="K205" s="81"/>
      <c r="L205" s="81"/>
      <c r="M205" s="81"/>
      <c r="N205" s="81"/>
      <c r="O205" s="81"/>
      <c r="P205" s="81"/>
      <c r="Q205" s="81"/>
      <c r="R205" s="81"/>
      <c r="S205" s="81"/>
      <c r="T205" s="74">
        <v>51.3</v>
      </c>
      <c r="U205" s="74"/>
      <c r="V205" s="74"/>
      <c r="W205" s="102">
        <v>2.44</v>
      </c>
      <c r="X205" s="74"/>
      <c r="Y205" s="74"/>
      <c r="Z205" s="74"/>
      <c r="AA205" s="74">
        <v>4.1500000000000004</v>
      </c>
      <c r="AB205" s="74"/>
      <c r="AC205" s="74"/>
      <c r="AD205" s="78">
        <f t="shared" si="0"/>
        <v>57.889999999999993</v>
      </c>
      <c r="AE205" s="79"/>
      <c r="AF205" s="77">
        <v>57.889999999999993</v>
      </c>
      <c r="AG205" s="77">
        <v>54.03</v>
      </c>
      <c r="AH205" s="77">
        <v>53.46</v>
      </c>
      <c r="AI205" s="77">
        <v>45.06</v>
      </c>
    </row>
    <row r="206" spans="1:35">
      <c r="A206" s="74"/>
      <c r="B206" s="74"/>
      <c r="C206" s="74">
        <v>1</v>
      </c>
      <c r="D206" s="74" t="s">
        <v>79</v>
      </c>
      <c r="E206" s="81"/>
      <c r="F206" s="81"/>
      <c r="G206" s="81"/>
      <c r="H206" s="81"/>
      <c r="I206" s="81"/>
      <c r="J206" s="81"/>
      <c r="K206" s="81"/>
      <c r="L206" s="81"/>
      <c r="M206" s="81"/>
      <c r="N206" s="81"/>
      <c r="O206" s="81"/>
      <c r="P206" s="81"/>
      <c r="Q206" s="81"/>
      <c r="R206" s="81"/>
      <c r="S206" s="81"/>
      <c r="T206" s="74">
        <v>42.8</v>
      </c>
      <c r="U206" s="74"/>
      <c r="V206" s="74"/>
      <c r="W206" s="102">
        <v>0.74</v>
      </c>
      <c r="X206" s="74"/>
      <c r="Y206" s="74"/>
      <c r="Z206" s="74"/>
      <c r="AA206" s="74">
        <v>2.14</v>
      </c>
      <c r="AB206" s="74"/>
      <c r="AC206" s="74"/>
      <c r="AD206" s="78">
        <f t="shared" si="0"/>
        <v>45.68</v>
      </c>
      <c r="AE206" s="79"/>
      <c r="AF206" s="77">
        <v>45.68</v>
      </c>
      <c r="AG206" s="77">
        <v>66.61</v>
      </c>
      <c r="AH206" s="77">
        <v>55.120000000000005</v>
      </c>
      <c r="AI206" s="77">
        <v>49.92</v>
      </c>
    </row>
    <row r="207" spans="1:35">
      <c r="A207" s="74"/>
      <c r="B207" s="74"/>
      <c r="C207" s="74">
        <v>1</v>
      </c>
      <c r="D207" s="74" t="s">
        <v>88</v>
      </c>
      <c r="E207" s="81"/>
      <c r="F207" s="81"/>
      <c r="G207" s="81"/>
      <c r="H207" s="81"/>
      <c r="I207" s="81"/>
      <c r="J207" s="81"/>
      <c r="K207" s="81"/>
      <c r="L207" s="81"/>
      <c r="M207" s="81"/>
      <c r="N207" s="81"/>
      <c r="O207" s="81"/>
      <c r="P207" s="81"/>
      <c r="Q207" s="81"/>
      <c r="R207" s="81"/>
      <c r="S207" s="81"/>
      <c r="T207" s="74">
        <v>42.2</v>
      </c>
      <c r="U207" s="74">
        <f>AVERAGE(T203:T207)</f>
        <v>48.58</v>
      </c>
      <c r="V207" s="74"/>
      <c r="W207" s="102">
        <v>5.15</v>
      </c>
      <c r="X207" s="102">
        <f>AVERAGE(W203:W207)</f>
        <v>2.4859999999999998</v>
      </c>
      <c r="Y207" s="74"/>
      <c r="Z207" s="74"/>
      <c r="AA207" s="74">
        <v>2.58</v>
      </c>
      <c r="AB207" s="74">
        <f>AVERAGE(AA203:AA207)</f>
        <v>3.2060000000000004</v>
      </c>
      <c r="AC207" s="74"/>
      <c r="AD207" s="78">
        <f t="shared" si="0"/>
        <v>49.93</v>
      </c>
      <c r="AE207" s="79"/>
      <c r="AF207" s="77">
        <v>49.93</v>
      </c>
      <c r="AG207" s="77">
        <v>56.49</v>
      </c>
      <c r="AH207" s="77">
        <v>46.13</v>
      </c>
      <c r="AI207" s="77">
        <v>49.28</v>
      </c>
    </row>
    <row r="208" spans="1:35">
      <c r="A208" s="74"/>
      <c r="B208" s="74"/>
      <c r="C208" s="74">
        <v>2</v>
      </c>
      <c r="D208" s="74" t="s">
        <v>83</v>
      </c>
      <c r="E208" s="81"/>
      <c r="F208" s="81"/>
      <c r="G208" s="81"/>
      <c r="H208" s="81"/>
      <c r="I208" s="81"/>
      <c r="J208" s="81"/>
      <c r="K208" s="81"/>
      <c r="L208" s="81"/>
      <c r="M208" s="81"/>
      <c r="N208" s="81"/>
      <c r="O208" s="81"/>
      <c r="P208" s="81"/>
      <c r="Q208" s="81"/>
      <c r="R208" s="81"/>
      <c r="S208" s="81"/>
      <c r="T208" s="74">
        <v>47.4</v>
      </c>
      <c r="U208" s="74"/>
      <c r="V208" s="74"/>
      <c r="W208" s="102">
        <v>1.42</v>
      </c>
      <c r="X208" s="74"/>
      <c r="Y208" s="74"/>
      <c r="Z208" s="74"/>
      <c r="AA208" s="74">
        <v>3.67</v>
      </c>
      <c r="AB208" s="74"/>
      <c r="AC208" s="74"/>
      <c r="AD208" s="78">
        <f t="shared" si="0"/>
        <v>52.49</v>
      </c>
      <c r="AE208" s="79"/>
      <c r="AF208" s="79"/>
      <c r="AG208" s="79"/>
      <c r="AH208" s="79"/>
      <c r="AI208" s="79"/>
    </row>
    <row r="209" spans="1:35">
      <c r="A209" s="74"/>
      <c r="B209" s="74"/>
      <c r="C209" s="74">
        <v>2</v>
      </c>
      <c r="D209" s="74" t="s">
        <v>85</v>
      </c>
      <c r="E209" s="81"/>
      <c r="F209" s="81"/>
      <c r="G209" s="81"/>
      <c r="H209" s="81"/>
      <c r="I209" s="81"/>
      <c r="J209" s="81"/>
      <c r="K209" s="81"/>
      <c r="L209" s="81"/>
      <c r="M209" s="81"/>
      <c r="N209" s="81"/>
      <c r="O209" s="81"/>
      <c r="P209" s="81"/>
      <c r="Q209" s="81"/>
      <c r="R209" s="81"/>
      <c r="S209" s="81"/>
      <c r="T209" s="74">
        <v>47.7</v>
      </c>
      <c r="U209" s="74"/>
      <c r="V209" s="74"/>
      <c r="W209" s="102">
        <v>6.33</v>
      </c>
      <c r="X209" s="74"/>
      <c r="Y209" s="74"/>
      <c r="Z209" s="74"/>
      <c r="AA209" s="74">
        <v>3.21</v>
      </c>
      <c r="AB209" s="74"/>
      <c r="AC209" s="74"/>
      <c r="AD209" s="78">
        <f t="shared" si="0"/>
        <v>57.24</v>
      </c>
      <c r="AE209" s="79"/>
      <c r="AF209" s="79"/>
      <c r="AG209" s="79"/>
      <c r="AH209" s="79"/>
      <c r="AI209" s="79"/>
    </row>
    <row r="210" spans="1:35">
      <c r="A210" s="74"/>
      <c r="B210" s="74"/>
      <c r="C210" s="74">
        <v>2</v>
      </c>
      <c r="D210" s="74" t="s">
        <v>87</v>
      </c>
      <c r="E210" s="81"/>
      <c r="F210" s="81"/>
      <c r="G210" s="81"/>
      <c r="H210" s="81"/>
      <c r="I210" s="81"/>
      <c r="J210" s="81"/>
      <c r="K210" s="81"/>
      <c r="L210" s="81"/>
      <c r="M210" s="81"/>
      <c r="N210" s="81"/>
      <c r="O210" s="81"/>
      <c r="P210" s="81"/>
      <c r="Q210" s="81"/>
      <c r="R210" s="81"/>
      <c r="S210" s="81"/>
      <c r="T210" s="74">
        <v>45.9</v>
      </c>
      <c r="U210" s="74"/>
      <c r="V210" s="74"/>
      <c r="W210" s="102">
        <v>1.9</v>
      </c>
      <c r="X210" s="74"/>
      <c r="Y210" s="74"/>
      <c r="Z210" s="74"/>
      <c r="AA210" s="74">
        <v>6.23</v>
      </c>
      <c r="AB210" s="74"/>
      <c r="AC210" s="74"/>
      <c r="AD210" s="78">
        <f t="shared" si="0"/>
        <v>54.03</v>
      </c>
      <c r="AE210" s="79"/>
      <c r="AF210" s="79"/>
      <c r="AG210" s="79"/>
      <c r="AH210" s="79"/>
      <c r="AI210" s="79"/>
    </row>
    <row r="211" spans="1:35">
      <c r="A211" s="74"/>
      <c r="B211" s="74"/>
      <c r="C211" s="74">
        <v>2</v>
      </c>
      <c r="D211" s="74" t="s">
        <v>79</v>
      </c>
      <c r="E211" s="81"/>
      <c r="F211" s="81"/>
      <c r="G211" s="81"/>
      <c r="H211" s="81"/>
      <c r="I211" s="81"/>
      <c r="J211" s="81"/>
      <c r="K211" s="81"/>
      <c r="L211" s="81"/>
      <c r="M211" s="81"/>
      <c r="N211" s="81"/>
      <c r="O211" s="81"/>
      <c r="P211" s="81"/>
      <c r="Q211" s="81"/>
      <c r="R211" s="81"/>
      <c r="S211" s="81"/>
      <c r="T211" s="74">
        <v>60.4</v>
      </c>
      <c r="U211" s="74"/>
      <c r="V211" s="74"/>
      <c r="W211" s="102">
        <v>2.5099999999999998</v>
      </c>
      <c r="X211" s="74"/>
      <c r="Y211" s="74"/>
      <c r="Z211" s="74"/>
      <c r="AA211" s="74">
        <v>3.7</v>
      </c>
      <c r="AB211" s="74"/>
      <c r="AC211" s="74"/>
      <c r="AD211" s="78">
        <f t="shared" si="0"/>
        <v>66.61</v>
      </c>
      <c r="AE211" s="79"/>
      <c r="AF211" s="79"/>
      <c r="AG211" s="79"/>
      <c r="AH211" s="79"/>
      <c r="AI211" s="79"/>
    </row>
    <row r="212" spans="1:35">
      <c r="A212" s="74"/>
      <c r="B212" s="74"/>
      <c r="C212" s="74">
        <v>2</v>
      </c>
      <c r="D212" s="74" t="s">
        <v>88</v>
      </c>
      <c r="E212" s="81"/>
      <c r="F212" s="81"/>
      <c r="G212" s="81"/>
      <c r="H212" s="81"/>
      <c r="I212" s="81"/>
      <c r="J212" s="81"/>
      <c r="K212" s="81"/>
      <c r="L212" s="81"/>
      <c r="M212" s="81"/>
      <c r="N212" s="81"/>
      <c r="O212" s="81"/>
      <c r="P212" s="81"/>
      <c r="Q212" s="81"/>
      <c r="R212" s="81"/>
      <c r="S212" s="81"/>
      <c r="T212" s="12">
        <v>50.35</v>
      </c>
      <c r="U212" s="74">
        <f>AVERAGE(T208:T212)</f>
        <v>50.35</v>
      </c>
      <c r="V212" s="74"/>
      <c r="W212" s="102">
        <v>2.08</v>
      </c>
      <c r="X212" s="102">
        <f>AVERAGE(W208:W212)</f>
        <v>2.8479999999999999</v>
      </c>
      <c r="Y212" s="74"/>
      <c r="Z212" s="74"/>
      <c r="AA212" s="74">
        <v>4.0599999999999996</v>
      </c>
      <c r="AB212" s="74">
        <f>AVERAGE(AA208:AA212)</f>
        <v>4.1739999999999995</v>
      </c>
      <c r="AC212" s="74"/>
      <c r="AD212" s="78">
        <f t="shared" si="0"/>
        <v>56.49</v>
      </c>
      <c r="AE212" s="79"/>
      <c r="AF212" s="79"/>
      <c r="AG212" s="79"/>
      <c r="AH212" s="79"/>
      <c r="AI212" s="79"/>
    </row>
    <row r="213" spans="1:35">
      <c r="A213" s="74"/>
      <c r="B213" s="74"/>
      <c r="C213" s="74">
        <v>3</v>
      </c>
      <c r="D213" s="74" t="s">
        <v>83</v>
      </c>
      <c r="E213" s="81"/>
      <c r="F213" s="81"/>
      <c r="G213" s="81"/>
      <c r="H213" s="81"/>
      <c r="I213" s="81"/>
      <c r="J213" s="81"/>
      <c r="K213" s="81"/>
      <c r="L213" s="81"/>
      <c r="M213" s="81"/>
      <c r="N213" s="81"/>
      <c r="O213" s="81"/>
      <c r="P213" s="81"/>
      <c r="Q213" s="81"/>
      <c r="R213" s="81"/>
      <c r="S213" s="81"/>
      <c r="T213" s="74">
        <v>53.8</v>
      </c>
      <c r="U213" s="74"/>
      <c r="V213" s="74"/>
      <c r="W213" s="102">
        <v>2.11</v>
      </c>
      <c r="X213" s="74"/>
      <c r="Y213" s="74"/>
      <c r="Z213" s="74"/>
      <c r="AA213" s="74">
        <v>2.8</v>
      </c>
      <c r="AB213" s="74"/>
      <c r="AC213" s="74"/>
      <c r="AD213" s="78">
        <f t="shared" si="0"/>
        <v>58.709999999999994</v>
      </c>
      <c r="AE213" s="79"/>
      <c r="AF213" s="79"/>
      <c r="AG213" s="79"/>
      <c r="AH213" s="79"/>
      <c r="AI213" s="79"/>
    </row>
    <row r="214" spans="1:35">
      <c r="A214" s="74"/>
      <c r="B214" s="74"/>
      <c r="C214" s="74">
        <v>3</v>
      </c>
      <c r="D214" s="74" t="s">
        <v>85</v>
      </c>
      <c r="E214" s="81"/>
      <c r="F214" s="81"/>
      <c r="G214" s="81"/>
      <c r="H214" s="81"/>
      <c r="I214" s="81"/>
      <c r="J214" s="81"/>
      <c r="K214" s="81"/>
      <c r="L214" s="81"/>
      <c r="M214" s="81"/>
      <c r="N214" s="81"/>
      <c r="O214" s="81"/>
      <c r="P214" s="81"/>
      <c r="Q214" s="81"/>
      <c r="R214" s="81"/>
      <c r="S214" s="81"/>
      <c r="T214" s="74">
        <v>47</v>
      </c>
      <c r="U214" s="74"/>
      <c r="V214" s="74"/>
      <c r="W214" s="102">
        <v>0.73</v>
      </c>
      <c r="X214" s="74"/>
      <c r="Y214" s="74"/>
      <c r="Z214" s="74"/>
      <c r="AA214" s="74">
        <v>2.91</v>
      </c>
      <c r="AB214" s="74"/>
      <c r="AC214" s="74"/>
      <c r="AD214" s="78">
        <f t="shared" si="0"/>
        <v>50.64</v>
      </c>
      <c r="AE214" s="79"/>
      <c r="AF214" s="79"/>
      <c r="AG214" s="79"/>
      <c r="AH214" s="79"/>
      <c r="AI214" s="79"/>
    </row>
    <row r="215" spans="1:35">
      <c r="A215" s="74"/>
      <c r="B215" s="74"/>
      <c r="C215" s="74">
        <v>3</v>
      </c>
      <c r="D215" s="74" t="s">
        <v>87</v>
      </c>
      <c r="E215" s="81"/>
      <c r="F215" s="81"/>
      <c r="G215" s="81"/>
      <c r="H215" s="81"/>
      <c r="I215" s="81"/>
      <c r="J215" s="81"/>
      <c r="K215" s="81"/>
      <c r="L215" s="81"/>
      <c r="M215" s="81"/>
      <c r="N215" s="81"/>
      <c r="O215" s="81"/>
      <c r="P215" s="81"/>
      <c r="Q215" s="81"/>
      <c r="R215" s="81"/>
      <c r="S215" s="81"/>
      <c r="T215" s="12">
        <v>48.1</v>
      </c>
      <c r="U215" s="74"/>
      <c r="V215" s="74"/>
      <c r="W215" s="102">
        <v>0.74</v>
      </c>
      <c r="X215" s="74"/>
      <c r="Y215" s="74"/>
      <c r="Z215" s="74"/>
      <c r="AA215" s="74">
        <v>4.62</v>
      </c>
      <c r="AB215" s="74"/>
      <c r="AC215" s="74"/>
      <c r="AD215" s="78">
        <f t="shared" si="0"/>
        <v>53.46</v>
      </c>
      <c r="AE215" s="79"/>
      <c r="AF215" s="79"/>
      <c r="AG215" s="79"/>
      <c r="AH215" s="79"/>
      <c r="AI215" s="79"/>
    </row>
    <row r="216" spans="1:35">
      <c r="A216" s="74"/>
      <c r="B216" s="74"/>
      <c r="C216" s="74">
        <v>3</v>
      </c>
      <c r="D216" s="74" t="s">
        <v>79</v>
      </c>
      <c r="E216" s="81"/>
      <c r="F216" s="81"/>
      <c r="G216" s="81"/>
      <c r="H216" s="81"/>
      <c r="I216" s="81"/>
      <c r="J216" s="81"/>
      <c r="K216" s="81"/>
      <c r="L216" s="81"/>
      <c r="M216" s="81"/>
      <c r="N216" s="81"/>
      <c r="O216" s="81"/>
      <c r="P216" s="81"/>
      <c r="Q216" s="81"/>
      <c r="R216" s="81"/>
      <c r="S216" s="81"/>
      <c r="T216" s="12">
        <v>48.1</v>
      </c>
      <c r="U216" s="74"/>
      <c r="V216" s="74"/>
      <c r="W216" s="102">
        <v>1.56</v>
      </c>
      <c r="X216" s="74"/>
      <c r="Y216" s="74"/>
      <c r="Z216" s="74"/>
      <c r="AA216" s="74">
        <v>5.46</v>
      </c>
      <c r="AB216" s="74"/>
      <c r="AC216" s="74"/>
      <c r="AD216" s="78">
        <f t="shared" si="0"/>
        <v>55.120000000000005</v>
      </c>
      <c r="AE216" s="79"/>
      <c r="AF216" s="79"/>
      <c r="AG216" s="79"/>
      <c r="AH216" s="79"/>
      <c r="AI216" s="79"/>
    </row>
    <row r="217" spans="1:35">
      <c r="A217" s="74"/>
      <c r="B217" s="74"/>
      <c r="C217" s="74">
        <v>3</v>
      </c>
      <c r="D217" s="74" t="s">
        <v>88</v>
      </c>
      <c r="E217" s="81"/>
      <c r="F217" s="81"/>
      <c r="G217" s="81"/>
      <c r="H217" s="81"/>
      <c r="I217" s="81"/>
      <c r="J217" s="81"/>
      <c r="K217" s="81"/>
      <c r="L217" s="81"/>
      <c r="M217" s="81"/>
      <c r="N217" s="81"/>
      <c r="O217" s="81"/>
      <c r="P217" s="81"/>
      <c r="Q217" s="81"/>
      <c r="R217" s="81"/>
      <c r="S217" s="81"/>
      <c r="T217" s="74">
        <v>43.5</v>
      </c>
      <c r="U217" s="74">
        <f>AVERAGE(T213:T217)</f>
        <v>48.1</v>
      </c>
      <c r="V217" s="74"/>
      <c r="W217" s="102">
        <v>1.38</v>
      </c>
      <c r="X217" s="102">
        <f>AVERAGE(W213:W217)</f>
        <v>1.304</v>
      </c>
      <c r="Y217" s="74"/>
      <c r="Z217" s="74"/>
      <c r="AA217" s="74">
        <v>1.25</v>
      </c>
      <c r="AB217" s="74">
        <f>AVERAGE(AA213:AA217)</f>
        <v>3.4079999999999999</v>
      </c>
      <c r="AC217" s="74"/>
      <c r="AD217" s="78">
        <f t="shared" si="0"/>
        <v>46.13</v>
      </c>
      <c r="AE217" s="79"/>
      <c r="AF217" s="79"/>
      <c r="AG217" s="79"/>
      <c r="AH217" s="79"/>
      <c r="AI217" s="79"/>
    </row>
    <row r="218" spans="1:35">
      <c r="A218" s="74"/>
      <c r="B218" s="74"/>
      <c r="C218" s="74">
        <v>4</v>
      </c>
      <c r="D218" s="74" t="s">
        <v>83</v>
      </c>
      <c r="E218" s="81"/>
      <c r="F218" s="81"/>
      <c r="G218" s="81"/>
      <c r="H218" s="81"/>
      <c r="I218" s="81"/>
      <c r="J218" s="81"/>
      <c r="K218" s="81"/>
      <c r="L218" s="81"/>
      <c r="M218" s="81"/>
      <c r="N218" s="81"/>
      <c r="O218" s="81"/>
      <c r="P218" s="81"/>
      <c r="Q218" s="81"/>
      <c r="R218" s="81"/>
      <c r="S218" s="81"/>
      <c r="T218" s="12">
        <v>46.6</v>
      </c>
      <c r="U218" s="74"/>
      <c r="V218" s="74"/>
      <c r="W218" s="106">
        <v>1.5225</v>
      </c>
      <c r="X218" s="74"/>
      <c r="Y218" s="74" t="s">
        <v>230</v>
      </c>
      <c r="Z218" s="74"/>
      <c r="AA218" s="74">
        <v>2.69</v>
      </c>
      <c r="AB218" s="74"/>
      <c r="AC218" s="74"/>
      <c r="AD218" s="78">
        <f t="shared" si="0"/>
        <v>50.8125</v>
      </c>
      <c r="AE218" s="79"/>
      <c r="AF218" s="79"/>
      <c r="AG218" s="79"/>
      <c r="AH218" s="79"/>
      <c r="AI218" s="79"/>
    </row>
    <row r="219" spans="1:35">
      <c r="A219" s="74"/>
      <c r="B219" s="74"/>
      <c r="C219" s="74">
        <v>4</v>
      </c>
      <c r="D219" s="74" t="s">
        <v>85</v>
      </c>
      <c r="E219" s="81"/>
      <c r="F219" s="81"/>
      <c r="G219" s="81"/>
      <c r="H219" s="81"/>
      <c r="I219" s="81"/>
      <c r="J219" s="81"/>
      <c r="K219" s="81"/>
      <c r="L219" s="81"/>
      <c r="M219" s="81"/>
      <c r="N219" s="81"/>
      <c r="O219" s="81"/>
      <c r="P219" s="81"/>
      <c r="Q219" s="81"/>
      <c r="R219" s="81"/>
      <c r="S219" s="81"/>
      <c r="T219" s="74">
        <v>52.8</v>
      </c>
      <c r="U219" s="74"/>
      <c r="V219" s="74"/>
      <c r="W219" s="102">
        <v>1.2</v>
      </c>
      <c r="X219" s="74"/>
      <c r="Y219" s="74"/>
      <c r="Z219" s="74"/>
      <c r="AA219" s="74">
        <v>1.77</v>
      </c>
      <c r="AB219" s="74"/>
      <c r="AC219" s="74"/>
      <c r="AD219" s="78">
        <f t="shared" si="0"/>
        <v>55.77</v>
      </c>
      <c r="AE219" s="79"/>
      <c r="AF219" s="79"/>
      <c r="AG219" s="79"/>
      <c r="AH219" s="79"/>
      <c r="AI219" s="79"/>
    </row>
    <row r="220" spans="1:35">
      <c r="A220" s="74"/>
      <c r="B220" s="74"/>
      <c r="C220" s="74">
        <v>4</v>
      </c>
      <c r="D220" s="74" t="s">
        <v>87</v>
      </c>
      <c r="E220" s="81"/>
      <c r="F220" s="81"/>
      <c r="G220" s="81"/>
      <c r="H220" s="81"/>
      <c r="I220" s="81"/>
      <c r="J220" s="81"/>
      <c r="K220" s="81"/>
      <c r="L220" s="81"/>
      <c r="M220" s="81"/>
      <c r="N220" s="81"/>
      <c r="O220" s="81"/>
      <c r="P220" s="81"/>
      <c r="Q220" s="81"/>
      <c r="R220" s="81"/>
      <c r="S220" s="81"/>
      <c r="T220" s="74">
        <v>41.4</v>
      </c>
      <c r="U220" s="74"/>
      <c r="V220" s="74"/>
      <c r="W220" s="102">
        <v>1.99</v>
      </c>
      <c r="X220" s="74"/>
      <c r="Y220" s="74"/>
      <c r="Z220" s="74"/>
      <c r="AA220" s="74">
        <v>1.67</v>
      </c>
      <c r="AB220" s="74"/>
      <c r="AC220" s="74"/>
      <c r="AD220" s="78">
        <f t="shared" si="0"/>
        <v>45.06</v>
      </c>
      <c r="AE220" s="79"/>
      <c r="AF220" s="79"/>
      <c r="AG220" s="79"/>
      <c r="AH220" s="79"/>
      <c r="AI220" s="79"/>
    </row>
    <row r="221" spans="1:35">
      <c r="A221" s="74"/>
      <c r="B221" s="74"/>
      <c r="C221" s="74">
        <v>4</v>
      </c>
      <c r="D221" s="74" t="s">
        <v>79</v>
      </c>
      <c r="E221" s="81"/>
      <c r="F221" s="81"/>
      <c r="G221" s="81"/>
      <c r="H221" s="81"/>
      <c r="I221" s="81"/>
      <c r="J221" s="81"/>
      <c r="K221" s="81"/>
      <c r="L221" s="81"/>
      <c r="M221" s="81"/>
      <c r="N221" s="81"/>
      <c r="O221" s="81"/>
      <c r="P221" s="81"/>
      <c r="Q221" s="81"/>
      <c r="R221" s="81"/>
      <c r="S221" s="81"/>
      <c r="T221" s="12">
        <v>46.6</v>
      </c>
      <c r="U221" s="74"/>
      <c r="V221" s="74"/>
      <c r="W221" s="102">
        <v>1.25</v>
      </c>
      <c r="X221" s="74"/>
      <c r="Y221" s="74"/>
      <c r="Z221" s="74"/>
      <c r="AA221" s="74">
        <v>2.0699999999999998</v>
      </c>
      <c r="AB221" s="74"/>
      <c r="AC221" s="74"/>
      <c r="AD221" s="78">
        <f t="shared" si="0"/>
        <v>49.92</v>
      </c>
      <c r="AE221" s="79"/>
      <c r="AF221" s="79"/>
      <c r="AG221" s="79"/>
      <c r="AH221" s="79"/>
      <c r="AI221" s="79"/>
    </row>
    <row r="222" spans="1:35">
      <c r="A222" s="74"/>
      <c r="B222" s="74"/>
      <c r="C222" s="74">
        <v>4</v>
      </c>
      <c r="D222" s="74" t="s">
        <v>88</v>
      </c>
      <c r="E222" s="81"/>
      <c r="F222" s="81"/>
      <c r="G222" s="81"/>
      <c r="H222" s="81"/>
      <c r="I222" s="81"/>
      <c r="J222" s="81"/>
      <c r="K222" s="81"/>
      <c r="L222" s="81"/>
      <c r="M222" s="81"/>
      <c r="N222" s="81"/>
      <c r="O222" s="81"/>
      <c r="P222" s="81"/>
      <c r="Q222" s="81"/>
      <c r="R222" s="81"/>
      <c r="S222" s="81"/>
      <c r="T222" s="74">
        <v>45.6</v>
      </c>
      <c r="U222" s="74">
        <f>AVERAGE(T218:T222)</f>
        <v>46.6</v>
      </c>
      <c r="V222" s="74"/>
      <c r="W222" s="102">
        <v>1.65</v>
      </c>
      <c r="X222" s="102">
        <f>AVERAGE(W218:W222)</f>
        <v>1.5225000000000002</v>
      </c>
      <c r="Y222" s="74"/>
      <c r="Z222" s="74"/>
      <c r="AA222" s="74">
        <v>2.0299999999999998</v>
      </c>
      <c r="AB222" s="74">
        <f>AVERAGE(AA218:AA222)</f>
        <v>2.0459999999999998</v>
      </c>
      <c r="AC222" s="74"/>
      <c r="AD222" s="78">
        <f t="shared" si="0"/>
        <v>49.28</v>
      </c>
      <c r="AE222" s="79"/>
      <c r="AF222" s="79"/>
      <c r="AG222" s="79"/>
      <c r="AH222" s="79"/>
      <c r="AI222" s="79"/>
    </row>
    <row r="223" spans="1: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114"/>
    </row>
    <row r="224" spans="1:35"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114"/>
    </row>
    <row r="225" spans="1:30"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114"/>
    </row>
    <row r="226" spans="1:30"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114"/>
    </row>
    <row r="227" spans="1:30"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114"/>
    </row>
    <row r="228" spans="1:30"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t="s">
        <v>231</v>
      </c>
      <c r="Z228" s="3"/>
      <c r="AA228" s="3" t="s">
        <v>232</v>
      </c>
      <c r="AB228" s="3"/>
      <c r="AC228" s="3"/>
      <c r="AD228" s="114"/>
    </row>
    <row r="229" spans="1:30"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114"/>
    </row>
    <row r="230" spans="1: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t="s">
        <v>159</v>
      </c>
      <c r="AA230" s="3"/>
      <c r="AB230" s="3"/>
      <c r="AC230" s="3"/>
      <c r="AD230" s="114"/>
    </row>
    <row r="231" spans="1:30"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t="s">
        <v>233</v>
      </c>
      <c r="AA231" s="3"/>
      <c r="AB231" s="3"/>
      <c r="AC231" s="3"/>
      <c r="AD231" s="114"/>
    </row>
    <row r="232" spans="1:30"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t="s">
        <v>234</v>
      </c>
      <c r="AA232" s="3"/>
      <c r="AB232" s="3"/>
      <c r="AC232" s="3"/>
      <c r="AD232" s="114"/>
    </row>
    <row r="233" spans="1:30"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t="s">
        <v>235</v>
      </c>
      <c r="AA233" s="3"/>
      <c r="AB233" s="3"/>
      <c r="AC233" s="3"/>
      <c r="AD233" s="114"/>
    </row>
    <row r="234" spans="1:30"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t="s">
        <v>122</v>
      </c>
      <c r="AA234" s="3"/>
      <c r="AB234" s="3"/>
      <c r="AC234" s="3"/>
      <c r="AD234" s="114"/>
    </row>
    <row r="235" spans="1:30"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t="s">
        <v>236</v>
      </c>
      <c r="AA235" s="3"/>
      <c r="AB235" s="3"/>
      <c r="AC235" s="3"/>
      <c r="AD235" s="114"/>
    </row>
  </sheetData>
  <mergeCells count="1">
    <mergeCell ref="E1:S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C232"/>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ColWidth="17.28515625" defaultRowHeight="15" customHeight="1"/>
  <cols>
    <col min="1" max="1" width="8.42578125" customWidth="1"/>
    <col min="2" max="2" width="7.140625" customWidth="1"/>
    <col min="3" max="3" width="6.42578125" customWidth="1"/>
    <col min="4" max="4" width="7.42578125" customWidth="1"/>
    <col min="5" max="29" width="17.28515625" customWidth="1"/>
  </cols>
  <sheetData>
    <row r="1" spans="1:29" ht="15.75" customHeight="1">
      <c r="A1" s="86" t="s">
        <v>178</v>
      </c>
      <c r="B1" s="87"/>
      <c r="C1" s="87"/>
      <c r="D1" s="87"/>
      <c r="E1" s="168" t="s">
        <v>180</v>
      </c>
      <c r="F1" s="169"/>
      <c r="G1" s="169"/>
      <c r="H1" s="169"/>
      <c r="I1" s="169"/>
      <c r="J1" s="169"/>
      <c r="K1" s="169"/>
      <c r="L1" s="169"/>
      <c r="M1" s="169"/>
      <c r="N1" s="169"/>
      <c r="O1" s="169"/>
      <c r="P1" s="169"/>
      <c r="Q1" s="169"/>
      <c r="R1" s="169"/>
      <c r="S1" s="169"/>
      <c r="T1" s="170"/>
      <c r="U1" s="54"/>
      <c r="V1" s="89"/>
      <c r="W1" s="164" t="s">
        <v>181</v>
      </c>
      <c r="X1" s="154"/>
      <c r="Y1" s="154"/>
      <c r="Z1" s="154"/>
      <c r="AA1" s="154"/>
      <c r="AB1" s="154"/>
      <c r="AC1" s="89" t="s">
        <v>182</v>
      </c>
    </row>
    <row r="2" spans="1:29" ht="15.75" customHeight="1">
      <c r="A2" s="91" t="s">
        <v>51</v>
      </c>
      <c r="B2" s="91" t="s">
        <v>52</v>
      </c>
      <c r="C2" s="91" t="s">
        <v>53</v>
      </c>
      <c r="D2" s="91" t="s">
        <v>54</v>
      </c>
      <c r="E2" s="92" t="s">
        <v>183</v>
      </c>
      <c r="F2" s="92" t="s">
        <v>184</v>
      </c>
      <c r="G2" s="93" t="s">
        <v>185</v>
      </c>
      <c r="H2" s="16" t="s">
        <v>186</v>
      </c>
      <c r="I2" s="92" t="s">
        <v>187</v>
      </c>
      <c r="J2" s="92" t="s">
        <v>188</v>
      </c>
      <c r="K2" s="92" t="s">
        <v>189</v>
      </c>
      <c r="L2" s="86" t="s">
        <v>190</v>
      </c>
      <c r="M2" s="86" t="s">
        <v>191</v>
      </c>
      <c r="N2" s="86" t="s">
        <v>192</v>
      </c>
      <c r="O2" s="86" t="s">
        <v>193</v>
      </c>
      <c r="P2" s="86" t="s">
        <v>194</v>
      </c>
      <c r="Q2" s="86" t="s">
        <v>195</v>
      </c>
      <c r="R2" s="87" t="s">
        <v>73</v>
      </c>
      <c r="S2" s="87" t="s">
        <v>74</v>
      </c>
      <c r="T2" s="86" t="s">
        <v>196</v>
      </c>
      <c r="U2" s="21"/>
      <c r="V2" s="21" t="s">
        <v>197</v>
      </c>
      <c r="W2" s="21" t="s">
        <v>186</v>
      </c>
      <c r="X2" s="21"/>
      <c r="Y2" s="21" t="s">
        <v>198</v>
      </c>
      <c r="Z2" s="21" t="s">
        <v>199</v>
      </c>
      <c r="AA2" s="21"/>
      <c r="AB2" s="21" t="s">
        <v>139</v>
      </c>
      <c r="AC2" s="21" t="s">
        <v>200</v>
      </c>
    </row>
    <row r="3" spans="1:29" ht="15.75" customHeight="1">
      <c r="A3" s="87" t="s">
        <v>78</v>
      </c>
      <c r="B3" s="87" t="s">
        <v>79</v>
      </c>
      <c r="C3" s="87">
        <v>1</v>
      </c>
      <c r="D3" s="87" t="s">
        <v>83</v>
      </c>
      <c r="E3" s="94">
        <f>SUM(5.45-C225-B225)</f>
        <v>0.8600000000000001</v>
      </c>
      <c r="F3" s="94">
        <f>SUM(3.06-C225)</f>
        <v>0.20999999999999996</v>
      </c>
      <c r="G3" s="94"/>
      <c r="H3" s="94">
        <f>SUM(49.16-2*E225)</f>
        <v>20.399999999999995</v>
      </c>
      <c r="I3" s="94">
        <f>SUM(40.32-(2*E225))</f>
        <v>11.559999999999999</v>
      </c>
      <c r="J3" s="94">
        <f>SUM(12.15-C225-B225)</f>
        <v>7.5600000000000005</v>
      </c>
      <c r="K3" s="94">
        <f>SUM(2.91-C225)</f>
        <v>6.0000000000000053E-2</v>
      </c>
      <c r="L3" s="94">
        <f>SUM(26.38-2*D225)</f>
        <v>11.7</v>
      </c>
      <c r="M3" s="94">
        <f>SUM(69.92-2*E225)</f>
        <v>41.16</v>
      </c>
      <c r="N3" s="94">
        <f>SUM(39.96-2*E225)</f>
        <v>11.2</v>
      </c>
      <c r="O3" s="94">
        <f>SUM(6.03-B225-C225)</f>
        <v>1.44</v>
      </c>
      <c r="P3" s="98"/>
      <c r="Q3" s="98"/>
      <c r="R3" s="98">
        <f t="shared" ref="R3:R19" si="0">SUM(E3:P3)</f>
        <v>106.14999999999999</v>
      </c>
      <c r="S3" s="98">
        <f>AVERAGE(R3:R7)</f>
        <v>68.949999999999989</v>
      </c>
      <c r="T3" s="94" t="s">
        <v>92</v>
      </c>
      <c r="U3" s="16"/>
      <c r="V3" s="16" t="s">
        <v>202</v>
      </c>
      <c r="W3" s="16">
        <v>3.97</v>
      </c>
      <c r="X3" s="16"/>
      <c r="Y3" s="16">
        <v>3.25</v>
      </c>
      <c r="Z3" s="16">
        <v>2.63</v>
      </c>
      <c r="AA3" s="16"/>
      <c r="AB3" s="16">
        <f t="shared" ref="AB3:AB82" si="1">W3+Y3</f>
        <v>7.2200000000000006</v>
      </c>
      <c r="AC3" s="16"/>
    </row>
    <row r="4" spans="1:29" ht="15.75" customHeight="1">
      <c r="A4" s="87"/>
      <c r="B4" s="87"/>
      <c r="C4" s="87">
        <v>1</v>
      </c>
      <c r="D4" s="87" t="s">
        <v>85</v>
      </c>
      <c r="E4" s="94">
        <f>SUM(2.24-B225)</f>
        <v>0.50000000000000022</v>
      </c>
      <c r="F4" s="94">
        <f>SUM(1.79-B225)</f>
        <v>5.0000000000000044E-2</v>
      </c>
      <c r="G4" s="94"/>
      <c r="H4" s="94">
        <f>SUM(32.95-E225)</f>
        <v>18.57</v>
      </c>
      <c r="I4" s="94">
        <f>SUM(19.98-E225)</f>
        <v>5.6</v>
      </c>
      <c r="J4" s="94">
        <f>SUM(22.91-E225)</f>
        <v>8.5299999999999994</v>
      </c>
      <c r="K4" s="98"/>
      <c r="L4" s="94">
        <f>SUM(16.22-E225)</f>
        <v>1.8399999999999981</v>
      </c>
      <c r="M4" s="94">
        <f>SUM(22.87-E225)</f>
        <v>8.49</v>
      </c>
      <c r="N4" s="94">
        <f>SUM(20.1-E225)</f>
        <v>5.7200000000000006</v>
      </c>
      <c r="O4" s="94">
        <f>SUM(2.05-B225)</f>
        <v>0.30999999999999983</v>
      </c>
      <c r="P4" s="98"/>
      <c r="Q4" s="98"/>
      <c r="R4" s="98">
        <f t="shared" si="0"/>
        <v>49.61</v>
      </c>
      <c r="S4" s="98"/>
      <c r="T4" s="98"/>
      <c r="V4" s="16" t="s">
        <v>202</v>
      </c>
      <c r="W4" s="16">
        <v>7.28</v>
      </c>
      <c r="X4" s="16"/>
      <c r="Y4">
        <f>6.33-2.85</f>
        <v>3.48</v>
      </c>
      <c r="Z4">
        <f>5.83-2.85</f>
        <v>2.98</v>
      </c>
      <c r="AB4" s="16">
        <f t="shared" si="1"/>
        <v>10.76</v>
      </c>
      <c r="AC4" s="16"/>
    </row>
    <row r="5" spans="1:29" ht="15.75" customHeight="1">
      <c r="A5" s="87"/>
      <c r="B5" s="87"/>
      <c r="C5" s="87">
        <v>1</v>
      </c>
      <c r="D5" s="87" t="s">
        <v>87</v>
      </c>
      <c r="E5" s="94">
        <f>SUM(30.42-E225)</f>
        <v>16.04</v>
      </c>
      <c r="F5" s="98"/>
      <c r="G5" s="98"/>
      <c r="H5" s="94">
        <f>SUM(34.57-E225)</f>
        <v>20.189999999999998</v>
      </c>
      <c r="I5" s="94">
        <f>SUM(17.18-E225)</f>
        <v>2.7999999999999989</v>
      </c>
      <c r="J5" s="94">
        <f>SUM(22.71-E225)</f>
        <v>8.33</v>
      </c>
      <c r="K5" s="94">
        <f>SUM(2.46-B225)</f>
        <v>0.72</v>
      </c>
      <c r="L5" s="94">
        <f>SUM(2.73-B225)</f>
        <v>0.99</v>
      </c>
      <c r="M5" s="94">
        <f>SUM(27.57-E225)</f>
        <v>13.19</v>
      </c>
      <c r="N5" s="94">
        <f>SUM(32.72-E225)</f>
        <v>18.339999999999996</v>
      </c>
      <c r="O5" s="94">
        <f>SUM(2.29-B225)</f>
        <v>0.55000000000000004</v>
      </c>
      <c r="P5" s="94"/>
      <c r="Q5" s="94">
        <f>SUM(3.79-B225)</f>
        <v>2.0499999999999998</v>
      </c>
      <c r="R5" s="98">
        <f t="shared" si="0"/>
        <v>81.149999999999991</v>
      </c>
      <c r="S5" s="98"/>
      <c r="T5" s="98"/>
      <c r="V5" s="16" t="s">
        <v>202</v>
      </c>
      <c r="W5" s="16">
        <v>4.13</v>
      </c>
      <c r="X5" s="16"/>
      <c r="Y5" s="16">
        <f>3.7-2.85</f>
        <v>0.85000000000000009</v>
      </c>
      <c r="Z5" s="16">
        <v>3.69</v>
      </c>
      <c r="AA5" s="16"/>
      <c r="AB5" s="16">
        <f t="shared" si="1"/>
        <v>4.9800000000000004</v>
      </c>
      <c r="AC5" s="16"/>
    </row>
    <row r="6" spans="1:29" ht="15.75" customHeight="1">
      <c r="A6" s="87"/>
      <c r="B6" s="87"/>
      <c r="C6" s="87">
        <v>1</v>
      </c>
      <c r="D6" s="87" t="s">
        <v>79</v>
      </c>
      <c r="E6" s="98"/>
      <c r="F6" s="98"/>
      <c r="G6" s="98"/>
      <c r="H6" s="94">
        <f>SUM(31.28-E225)</f>
        <v>16.899999999999999</v>
      </c>
      <c r="I6" s="94">
        <f>SUM(9.31-D225)</f>
        <v>1.9700000000000006</v>
      </c>
      <c r="J6" s="94">
        <f>SUM(8.26-D225)</f>
        <v>0.91999999999999993</v>
      </c>
      <c r="K6" s="94">
        <f>SUM(8.17-D225)</f>
        <v>0.83000000000000007</v>
      </c>
      <c r="L6" s="94">
        <f>SUM(10.67-D225)</f>
        <v>3.33</v>
      </c>
      <c r="M6" s="94">
        <f>SUM(30.96-E225)</f>
        <v>16.579999999999998</v>
      </c>
      <c r="N6" s="94">
        <f>SUM(2.19-B225)</f>
        <v>0.44999999999999996</v>
      </c>
      <c r="O6" s="94">
        <f>SUM(2.03-B225)</f>
        <v>0.28999999999999981</v>
      </c>
      <c r="P6" s="94"/>
      <c r="Q6" s="94">
        <f>SUM(2.34-B225)</f>
        <v>0.59999999999999987</v>
      </c>
      <c r="R6" s="98">
        <f t="shared" si="0"/>
        <v>41.269999999999996</v>
      </c>
      <c r="S6" s="98"/>
      <c r="T6" s="98"/>
      <c r="V6" s="16" t="s">
        <v>202</v>
      </c>
      <c r="W6" s="16">
        <v>12.78</v>
      </c>
      <c r="X6" s="16"/>
      <c r="Y6" s="16">
        <v>7.98</v>
      </c>
      <c r="Z6" s="16">
        <v>5.43</v>
      </c>
      <c r="AA6" s="16"/>
      <c r="AB6" s="16">
        <f t="shared" si="1"/>
        <v>20.759999999999998</v>
      </c>
      <c r="AC6" s="16"/>
    </row>
    <row r="7" spans="1:29" ht="15.75" customHeight="1">
      <c r="A7" s="87"/>
      <c r="B7" s="87"/>
      <c r="C7" s="87">
        <v>1</v>
      </c>
      <c r="D7" s="87" t="s">
        <v>88</v>
      </c>
      <c r="E7" s="94">
        <f>SUM(17.18-E225)</f>
        <v>2.7999999999999989</v>
      </c>
      <c r="F7" s="94">
        <f>SUM(2.02-B225)</f>
        <v>0.28000000000000003</v>
      </c>
      <c r="G7" s="94"/>
      <c r="H7" s="94">
        <f>SUM(23.87-E225)</f>
        <v>9.49</v>
      </c>
      <c r="I7" s="94">
        <f>SUM(20.23-E225)</f>
        <v>5.85</v>
      </c>
      <c r="J7" s="94">
        <f>SUM(2.34-B225)</f>
        <v>0.59999999999999987</v>
      </c>
      <c r="K7" s="94">
        <f>SUM(17.83-E225)</f>
        <v>3.4499999999999975</v>
      </c>
      <c r="L7" s="94">
        <f>SUM(16.6-E225)</f>
        <v>2.2200000000000006</v>
      </c>
      <c r="M7" s="94">
        <f>SUM(33.21-E225)</f>
        <v>18.829999999999998</v>
      </c>
      <c r="N7" s="94">
        <f>SUM(36.31-E225)</f>
        <v>21.93</v>
      </c>
      <c r="O7" s="94">
        <f>SUM(2.86-B225)</f>
        <v>1.1199999999999999</v>
      </c>
      <c r="P7" s="98"/>
      <c r="Q7" s="98"/>
      <c r="R7" s="98">
        <f t="shared" si="0"/>
        <v>66.569999999999993</v>
      </c>
      <c r="S7" s="98"/>
      <c r="T7" s="98"/>
      <c r="V7" s="16" t="s">
        <v>202</v>
      </c>
      <c r="W7" s="16">
        <v>1.67</v>
      </c>
      <c r="X7" s="16"/>
      <c r="Y7" s="105"/>
      <c r="Z7" s="16">
        <v>3.32</v>
      </c>
      <c r="AA7" s="16"/>
      <c r="AB7" s="16">
        <f t="shared" si="1"/>
        <v>1.67</v>
      </c>
      <c r="AC7" s="16">
        <f>SUM(AB3:AB7)/5</f>
        <v>9.0779999999999994</v>
      </c>
    </row>
    <row r="8" spans="1:29" ht="15.75" customHeight="1">
      <c r="A8" s="87"/>
      <c r="B8" s="87"/>
      <c r="C8" s="87">
        <v>2</v>
      </c>
      <c r="D8" s="87" t="s">
        <v>83</v>
      </c>
      <c r="E8" s="94">
        <v>1.68</v>
      </c>
      <c r="F8" s="98"/>
      <c r="G8" s="98"/>
      <c r="H8" s="94">
        <v>12.86</v>
      </c>
      <c r="I8" s="94">
        <v>4.38</v>
      </c>
      <c r="J8" s="94">
        <v>4.0599999999999996</v>
      </c>
      <c r="K8" s="98"/>
      <c r="L8" s="94">
        <v>0.19400000000000001</v>
      </c>
      <c r="M8" s="94">
        <v>37.5</v>
      </c>
      <c r="N8" s="94">
        <v>6.57</v>
      </c>
      <c r="O8" s="94">
        <v>1.054</v>
      </c>
      <c r="P8" s="98"/>
      <c r="Q8" s="98"/>
      <c r="R8" s="98">
        <f t="shared" si="0"/>
        <v>68.298000000000002</v>
      </c>
      <c r="S8" s="98">
        <f>AVERAGE(R8:R12)</f>
        <v>67.247600000000006</v>
      </c>
      <c r="T8" s="94" t="s">
        <v>93</v>
      </c>
      <c r="U8" s="16"/>
      <c r="V8" s="16" t="s">
        <v>202</v>
      </c>
      <c r="W8" s="16">
        <v>1.68</v>
      </c>
      <c r="X8" s="16"/>
      <c r="Y8" s="16">
        <v>2.79</v>
      </c>
      <c r="Z8" s="16">
        <v>5.63</v>
      </c>
      <c r="AA8" s="16"/>
      <c r="AB8" s="16">
        <f t="shared" si="1"/>
        <v>4.47</v>
      </c>
      <c r="AC8" s="16"/>
    </row>
    <row r="9" spans="1:29" ht="15.75" customHeight="1">
      <c r="A9" s="87"/>
      <c r="B9" s="87"/>
      <c r="C9" s="87">
        <v>2</v>
      </c>
      <c r="D9" s="87" t="s">
        <v>85</v>
      </c>
      <c r="E9" s="98"/>
      <c r="F9" s="98"/>
      <c r="G9" s="98"/>
      <c r="H9" s="94">
        <v>20.04</v>
      </c>
      <c r="I9" s="94">
        <f>SUM(4.56-C225)</f>
        <v>1.7099999999999995</v>
      </c>
      <c r="J9" s="94">
        <f>SUM(3.66-C225)</f>
        <v>0.81</v>
      </c>
      <c r="K9" s="98"/>
      <c r="L9" s="98"/>
      <c r="M9" s="94">
        <v>35.51</v>
      </c>
      <c r="N9" s="94">
        <v>8.44</v>
      </c>
      <c r="O9" s="94">
        <f>SUM(3.31-C225)</f>
        <v>0.45999999999999996</v>
      </c>
      <c r="P9" s="94"/>
      <c r="Q9" s="107">
        <f t="shared" ref="Q9:Q10" si="2">SUM(1.87-C225)</f>
        <v>-0.98</v>
      </c>
      <c r="R9" s="98">
        <f t="shared" si="0"/>
        <v>66.969999999999985</v>
      </c>
      <c r="S9" s="98"/>
      <c r="T9" s="98"/>
      <c r="V9" s="16" t="s">
        <v>202</v>
      </c>
      <c r="W9" s="16">
        <v>5.53</v>
      </c>
      <c r="X9" s="16"/>
      <c r="Y9" s="16">
        <v>4.22</v>
      </c>
      <c r="Z9" s="16">
        <v>7.82</v>
      </c>
      <c r="AA9" s="16"/>
      <c r="AB9" s="16">
        <f t="shared" si="1"/>
        <v>9.75</v>
      </c>
      <c r="AC9" s="16"/>
    </row>
    <row r="10" spans="1:29" ht="15.75" customHeight="1">
      <c r="A10" s="87"/>
      <c r="B10" s="87"/>
      <c r="C10" s="87">
        <v>2</v>
      </c>
      <c r="D10" s="87" t="s">
        <v>87</v>
      </c>
      <c r="E10" s="98"/>
      <c r="F10" s="98"/>
      <c r="G10" s="98"/>
      <c r="H10" s="94">
        <v>20.13</v>
      </c>
      <c r="I10" s="94">
        <v>4.72</v>
      </c>
      <c r="J10" s="94">
        <v>3.48</v>
      </c>
      <c r="K10" s="98"/>
      <c r="L10" s="94">
        <v>0.79100000000000004</v>
      </c>
      <c r="M10" s="94">
        <v>31.03</v>
      </c>
      <c r="N10" s="94">
        <v>3.96</v>
      </c>
      <c r="O10" s="94">
        <v>0.38100000000000001</v>
      </c>
      <c r="P10" s="94"/>
      <c r="Q10" s="94">
        <f t="shared" si="2"/>
        <v>1.87</v>
      </c>
      <c r="R10" s="98">
        <f t="shared" si="0"/>
        <v>64.49199999999999</v>
      </c>
      <c r="S10" s="98"/>
      <c r="T10" s="98"/>
      <c r="V10" s="16" t="s">
        <v>202</v>
      </c>
      <c r="W10" s="16">
        <v>2</v>
      </c>
      <c r="X10" s="16"/>
      <c r="Y10" s="16">
        <v>2.3199999999999998</v>
      </c>
      <c r="Z10" s="16">
        <v>2.59</v>
      </c>
      <c r="AA10" s="16"/>
      <c r="AB10" s="16">
        <f t="shared" si="1"/>
        <v>4.32</v>
      </c>
      <c r="AC10" s="16"/>
    </row>
    <row r="11" spans="1:29" ht="15.75" customHeight="1">
      <c r="A11" s="87"/>
      <c r="B11" s="87"/>
      <c r="C11" s="87">
        <v>2</v>
      </c>
      <c r="D11" s="87" t="s">
        <v>79</v>
      </c>
      <c r="E11" s="94">
        <v>5.81</v>
      </c>
      <c r="F11" s="98"/>
      <c r="G11" s="98"/>
      <c r="H11" s="94">
        <v>23.25</v>
      </c>
      <c r="I11" s="94">
        <v>4.58</v>
      </c>
      <c r="J11" s="94">
        <v>6.9</v>
      </c>
      <c r="K11" s="94">
        <v>1.79</v>
      </c>
      <c r="L11" s="94">
        <v>4.88</v>
      </c>
      <c r="M11" s="94">
        <v>18.32</v>
      </c>
      <c r="N11" s="94">
        <v>3.59</v>
      </c>
      <c r="O11" s="98"/>
      <c r="P11" s="98"/>
      <c r="Q11" s="98"/>
      <c r="R11" s="98">
        <f t="shared" si="0"/>
        <v>69.12</v>
      </c>
      <c r="S11" s="98"/>
      <c r="T11" s="98"/>
      <c r="V11" s="16" t="s">
        <v>202</v>
      </c>
      <c r="W11" s="16">
        <v>2.98</v>
      </c>
      <c r="X11" s="16"/>
      <c r="Y11" s="16">
        <v>1.73</v>
      </c>
      <c r="Z11" s="16">
        <v>4.26</v>
      </c>
      <c r="AA11" s="16"/>
      <c r="AB11" s="16">
        <f t="shared" si="1"/>
        <v>4.71</v>
      </c>
      <c r="AC11" s="16"/>
    </row>
    <row r="12" spans="1:29" ht="15.75" customHeight="1">
      <c r="A12" s="87"/>
      <c r="B12" s="87"/>
      <c r="C12" s="87">
        <v>2</v>
      </c>
      <c r="D12" s="87" t="s">
        <v>88</v>
      </c>
      <c r="E12" s="98"/>
      <c r="F12" s="98"/>
      <c r="G12" s="98"/>
      <c r="H12" s="94">
        <v>16.36</v>
      </c>
      <c r="I12" s="94">
        <v>4.88</v>
      </c>
      <c r="J12" s="94">
        <v>5.69</v>
      </c>
      <c r="K12" s="94">
        <v>0.24399999999999999</v>
      </c>
      <c r="L12" s="94">
        <v>12.55</v>
      </c>
      <c r="M12" s="94">
        <v>25.41</v>
      </c>
      <c r="N12" s="94">
        <v>1.8</v>
      </c>
      <c r="O12" s="94">
        <v>0.42399999999999999</v>
      </c>
      <c r="P12" s="98"/>
      <c r="Q12" s="98"/>
      <c r="R12" s="98">
        <f t="shared" si="0"/>
        <v>67.358000000000004</v>
      </c>
      <c r="S12" s="98"/>
      <c r="T12" s="98"/>
      <c r="V12" s="16" t="s">
        <v>202</v>
      </c>
      <c r="W12" s="16">
        <v>4.16</v>
      </c>
      <c r="X12" s="16"/>
      <c r="Y12" s="16">
        <v>2.67</v>
      </c>
      <c r="Z12" s="16">
        <v>3.85</v>
      </c>
      <c r="AA12" s="16"/>
      <c r="AB12" s="16">
        <f t="shared" si="1"/>
        <v>6.83</v>
      </c>
      <c r="AC12" s="16">
        <f>SUM(AB8:AB12)/5</f>
        <v>6.016</v>
      </c>
    </row>
    <row r="13" spans="1:29" ht="15.75" customHeight="1">
      <c r="A13" s="87"/>
      <c r="B13" s="87"/>
      <c r="C13" s="87">
        <v>3</v>
      </c>
      <c r="D13" s="87" t="s">
        <v>83</v>
      </c>
      <c r="E13" s="98"/>
      <c r="F13" s="98"/>
      <c r="G13" s="98"/>
      <c r="H13" s="94">
        <f>SUM(38.35-E225)</f>
        <v>23.97</v>
      </c>
      <c r="I13" s="94">
        <f>SUM(9.765-D225)</f>
        <v>2.4250000000000007</v>
      </c>
      <c r="J13" s="94">
        <f>SUM(9.91-D225)</f>
        <v>2.5700000000000003</v>
      </c>
      <c r="K13" s="94">
        <f>SUM(1.97-B225)</f>
        <v>0.22999999999999998</v>
      </c>
      <c r="L13" s="94">
        <f>SUM(3.21-C225)</f>
        <v>0.35999999999999988</v>
      </c>
      <c r="M13" s="94">
        <f>SUM(27.83-E225)</f>
        <v>13.449999999999998</v>
      </c>
      <c r="N13" s="94">
        <f>SUM(10.94-D225)</f>
        <v>3.5999999999999996</v>
      </c>
      <c r="O13" s="94">
        <f>SUM(2.96-B225)</f>
        <v>1.22</v>
      </c>
      <c r="P13" s="94"/>
      <c r="Q13" s="94">
        <f>SUM(2.04-B225)</f>
        <v>0.30000000000000004</v>
      </c>
      <c r="R13" s="98">
        <f t="shared" si="0"/>
        <v>47.824999999999996</v>
      </c>
      <c r="S13" s="98">
        <f>AVERAGE(R13:R17)</f>
        <v>57.784999999999989</v>
      </c>
      <c r="T13" s="94" t="s">
        <v>142</v>
      </c>
      <c r="U13" s="16"/>
      <c r="V13" s="16" t="s">
        <v>202</v>
      </c>
      <c r="W13" s="16">
        <v>6.95</v>
      </c>
      <c r="X13" s="16"/>
      <c r="Y13" s="110"/>
      <c r="Z13" s="16">
        <v>6.44</v>
      </c>
      <c r="AA13" s="16"/>
      <c r="AB13" s="16">
        <f t="shared" si="1"/>
        <v>6.95</v>
      </c>
      <c r="AC13" s="16"/>
    </row>
    <row r="14" spans="1:29" ht="15.75" customHeight="1">
      <c r="A14" s="87"/>
      <c r="B14" s="87"/>
      <c r="C14" s="87">
        <v>3</v>
      </c>
      <c r="D14" s="87" t="s">
        <v>85</v>
      </c>
      <c r="E14" s="94">
        <f>SUM(3.05-C225)</f>
        <v>0.19999999999999973</v>
      </c>
      <c r="F14" s="98"/>
      <c r="G14" s="98"/>
      <c r="H14" s="94">
        <v>7.34</v>
      </c>
      <c r="I14" s="94">
        <v>3.97</v>
      </c>
      <c r="J14" s="94">
        <f>SUM(4.12-C225)</f>
        <v>1.27</v>
      </c>
      <c r="K14" s="94">
        <f>SUM(4.29-C225)</f>
        <v>1.44</v>
      </c>
      <c r="L14" s="94">
        <f>SUM(3.18-C225)</f>
        <v>0.33000000000000007</v>
      </c>
      <c r="M14" s="94">
        <v>29.95</v>
      </c>
      <c r="N14" s="94">
        <v>9.36</v>
      </c>
      <c r="O14" s="94">
        <f>SUM(6.65-C225)</f>
        <v>3.8000000000000003</v>
      </c>
      <c r="P14" s="98"/>
      <c r="Q14" s="98"/>
      <c r="R14" s="98">
        <f t="shared" si="0"/>
        <v>57.66</v>
      </c>
      <c r="S14" s="98"/>
      <c r="T14" s="98"/>
      <c r="V14" s="16" t="s">
        <v>202</v>
      </c>
      <c r="W14" s="16">
        <v>3.11</v>
      </c>
      <c r="X14" s="16"/>
      <c r="Y14" s="16">
        <v>1.0900000000000001</v>
      </c>
      <c r="Z14" s="16">
        <v>4.0999999999999996</v>
      </c>
      <c r="AA14" s="16"/>
      <c r="AB14" s="16">
        <f t="shared" si="1"/>
        <v>4.2</v>
      </c>
      <c r="AC14" s="16"/>
    </row>
    <row r="15" spans="1:29" ht="15.75" customHeight="1">
      <c r="A15" s="87"/>
      <c r="B15" s="87"/>
      <c r="C15" s="87">
        <v>3</v>
      </c>
      <c r="D15" s="87" t="s">
        <v>87</v>
      </c>
      <c r="E15" s="98"/>
      <c r="F15" s="98"/>
      <c r="G15" s="98"/>
      <c r="H15" s="94">
        <v>14.66</v>
      </c>
      <c r="I15" s="94">
        <v>3.44</v>
      </c>
      <c r="J15" s="94">
        <f>SUM(5.23-C225)</f>
        <v>2.3800000000000003</v>
      </c>
      <c r="K15" s="94">
        <v>1.98</v>
      </c>
      <c r="L15" s="98"/>
      <c r="M15" s="94">
        <v>33.4</v>
      </c>
      <c r="N15" s="94">
        <v>5.5</v>
      </c>
      <c r="O15" s="94">
        <f>SUM(4.09-C225)</f>
        <v>1.2399999999999998</v>
      </c>
      <c r="P15" s="98"/>
      <c r="Q15" s="98"/>
      <c r="R15" s="98">
        <f t="shared" si="0"/>
        <v>62.6</v>
      </c>
      <c r="S15" s="98"/>
      <c r="T15" s="98"/>
      <c r="V15" s="16" t="s">
        <v>202</v>
      </c>
      <c r="W15" s="16">
        <v>18.55</v>
      </c>
      <c r="X15" s="16"/>
      <c r="Y15" s="16">
        <v>1.28</v>
      </c>
      <c r="Z15" s="16">
        <v>4.3499999999999996</v>
      </c>
      <c r="AA15" s="16"/>
      <c r="AB15" s="16">
        <f t="shared" si="1"/>
        <v>19.830000000000002</v>
      </c>
      <c r="AC15" s="16"/>
    </row>
    <row r="16" spans="1:29">
      <c r="A16" s="87"/>
      <c r="B16" s="87"/>
      <c r="C16" s="87">
        <v>3</v>
      </c>
      <c r="D16" s="87" t="s">
        <v>79</v>
      </c>
      <c r="E16" s="94">
        <f>SUM(3.31-C225)</f>
        <v>0.45999999999999996</v>
      </c>
      <c r="F16" s="98"/>
      <c r="G16" s="98"/>
      <c r="H16" s="94">
        <v>12.32</v>
      </c>
      <c r="I16" s="94">
        <v>6.31</v>
      </c>
      <c r="J16" s="94">
        <f>SUM(5.86-C225)</f>
        <v>3.0100000000000002</v>
      </c>
      <c r="K16" s="94">
        <f>SUM(3.01-C225)</f>
        <v>0.1599999999999997</v>
      </c>
      <c r="L16" s="94">
        <f>SUM(3.31-C225)</f>
        <v>0.45999999999999996</v>
      </c>
      <c r="M16" s="94">
        <v>34.92</v>
      </c>
      <c r="N16" s="94">
        <v>3.67</v>
      </c>
      <c r="O16" s="94">
        <f>SUM(4.29-C225)</f>
        <v>1.44</v>
      </c>
      <c r="P16" s="98"/>
      <c r="Q16" s="98"/>
      <c r="R16" s="98">
        <f t="shared" si="0"/>
        <v>62.75</v>
      </c>
      <c r="S16" s="98"/>
      <c r="T16" s="98"/>
      <c r="V16" s="16" t="s">
        <v>202</v>
      </c>
      <c r="W16" s="16">
        <v>0.9</v>
      </c>
      <c r="X16" s="16"/>
      <c r="Y16" s="16">
        <v>0.64</v>
      </c>
      <c r="Z16" s="16">
        <v>3.88</v>
      </c>
      <c r="AA16" s="16"/>
      <c r="AB16" s="16">
        <f t="shared" si="1"/>
        <v>1.54</v>
      </c>
      <c r="AC16" s="16"/>
    </row>
    <row r="17" spans="1:29" ht="16.5" customHeight="1">
      <c r="A17" s="87"/>
      <c r="B17" s="87"/>
      <c r="C17" s="87">
        <v>3</v>
      </c>
      <c r="D17" s="87" t="s">
        <v>88</v>
      </c>
      <c r="E17" s="98"/>
      <c r="F17" s="98"/>
      <c r="G17" s="98"/>
      <c r="H17" s="94">
        <v>15.23</v>
      </c>
      <c r="I17" s="98"/>
      <c r="J17" s="94">
        <v>1.65</v>
      </c>
      <c r="K17" s="94">
        <v>1.18</v>
      </c>
      <c r="L17" s="94" t="s">
        <v>206</v>
      </c>
      <c r="M17" s="94">
        <v>30.38</v>
      </c>
      <c r="N17" s="94">
        <v>9.65</v>
      </c>
      <c r="O17" s="98"/>
      <c r="P17" s="98"/>
      <c r="Q17" s="98"/>
      <c r="R17" s="98">
        <f t="shared" si="0"/>
        <v>58.089999999999996</v>
      </c>
      <c r="S17" s="98"/>
      <c r="T17" s="98"/>
      <c r="V17" s="16" t="s">
        <v>202</v>
      </c>
      <c r="W17" s="105"/>
      <c r="X17" s="105"/>
      <c r="Y17" s="105"/>
      <c r="Z17" s="16">
        <v>2.63</v>
      </c>
      <c r="AA17" s="16"/>
      <c r="AB17" s="16">
        <f t="shared" si="1"/>
        <v>0</v>
      </c>
      <c r="AC17" s="16">
        <f>SUM(AB13:AB17)/5</f>
        <v>6.5040000000000004</v>
      </c>
    </row>
    <row r="18" spans="1:29" ht="15.75" customHeight="1">
      <c r="A18" s="87"/>
      <c r="B18" s="87"/>
      <c r="C18" s="87">
        <v>4</v>
      </c>
      <c r="D18" s="87" t="s">
        <v>83</v>
      </c>
      <c r="E18" s="98"/>
      <c r="F18" s="98"/>
      <c r="G18" s="98"/>
      <c r="H18" s="94">
        <v>15.1</v>
      </c>
      <c r="I18" s="94">
        <v>2.411</v>
      </c>
      <c r="J18" s="94">
        <v>4.3310000000000004</v>
      </c>
      <c r="K18" s="98"/>
      <c r="L18" s="94">
        <f>SUM(3.23-C225)</f>
        <v>0.37999999999999989</v>
      </c>
      <c r="M18" s="94">
        <v>56.59</v>
      </c>
      <c r="N18" s="94">
        <v>3.9510000000000001</v>
      </c>
      <c r="O18" s="94">
        <f>SUM(5.81-C225)</f>
        <v>2.9599999999999995</v>
      </c>
      <c r="P18" s="98"/>
      <c r="Q18" s="98"/>
      <c r="R18" s="98">
        <f t="shared" si="0"/>
        <v>85.722999999999985</v>
      </c>
      <c r="S18" s="98">
        <f>AVERAGE(R18:R22)</f>
        <v>78.811250000000001</v>
      </c>
      <c r="T18" s="94" t="s">
        <v>90</v>
      </c>
      <c r="U18" s="16"/>
      <c r="V18" s="16" t="s">
        <v>202</v>
      </c>
      <c r="W18" s="16">
        <v>2.75</v>
      </c>
      <c r="X18" s="16"/>
      <c r="Y18" s="16">
        <v>2.02</v>
      </c>
      <c r="Z18" s="16">
        <v>4.03</v>
      </c>
      <c r="AA18" s="16"/>
      <c r="AB18" s="16">
        <f t="shared" si="1"/>
        <v>4.7699999999999996</v>
      </c>
      <c r="AC18" s="16"/>
    </row>
    <row r="19" spans="1:29" ht="15.75" customHeight="1">
      <c r="A19" s="87"/>
      <c r="B19" s="87"/>
      <c r="C19" s="87">
        <v>4</v>
      </c>
      <c r="D19" s="87" t="s">
        <v>85</v>
      </c>
      <c r="E19" s="98"/>
      <c r="F19" s="98"/>
      <c r="G19" s="98"/>
      <c r="H19" s="94">
        <v>12.05</v>
      </c>
      <c r="I19" s="94">
        <v>6.13</v>
      </c>
      <c r="J19" s="94">
        <v>7.02</v>
      </c>
      <c r="K19" s="94">
        <v>2.5499999999999998</v>
      </c>
      <c r="L19" s="98"/>
      <c r="M19" s="94">
        <v>34.79</v>
      </c>
      <c r="N19" s="98"/>
      <c r="O19" s="98"/>
      <c r="P19" s="98"/>
      <c r="Q19" s="98"/>
      <c r="R19" s="98">
        <f t="shared" si="0"/>
        <v>62.54</v>
      </c>
      <c r="S19" s="98"/>
      <c r="T19" s="98"/>
      <c r="V19" s="16" t="s">
        <v>202</v>
      </c>
      <c r="W19" s="16">
        <v>3.02</v>
      </c>
      <c r="X19" s="16"/>
      <c r="Y19" s="16">
        <v>4.01</v>
      </c>
      <c r="Z19" s="16">
        <v>1.42</v>
      </c>
      <c r="AA19" s="16"/>
      <c r="AB19" s="16">
        <f t="shared" si="1"/>
        <v>7.0299999999999994</v>
      </c>
      <c r="AC19" s="16"/>
    </row>
    <row r="20" spans="1:29" ht="15.75" customHeight="1">
      <c r="A20" s="87"/>
      <c r="B20" s="87"/>
      <c r="C20" s="87">
        <v>4</v>
      </c>
      <c r="D20" s="87" t="s">
        <v>87</v>
      </c>
      <c r="F20" s="98"/>
      <c r="G20" s="98"/>
      <c r="H20" s="98"/>
      <c r="I20" s="98"/>
      <c r="J20" s="98"/>
      <c r="K20" s="98"/>
      <c r="L20" s="98"/>
      <c r="M20" s="98"/>
      <c r="N20" s="98"/>
      <c r="O20" s="98"/>
      <c r="P20" s="98"/>
      <c r="Q20" s="98"/>
      <c r="R20" s="98"/>
      <c r="S20" s="98"/>
      <c r="T20" s="94" t="s">
        <v>207</v>
      </c>
      <c r="V20" s="16" t="s">
        <v>202</v>
      </c>
      <c r="W20" s="16">
        <v>3.96</v>
      </c>
      <c r="X20" s="16"/>
      <c r="Y20" s="16">
        <v>2.46</v>
      </c>
      <c r="Z20" s="16">
        <v>2.2000000000000002</v>
      </c>
      <c r="AA20" s="16"/>
      <c r="AB20" s="16">
        <f t="shared" si="1"/>
        <v>6.42</v>
      </c>
      <c r="AC20" s="16"/>
    </row>
    <row r="21" spans="1:29" ht="15.75" customHeight="1">
      <c r="A21" s="87"/>
      <c r="B21" s="87"/>
      <c r="C21" s="87">
        <v>4</v>
      </c>
      <c r="D21" s="87" t="s">
        <v>79</v>
      </c>
      <c r="E21" s="98"/>
      <c r="F21" s="98"/>
      <c r="G21" s="98"/>
      <c r="H21" s="94">
        <v>9.36</v>
      </c>
      <c r="I21" s="94">
        <v>3.4609999999999999</v>
      </c>
      <c r="J21" s="94">
        <v>8.7609999999999992</v>
      </c>
      <c r="K21" s="98"/>
      <c r="L21" s="94">
        <v>4.3710000000000004</v>
      </c>
      <c r="M21" s="94">
        <v>31.37</v>
      </c>
      <c r="N21" s="94">
        <v>6.7510000000000003</v>
      </c>
      <c r="O21" s="94">
        <f>SUM(4.85-C225)</f>
        <v>1.9999999999999996</v>
      </c>
      <c r="P21" s="98"/>
      <c r="Q21" s="98"/>
      <c r="R21" s="98">
        <f t="shared" ref="R21:R38" si="3">SUM(E21:P21)</f>
        <v>66.074000000000012</v>
      </c>
      <c r="S21" s="98"/>
      <c r="T21" s="98"/>
      <c r="V21" s="16" t="s">
        <v>202</v>
      </c>
      <c r="W21" s="16">
        <v>4.74</v>
      </c>
      <c r="X21" s="16"/>
      <c r="Y21" s="16">
        <v>3.81</v>
      </c>
      <c r="Z21" s="16">
        <v>2.25</v>
      </c>
      <c r="AA21" s="16"/>
      <c r="AB21" s="16">
        <f t="shared" si="1"/>
        <v>8.5500000000000007</v>
      </c>
      <c r="AC21" s="16"/>
    </row>
    <row r="22" spans="1:29" ht="15.75" customHeight="1">
      <c r="A22" s="87"/>
      <c r="B22" s="87"/>
      <c r="C22" s="87">
        <v>4</v>
      </c>
      <c r="D22" s="87" t="s">
        <v>88</v>
      </c>
      <c r="E22" s="94">
        <v>0.214</v>
      </c>
      <c r="F22" s="98"/>
      <c r="G22" s="98"/>
      <c r="H22" s="94">
        <v>46.34</v>
      </c>
      <c r="I22" s="94">
        <v>8.8699999999999992</v>
      </c>
      <c r="J22" s="94">
        <v>7.12</v>
      </c>
      <c r="K22" s="98"/>
      <c r="L22" s="98"/>
      <c r="M22" s="94">
        <v>34.74</v>
      </c>
      <c r="N22" s="94">
        <v>2.52</v>
      </c>
      <c r="O22" s="94">
        <v>1.1040000000000001</v>
      </c>
      <c r="P22" s="98"/>
      <c r="Q22" s="98"/>
      <c r="R22" s="98">
        <f t="shared" si="3"/>
        <v>100.90799999999999</v>
      </c>
      <c r="S22" s="98"/>
      <c r="T22" s="98"/>
      <c r="V22" s="16" t="s">
        <v>202</v>
      </c>
      <c r="W22" s="16">
        <v>7.11</v>
      </c>
      <c r="X22" s="16"/>
      <c r="Y22" s="16">
        <v>1.03</v>
      </c>
      <c r="Z22" s="16">
        <v>5.59</v>
      </c>
      <c r="AA22" s="16"/>
      <c r="AB22" s="16">
        <f t="shared" si="1"/>
        <v>8.14</v>
      </c>
      <c r="AC22" s="16">
        <f>SUM(AB18:AB22)/5</f>
        <v>6.9819999999999993</v>
      </c>
    </row>
    <row r="23" spans="1:29" ht="15.75" customHeight="1">
      <c r="A23" s="87" t="s">
        <v>78</v>
      </c>
      <c r="B23" s="87" t="s">
        <v>94</v>
      </c>
      <c r="C23" s="87">
        <v>1</v>
      </c>
      <c r="D23" s="87" t="s">
        <v>83</v>
      </c>
      <c r="E23" s="98"/>
      <c r="F23" s="98"/>
      <c r="G23" s="98"/>
      <c r="H23" s="94">
        <v>14.45</v>
      </c>
      <c r="I23" s="94">
        <v>7.36</v>
      </c>
      <c r="J23" s="94">
        <v>7.47</v>
      </c>
      <c r="K23" s="98"/>
      <c r="L23" s="98"/>
      <c r="M23" s="94">
        <v>7.51</v>
      </c>
      <c r="N23" s="94">
        <v>7.58</v>
      </c>
      <c r="O23" s="98"/>
      <c r="P23" s="98"/>
      <c r="Q23" s="98"/>
      <c r="R23" s="98">
        <f t="shared" si="3"/>
        <v>44.37</v>
      </c>
      <c r="S23" s="98">
        <f>AVERAGE(R23:R27)</f>
        <v>55.998000000000005</v>
      </c>
      <c r="T23" s="94" t="s">
        <v>90</v>
      </c>
      <c r="U23" s="16"/>
      <c r="V23" s="16" t="s">
        <v>202</v>
      </c>
      <c r="W23" s="16">
        <v>5.97</v>
      </c>
      <c r="X23" s="16"/>
      <c r="Y23" s="16">
        <v>10.63</v>
      </c>
      <c r="Z23" s="16">
        <v>1.33</v>
      </c>
      <c r="AA23" s="16"/>
      <c r="AB23" s="16">
        <f t="shared" si="1"/>
        <v>16.600000000000001</v>
      </c>
      <c r="AC23" s="16"/>
    </row>
    <row r="24" spans="1:29" ht="15.75" customHeight="1">
      <c r="A24" s="87"/>
      <c r="B24" s="87"/>
      <c r="C24" s="87">
        <v>1</v>
      </c>
      <c r="D24" s="87" t="s">
        <v>85</v>
      </c>
      <c r="E24" s="98"/>
      <c r="F24" s="98"/>
      <c r="G24" s="98"/>
      <c r="H24" s="94">
        <v>31.51</v>
      </c>
      <c r="I24" s="94">
        <v>5.31</v>
      </c>
      <c r="J24" s="94">
        <v>8.3800000000000008</v>
      </c>
      <c r="K24" s="98"/>
      <c r="L24" s="98"/>
      <c r="M24" s="94">
        <v>10.92</v>
      </c>
      <c r="N24" s="94">
        <v>8.4</v>
      </c>
      <c r="O24" s="94">
        <v>0.38</v>
      </c>
      <c r="P24" s="98"/>
      <c r="Q24" s="98"/>
      <c r="R24" s="98">
        <f t="shared" si="3"/>
        <v>64.900000000000006</v>
      </c>
      <c r="S24" s="94" t="s">
        <v>178</v>
      </c>
      <c r="T24" s="98"/>
      <c r="V24" s="16" t="s">
        <v>202</v>
      </c>
      <c r="W24" s="16">
        <v>7.26</v>
      </c>
      <c r="X24" s="16"/>
      <c r="Y24" s="16">
        <v>4.1500000000000004</v>
      </c>
      <c r="Z24" s="16">
        <v>1.46</v>
      </c>
      <c r="AA24" s="16"/>
      <c r="AB24" s="16">
        <f t="shared" si="1"/>
        <v>11.41</v>
      </c>
      <c r="AC24" s="16"/>
    </row>
    <row r="25" spans="1:29" ht="15.75" customHeight="1">
      <c r="A25" s="87"/>
      <c r="B25" s="87"/>
      <c r="C25" s="87">
        <v>1</v>
      </c>
      <c r="D25" s="87" t="s">
        <v>87</v>
      </c>
      <c r="E25" s="98"/>
      <c r="F25" s="98"/>
      <c r="G25" s="98"/>
      <c r="H25" s="94">
        <v>27.32</v>
      </c>
      <c r="I25" s="94">
        <v>1.44</v>
      </c>
      <c r="J25" s="94">
        <v>26.25</v>
      </c>
      <c r="K25" s="98"/>
      <c r="L25" s="94">
        <v>3.88</v>
      </c>
      <c r="M25" s="94">
        <v>7.86</v>
      </c>
      <c r="N25" s="94">
        <v>1.04</v>
      </c>
      <c r="O25" s="94">
        <v>0.4</v>
      </c>
      <c r="P25" s="98"/>
      <c r="Q25" s="98"/>
      <c r="R25" s="98">
        <f t="shared" si="3"/>
        <v>68.190000000000026</v>
      </c>
      <c r="S25" s="98"/>
      <c r="T25" s="98"/>
      <c r="V25" s="16" t="s">
        <v>202</v>
      </c>
      <c r="W25" s="16">
        <v>0.41</v>
      </c>
      <c r="X25" s="16"/>
      <c r="Y25" s="16">
        <v>3.49</v>
      </c>
      <c r="Z25" s="16">
        <v>0.3</v>
      </c>
      <c r="AA25" s="16"/>
      <c r="AB25" s="16">
        <f t="shared" si="1"/>
        <v>3.9000000000000004</v>
      </c>
      <c r="AC25" s="16"/>
    </row>
    <row r="26" spans="1:29" ht="15.75" customHeight="1">
      <c r="A26" s="87"/>
      <c r="B26" s="87"/>
      <c r="C26" s="87">
        <v>1</v>
      </c>
      <c r="D26" s="87" t="s">
        <v>79</v>
      </c>
      <c r="E26" s="98"/>
      <c r="F26" s="98"/>
      <c r="G26" s="98"/>
      <c r="H26" s="94">
        <v>22.5</v>
      </c>
      <c r="I26" s="94">
        <v>1.26</v>
      </c>
      <c r="J26" s="94">
        <v>22.6</v>
      </c>
      <c r="K26" s="98"/>
      <c r="L26" s="98"/>
      <c r="M26" s="94">
        <v>4.18</v>
      </c>
      <c r="N26" s="94">
        <v>1.93</v>
      </c>
      <c r="O26" s="94">
        <v>1.32</v>
      </c>
      <c r="P26" s="94"/>
      <c r="Q26" s="94">
        <v>0.14000000000000001</v>
      </c>
      <c r="R26" s="98">
        <f t="shared" si="3"/>
        <v>53.79</v>
      </c>
      <c r="S26" s="98"/>
      <c r="T26" s="98"/>
      <c r="V26" s="16" t="s">
        <v>202</v>
      </c>
      <c r="W26" s="16">
        <v>8.8000000000000007</v>
      </c>
      <c r="X26" s="16"/>
      <c r="Y26" s="16">
        <v>4.87</v>
      </c>
      <c r="Z26" s="16">
        <v>1.21</v>
      </c>
      <c r="AA26" s="16"/>
      <c r="AB26" s="16">
        <f t="shared" si="1"/>
        <v>13.670000000000002</v>
      </c>
      <c r="AC26" s="16"/>
    </row>
    <row r="27" spans="1:29" ht="15.75" customHeight="1">
      <c r="A27" s="87"/>
      <c r="B27" s="87"/>
      <c r="C27" s="87">
        <v>1</v>
      </c>
      <c r="D27" s="87" t="s">
        <v>88</v>
      </c>
      <c r="E27" s="98"/>
      <c r="F27" s="98"/>
      <c r="G27" s="98"/>
      <c r="H27" s="94">
        <v>37.020000000000003</v>
      </c>
      <c r="I27" s="94">
        <v>1.44</v>
      </c>
      <c r="J27" s="94">
        <v>5.48</v>
      </c>
      <c r="K27" s="94">
        <v>0.1</v>
      </c>
      <c r="L27" s="94">
        <v>0.45</v>
      </c>
      <c r="M27" s="94">
        <v>3.47</v>
      </c>
      <c r="N27" s="94">
        <v>0.34</v>
      </c>
      <c r="O27" s="94">
        <v>0.44</v>
      </c>
      <c r="P27" s="94"/>
      <c r="Q27" s="94">
        <v>0.35</v>
      </c>
      <c r="R27" s="98">
        <f t="shared" si="3"/>
        <v>48.74</v>
      </c>
      <c r="S27" s="98"/>
      <c r="T27" s="98"/>
      <c r="V27" s="16" t="s">
        <v>202</v>
      </c>
      <c r="W27" s="16">
        <v>12.57</v>
      </c>
      <c r="X27" s="16"/>
      <c r="Y27" s="16">
        <v>4.09</v>
      </c>
      <c r="Z27" s="16">
        <v>1.3</v>
      </c>
      <c r="AA27" s="16"/>
      <c r="AB27" s="16">
        <f t="shared" si="1"/>
        <v>16.66</v>
      </c>
      <c r="AC27" s="16">
        <f>SUM(AB23:AB27)/5</f>
        <v>12.448000000000002</v>
      </c>
    </row>
    <row r="28" spans="1:29" ht="15.75" customHeight="1">
      <c r="A28" s="87"/>
      <c r="B28" s="87"/>
      <c r="C28" s="87">
        <v>2</v>
      </c>
      <c r="D28" s="87" t="s">
        <v>83</v>
      </c>
      <c r="E28" s="98"/>
      <c r="F28" s="98"/>
      <c r="G28" s="98"/>
      <c r="H28" s="94">
        <v>14.41</v>
      </c>
      <c r="I28" s="94">
        <v>3.09</v>
      </c>
      <c r="J28" s="94">
        <v>41.54</v>
      </c>
      <c r="K28" s="98"/>
      <c r="L28" s="98"/>
      <c r="M28" s="94">
        <v>3.03</v>
      </c>
      <c r="N28" s="94">
        <v>1.39</v>
      </c>
      <c r="O28" s="94">
        <v>0.37</v>
      </c>
      <c r="P28" s="98"/>
      <c r="Q28" s="98"/>
      <c r="R28" s="98">
        <f t="shared" si="3"/>
        <v>63.83</v>
      </c>
      <c r="S28" s="98">
        <f>AVERAGE(R28:R32)</f>
        <v>72.102000000000004</v>
      </c>
      <c r="T28" s="94" t="s">
        <v>142</v>
      </c>
      <c r="U28" s="16"/>
      <c r="V28" s="16" t="s">
        <v>202</v>
      </c>
      <c r="W28" s="16">
        <v>1.06</v>
      </c>
      <c r="X28" s="16"/>
      <c r="Y28" s="16">
        <v>3.35</v>
      </c>
      <c r="Z28" s="16">
        <v>1.03</v>
      </c>
      <c r="AA28" s="16"/>
      <c r="AB28" s="16">
        <f t="shared" si="1"/>
        <v>4.41</v>
      </c>
      <c r="AC28" s="16"/>
    </row>
    <row r="29" spans="1:29" ht="15.75" customHeight="1">
      <c r="A29" s="87"/>
      <c r="B29" s="87"/>
      <c r="C29" s="87">
        <v>2</v>
      </c>
      <c r="D29" s="87" t="s">
        <v>85</v>
      </c>
      <c r="E29" s="98"/>
      <c r="F29" s="98"/>
      <c r="G29" s="98"/>
      <c r="H29" s="94">
        <v>31.4</v>
      </c>
      <c r="I29" s="98"/>
      <c r="J29" s="94">
        <v>25.6</v>
      </c>
      <c r="K29" s="94">
        <v>8.6</v>
      </c>
      <c r="L29" s="98"/>
      <c r="M29" s="94">
        <v>13.8</v>
      </c>
      <c r="N29" s="98"/>
      <c r="O29" s="98"/>
      <c r="P29" s="98"/>
      <c r="Q29" s="98"/>
      <c r="R29" s="98">
        <f t="shared" si="3"/>
        <v>79.399999999999991</v>
      </c>
      <c r="S29" s="98"/>
      <c r="T29" s="98"/>
      <c r="V29" s="16" t="s">
        <v>202</v>
      </c>
      <c r="W29" s="16">
        <v>24.49</v>
      </c>
      <c r="X29" s="16"/>
      <c r="Y29" s="16">
        <v>3.83</v>
      </c>
      <c r="Z29" s="16">
        <v>1.24</v>
      </c>
      <c r="AA29" s="16"/>
      <c r="AB29" s="16">
        <f t="shared" si="1"/>
        <v>28.32</v>
      </c>
      <c r="AC29" s="16"/>
    </row>
    <row r="30" spans="1:29" ht="15.75" customHeight="1">
      <c r="A30" s="87"/>
      <c r="B30" s="87"/>
      <c r="C30" s="87">
        <v>2</v>
      </c>
      <c r="D30" s="87" t="s">
        <v>87</v>
      </c>
      <c r="E30" s="98"/>
      <c r="F30" s="98"/>
      <c r="G30" s="98"/>
      <c r="H30" s="94">
        <v>8</v>
      </c>
      <c r="I30" s="94">
        <v>6.87</v>
      </c>
      <c r="J30" s="94">
        <v>47.22</v>
      </c>
      <c r="K30" s="98"/>
      <c r="L30" s="94">
        <v>0.59</v>
      </c>
      <c r="M30" s="94">
        <v>14.31</v>
      </c>
      <c r="N30" s="94">
        <v>4.05</v>
      </c>
      <c r="O30" s="94">
        <v>0.23</v>
      </c>
      <c r="P30" s="98"/>
      <c r="Q30" s="98"/>
      <c r="R30" s="98">
        <f t="shared" si="3"/>
        <v>81.27000000000001</v>
      </c>
      <c r="S30" s="98"/>
      <c r="T30" s="98"/>
      <c r="V30" s="16" t="s">
        <v>202</v>
      </c>
      <c r="W30" s="16">
        <v>8.1300000000000008</v>
      </c>
      <c r="X30" s="16"/>
      <c r="Y30" s="16">
        <v>4.6500000000000004</v>
      </c>
      <c r="Z30" s="16">
        <v>3.75</v>
      </c>
      <c r="AA30" s="16"/>
      <c r="AB30" s="16">
        <f t="shared" si="1"/>
        <v>12.780000000000001</v>
      </c>
      <c r="AC30" s="16"/>
    </row>
    <row r="31" spans="1:29" ht="15.75" customHeight="1">
      <c r="A31" s="87"/>
      <c r="B31" s="87"/>
      <c r="C31" s="87">
        <v>2</v>
      </c>
      <c r="D31" s="87" t="s">
        <v>79</v>
      </c>
      <c r="E31" s="98"/>
      <c r="F31" s="98"/>
      <c r="G31" s="98"/>
      <c r="H31" s="94">
        <v>12.61</v>
      </c>
      <c r="I31" s="94">
        <v>19.02</v>
      </c>
      <c r="J31" s="94">
        <v>14.1</v>
      </c>
      <c r="K31" s="98"/>
      <c r="L31" s="94">
        <v>0.5</v>
      </c>
      <c r="M31" s="94">
        <v>22.05</v>
      </c>
      <c r="N31" s="94">
        <v>6.65</v>
      </c>
      <c r="O31" s="94">
        <v>7.0000000000000007E-2</v>
      </c>
      <c r="P31" s="94"/>
      <c r="Q31" s="94">
        <v>7.0000000000000007E-2</v>
      </c>
      <c r="R31" s="98">
        <f t="shared" si="3"/>
        <v>75</v>
      </c>
      <c r="S31" s="98"/>
      <c r="T31" s="98"/>
      <c r="V31" s="16" t="s">
        <v>202</v>
      </c>
      <c r="W31" s="16">
        <v>19.07</v>
      </c>
      <c r="X31" s="16"/>
      <c r="Y31" s="16">
        <v>4.8099999999999996</v>
      </c>
      <c r="Z31" s="16">
        <v>3.03</v>
      </c>
      <c r="AA31" s="16"/>
      <c r="AB31" s="16">
        <f t="shared" si="1"/>
        <v>23.88</v>
      </c>
      <c r="AC31" s="16"/>
    </row>
    <row r="32" spans="1:29" ht="15.75" customHeight="1">
      <c r="A32" s="87"/>
      <c r="B32" s="87"/>
      <c r="C32" s="87">
        <v>2</v>
      </c>
      <c r="D32" s="87" t="s">
        <v>88</v>
      </c>
      <c r="E32" s="98"/>
      <c r="F32" s="98"/>
      <c r="G32" s="98"/>
      <c r="H32" s="94">
        <v>34.72</v>
      </c>
      <c r="I32" s="94">
        <v>3.62</v>
      </c>
      <c r="J32" s="94">
        <v>3.92</v>
      </c>
      <c r="K32" s="98"/>
      <c r="L32" s="107">
        <v>12.43</v>
      </c>
      <c r="M32" s="94"/>
      <c r="N32" s="94">
        <v>3.16</v>
      </c>
      <c r="O32" s="94">
        <v>3.16</v>
      </c>
      <c r="P32" s="94"/>
      <c r="Q32" s="94">
        <v>2.4500000000000002</v>
      </c>
      <c r="R32" s="98">
        <f t="shared" si="3"/>
        <v>61.009999999999991</v>
      </c>
      <c r="S32" s="98"/>
      <c r="T32" s="98"/>
      <c r="V32" s="16" t="s">
        <v>202</v>
      </c>
      <c r="W32" s="16">
        <v>10.91</v>
      </c>
      <c r="X32" s="16"/>
      <c r="Y32" s="16">
        <v>4.87</v>
      </c>
      <c r="Z32" s="16">
        <v>4.1500000000000004</v>
      </c>
      <c r="AA32" s="16"/>
      <c r="AB32" s="16">
        <f t="shared" si="1"/>
        <v>15.780000000000001</v>
      </c>
      <c r="AC32" s="16">
        <f>SUM(AB28:AB32)/5</f>
        <v>17.033999999999999</v>
      </c>
    </row>
    <row r="33" spans="1:29" ht="15.75" customHeight="1">
      <c r="A33" s="87"/>
      <c r="B33" s="87"/>
      <c r="C33" s="87">
        <v>3</v>
      </c>
      <c r="D33" s="87" t="s">
        <v>83</v>
      </c>
      <c r="E33" s="98"/>
      <c r="F33" s="94">
        <f>SUM(2.2-B225)</f>
        <v>0.46000000000000019</v>
      </c>
      <c r="G33" s="94"/>
      <c r="H33" s="94">
        <f>SUM(29.43-E225)</f>
        <v>15.049999999999999</v>
      </c>
      <c r="I33" s="94">
        <f>SUM(2.36-B225)</f>
        <v>0.61999999999999988</v>
      </c>
      <c r="J33" s="94">
        <f>SUM(68.91-E225)</f>
        <v>54.529999999999994</v>
      </c>
      <c r="K33" s="98"/>
      <c r="L33" s="98"/>
      <c r="M33" s="94">
        <f>SUM(21.49-E225)</f>
        <v>7.1099999999999977</v>
      </c>
      <c r="N33" s="94">
        <f>SUM(18.29-E225)</f>
        <v>3.9099999999999984</v>
      </c>
      <c r="O33" s="94">
        <f>SUM(3-B225)</f>
        <v>1.26</v>
      </c>
      <c r="P33" s="98"/>
      <c r="Q33" s="98"/>
      <c r="R33" s="98">
        <f t="shared" si="3"/>
        <v>82.94</v>
      </c>
      <c r="S33" s="98">
        <f>AVERAGE(R33:R37)</f>
        <v>82.378</v>
      </c>
      <c r="T33" s="94" t="s">
        <v>92</v>
      </c>
      <c r="U33" s="16"/>
      <c r="V33" s="16" t="s">
        <v>202</v>
      </c>
      <c r="W33" s="16">
        <v>11.29</v>
      </c>
      <c r="X33" s="16"/>
      <c r="Y33" s="16">
        <v>6.92</v>
      </c>
      <c r="Z33" s="16">
        <v>3.67</v>
      </c>
      <c r="AA33" s="16"/>
      <c r="AB33" s="16">
        <f t="shared" si="1"/>
        <v>18.21</v>
      </c>
      <c r="AC33" s="16"/>
    </row>
    <row r="34" spans="1:29" ht="15.75" customHeight="1">
      <c r="A34" s="87"/>
      <c r="B34" s="87"/>
      <c r="C34" s="87">
        <v>3</v>
      </c>
      <c r="D34" s="87" t="s">
        <v>85</v>
      </c>
      <c r="E34" s="94">
        <f>SUM(8.34-7.34)</f>
        <v>1</v>
      </c>
      <c r="F34" s="98"/>
      <c r="G34" s="98"/>
      <c r="H34" s="94">
        <v>31.5</v>
      </c>
      <c r="I34" s="94">
        <v>18.7</v>
      </c>
      <c r="J34" s="94">
        <v>12.5</v>
      </c>
      <c r="K34" s="98"/>
      <c r="L34" s="94">
        <v>8.5</v>
      </c>
      <c r="M34" s="94">
        <v>13.9</v>
      </c>
      <c r="N34" s="94">
        <v>8.5</v>
      </c>
      <c r="O34" s="98"/>
      <c r="P34" s="94"/>
      <c r="Q34" s="94">
        <v>2.1</v>
      </c>
      <c r="R34" s="98">
        <f t="shared" si="3"/>
        <v>94.600000000000009</v>
      </c>
      <c r="S34" s="98"/>
      <c r="T34" s="98"/>
      <c r="V34" s="16" t="s">
        <v>202</v>
      </c>
      <c r="W34" s="16">
        <v>7.47</v>
      </c>
      <c r="X34" s="16"/>
      <c r="Y34" s="16">
        <v>3.92</v>
      </c>
      <c r="Z34" s="16">
        <v>2.3199999999999998</v>
      </c>
      <c r="AA34" s="16"/>
      <c r="AB34" s="16">
        <f t="shared" si="1"/>
        <v>11.39</v>
      </c>
      <c r="AC34" s="16"/>
    </row>
    <row r="35" spans="1:29" ht="15.75" customHeight="1">
      <c r="A35" s="87"/>
      <c r="B35" s="87"/>
      <c r="C35" s="87">
        <v>3</v>
      </c>
      <c r="D35" s="87" t="s">
        <v>87</v>
      </c>
      <c r="E35" s="94">
        <v>0.25</v>
      </c>
      <c r="F35" s="98"/>
      <c r="G35" s="98"/>
      <c r="H35" s="94">
        <v>27.08</v>
      </c>
      <c r="I35" s="94">
        <v>2</v>
      </c>
      <c r="J35" s="94">
        <v>7.98</v>
      </c>
      <c r="K35" s="98"/>
      <c r="L35" s="94">
        <v>6.86</v>
      </c>
      <c r="M35" s="94">
        <v>3.72</v>
      </c>
      <c r="N35" s="94">
        <v>6.44</v>
      </c>
      <c r="O35" s="94">
        <v>0.51</v>
      </c>
      <c r="P35" s="94"/>
      <c r="Q35" s="94">
        <v>0.18</v>
      </c>
      <c r="R35" s="98">
        <f t="shared" si="3"/>
        <v>54.839999999999996</v>
      </c>
      <c r="S35" s="98"/>
      <c r="T35" s="98"/>
      <c r="V35" s="16" t="s">
        <v>202</v>
      </c>
      <c r="W35" s="16">
        <v>18.53</v>
      </c>
      <c r="X35" s="16"/>
      <c r="Y35" s="16">
        <v>3.92</v>
      </c>
      <c r="Z35" s="16">
        <v>2.2999999999999998</v>
      </c>
      <c r="AA35" s="16"/>
      <c r="AB35" s="16">
        <f t="shared" si="1"/>
        <v>22.450000000000003</v>
      </c>
      <c r="AC35" s="16"/>
    </row>
    <row r="36" spans="1:29" ht="15.75" customHeight="1">
      <c r="A36" s="87"/>
      <c r="B36" s="87"/>
      <c r="C36" s="87">
        <v>3</v>
      </c>
      <c r="D36" s="87" t="s">
        <v>79</v>
      </c>
      <c r="E36" s="94">
        <v>2.98</v>
      </c>
      <c r="F36" s="94">
        <v>0.06</v>
      </c>
      <c r="G36" s="94"/>
      <c r="H36" s="94">
        <v>15.32</v>
      </c>
      <c r="I36" s="94">
        <v>7.33</v>
      </c>
      <c r="J36" s="94">
        <v>15.06</v>
      </c>
      <c r="K36" s="94">
        <v>3.73</v>
      </c>
      <c r="L36" s="98"/>
      <c r="M36" s="94">
        <v>15.11</v>
      </c>
      <c r="N36" s="94">
        <v>5.59</v>
      </c>
      <c r="O36" s="94">
        <v>0.63</v>
      </c>
      <c r="P36" s="94"/>
      <c r="Q36" s="94">
        <v>0.01</v>
      </c>
      <c r="R36" s="98">
        <f t="shared" si="3"/>
        <v>65.809999999999988</v>
      </c>
      <c r="S36" s="98"/>
      <c r="T36" s="98"/>
      <c r="V36" s="16" t="s">
        <v>202</v>
      </c>
      <c r="W36" s="16">
        <v>42.52</v>
      </c>
      <c r="X36" s="16"/>
      <c r="Y36" s="16">
        <v>3.92</v>
      </c>
      <c r="Z36" s="16">
        <v>6.17</v>
      </c>
      <c r="AA36" s="16"/>
      <c r="AB36" s="16">
        <f t="shared" si="1"/>
        <v>46.440000000000005</v>
      </c>
      <c r="AC36" s="16"/>
    </row>
    <row r="37" spans="1:29" ht="15.75" customHeight="1">
      <c r="A37" s="87"/>
      <c r="B37" s="87"/>
      <c r="C37" s="87">
        <v>3</v>
      </c>
      <c r="D37" s="87" t="s">
        <v>88</v>
      </c>
      <c r="E37" s="94">
        <v>2.6</v>
      </c>
      <c r="F37" s="94">
        <v>2.1</v>
      </c>
      <c r="G37" s="94"/>
      <c r="H37" s="94">
        <v>23.7</v>
      </c>
      <c r="I37" s="94">
        <v>12.6</v>
      </c>
      <c r="J37" s="94">
        <v>25.7</v>
      </c>
      <c r="K37" s="98"/>
      <c r="L37" s="94">
        <v>2.2000000000000002</v>
      </c>
      <c r="M37" s="94">
        <v>29.3</v>
      </c>
      <c r="N37" s="94">
        <v>13.2</v>
      </c>
      <c r="O37" s="94">
        <v>2.2999999999999998</v>
      </c>
      <c r="P37" s="94"/>
      <c r="Q37" s="94">
        <v>3.1</v>
      </c>
      <c r="R37" s="98">
        <f t="shared" si="3"/>
        <v>113.7</v>
      </c>
      <c r="S37" s="98"/>
      <c r="T37" s="98"/>
      <c r="V37" s="16" t="s">
        <v>202</v>
      </c>
      <c r="W37" s="16">
        <v>22.73</v>
      </c>
      <c r="X37" s="16"/>
      <c r="Y37" s="16">
        <v>5.33</v>
      </c>
      <c r="Z37" s="16">
        <v>4.3899999999999997</v>
      </c>
      <c r="AA37" s="16"/>
      <c r="AB37" s="16">
        <f t="shared" si="1"/>
        <v>28.060000000000002</v>
      </c>
      <c r="AC37" s="16">
        <f>SUM(AB33:AB37)/5</f>
        <v>25.310000000000002</v>
      </c>
    </row>
    <row r="38" spans="1:29" ht="15.75" customHeight="1">
      <c r="A38" s="87"/>
      <c r="B38" s="87"/>
      <c r="C38" s="87">
        <v>4</v>
      </c>
      <c r="D38" s="87" t="s">
        <v>83</v>
      </c>
      <c r="E38" s="98"/>
      <c r="F38" s="98"/>
      <c r="G38" s="98"/>
      <c r="H38" s="94">
        <f>SUM(26.35-E225)</f>
        <v>11.97</v>
      </c>
      <c r="I38" s="94">
        <f>SUM(22.02-E225)</f>
        <v>7.6399999999999988</v>
      </c>
      <c r="J38" s="94">
        <f>SUM(30.74-E225)</f>
        <v>16.36</v>
      </c>
      <c r="K38" s="98"/>
      <c r="L38" s="94">
        <f>SUM(17.94-E225)</f>
        <v>3.5600000000000005</v>
      </c>
      <c r="M38" s="94">
        <f>SUM(16.89-E225)</f>
        <v>2.5099999999999998</v>
      </c>
      <c r="N38" s="98"/>
      <c r="O38" s="98"/>
      <c r="P38" s="94"/>
      <c r="Q38" s="94">
        <f>SUM(4.05-C225)</f>
        <v>1.1999999999999997</v>
      </c>
      <c r="R38" s="98">
        <f t="shared" si="3"/>
        <v>42.04</v>
      </c>
      <c r="S38" s="98">
        <f>AVERAGE(R38:R42)</f>
        <v>50.366666666666667</v>
      </c>
      <c r="T38" s="94" t="s">
        <v>93</v>
      </c>
      <c r="U38" s="16"/>
      <c r="V38" s="16" t="s">
        <v>202</v>
      </c>
      <c r="W38" s="16">
        <v>14.93</v>
      </c>
      <c r="X38" s="16"/>
      <c r="Y38" s="16">
        <v>4.09</v>
      </c>
      <c r="Z38" s="16">
        <v>1.43</v>
      </c>
      <c r="AA38" s="16"/>
      <c r="AB38" s="16">
        <f t="shared" si="1"/>
        <v>19.02</v>
      </c>
      <c r="AC38" s="16"/>
    </row>
    <row r="39" spans="1:29" ht="15.75" customHeight="1">
      <c r="A39" s="87"/>
      <c r="B39" s="87"/>
      <c r="C39" s="87">
        <v>4</v>
      </c>
      <c r="D39" s="87" t="s">
        <v>85</v>
      </c>
      <c r="F39" s="98"/>
      <c r="G39" s="98"/>
      <c r="H39" s="98"/>
      <c r="I39" s="98"/>
      <c r="J39" s="98"/>
      <c r="K39" s="98"/>
      <c r="L39" s="98"/>
      <c r="M39" s="98"/>
      <c r="N39" s="98"/>
      <c r="O39" s="98"/>
      <c r="P39" s="98"/>
      <c r="Q39" s="98"/>
      <c r="R39" s="98"/>
      <c r="S39" s="98"/>
      <c r="T39" s="94" t="s">
        <v>210</v>
      </c>
      <c r="V39" s="16" t="s">
        <v>202</v>
      </c>
      <c r="W39" s="16">
        <v>57.38</v>
      </c>
      <c r="X39" s="16"/>
      <c r="Y39" s="16">
        <v>5.38</v>
      </c>
      <c r="Z39" s="16">
        <v>3.05</v>
      </c>
      <c r="AA39" s="16"/>
      <c r="AB39" s="16">
        <f t="shared" si="1"/>
        <v>62.760000000000005</v>
      </c>
      <c r="AC39" s="16"/>
    </row>
    <row r="40" spans="1:29" ht="15.75" customHeight="1">
      <c r="A40" s="87"/>
      <c r="B40" s="87"/>
      <c r="C40" s="87">
        <v>4</v>
      </c>
      <c r="D40" s="87" t="s">
        <v>87</v>
      </c>
      <c r="F40" s="94">
        <f>SUM(2.06-B225)</f>
        <v>0.32000000000000006</v>
      </c>
      <c r="G40" s="94"/>
      <c r="H40" s="94">
        <f>SUM(42.88-F225)</f>
        <v>22.990000000000002</v>
      </c>
      <c r="I40" s="94">
        <f>SUM(2.71-B225)</f>
        <v>0.97</v>
      </c>
      <c r="J40" s="94">
        <f>SUM(29.88-E225)</f>
        <v>15.499999999999998</v>
      </c>
      <c r="K40" s="98"/>
      <c r="L40" s="94">
        <f>SUM(17.75-E225)</f>
        <v>3.3699999999999992</v>
      </c>
      <c r="M40" s="94">
        <f>SUM(18.42-E225)</f>
        <v>4.0400000000000009</v>
      </c>
      <c r="N40" s="94">
        <f>SUM(16.95-E225)</f>
        <v>2.5699999999999985</v>
      </c>
      <c r="O40" s="94">
        <f>SUM(2.99-B225)</f>
        <v>1.2500000000000002</v>
      </c>
      <c r="P40" s="94"/>
      <c r="Q40" s="94">
        <f>SUM(2.43-B225)</f>
        <v>0.69000000000000017</v>
      </c>
      <c r="R40" s="98">
        <f>SUM(F40:P40)</f>
        <v>51.01</v>
      </c>
      <c r="S40" s="98"/>
      <c r="T40" s="98"/>
      <c r="V40" s="16" t="s">
        <v>202</v>
      </c>
      <c r="W40" s="16">
        <v>17.079999999999998</v>
      </c>
      <c r="X40" s="16"/>
      <c r="Y40" s="16">
        <v>5.77</v>
      </c>
      <c r="Z40" s="16">
        <v>1.94</v>
      </c>
      <c r="AA40" s="16"/>
      <c r="AB40" s="16">
        <f t="shared" si="1"/>
        <v>22.849999999999998</v>
      </c>
      <c r="AC40" s="16"/>
    </row>
    <row r="41" spans="1:29" ht="15.75" customHeight="1">
      <c r="A41" s="87"/>
      <c r="B41" s="87"/>
      <c r="C41" s="87">
        <v>4</v>
      </c>
      <c r="D41" s="87" t="s">
        <v>79</v>
      </c>
      <c r="F41" s="98"/>
      <c r="G41" s="98"/>
      <c r="H41" s="98"/>
      <c r="I41" s="98"/>
      <c r="J41" s="98"/>
      <c r="K41" s="98"/>
      <c r="L41" s="98"/>
      <c r="M41" s="98"/>
      <c r="N41" s="98"/>
      <c r="O41" s="98"/>
      <c r="P41" s="98"/>
      <c r="Q41" s="98"/>
      <c r="R41" s="98"/>
      <c r="S41" s="98"/>
      <c r="T41" s="16" t="s">
        <v>210</v>
      </c>
      <c r="V41" s="16" t="s">
        <v>202</v>
      </c>
      <c r="W41" s="16">
        <v>11.85</v>
      </c>
      <c r="X41" s="16"/>
      <c r="Y41" s="16">
        <v>6.43</v>
      </c>
      <c r="Z41" s="16">
        <v>1.1000000000000001</v>
      </c>
      <c r="AA41" s="16"/>
      <c r="AB41" s="16">
        <f t="shared" si="1"/>
        <v>18.28</v>
      </c>
      <c r="AC41" s="16"/>
    </row>
    <row r="42" spans="1:29" ht="15.75" customHeight="1">
      <c r="A42" s="87"/>
      <c r="B42" s="87"/>
      <c r="C42" s="87">
        <v>4</v>
      </c>
      <c r="D42" s="87" t="s">
        <v>88</v>
      </c>
      <c r="E42" s="98"/>
      <c r="F42" s="94">
        <f>SUM(1.91-B225)</f>
        <v>0.16999999999999993</v>
      </c>
      <c r="G42" s="94"/>
      <c r="H42" s="94">
        <f>SUM(42.59-E225)</f>
        <v>28.21</v>
      </c>
      <c r="I42" s="94">
        <f>SUM(15.04-E225)</f>
        <v>0.65999999999999837</v>
      </c>
      <c r="J42" s="94">
        <f>SUM(16.27-E225)</f>
        <v>1.8899999999999988</v>
      </c>
      <c r="K42" s="94">
        <f>SUM(4.3-C225)</f>
        <v>1.4499999999999997</v>
      </c>
      <c r="L42" s="94">
        <f>SUM(4.27-C225)</f>
        <v>1.4199999999999995</v>
      </c>
      <c r="M42" s="94">
        <f>SUM(32.9-E225)</f>
        <v>18.519999999999996</v>
      </c>
      <c r="N42" s="94">
        <f>SUM(19.06-E225)</f>
        <v>4.6799999999999979</v>
      </c>
      <c r="O42" s="94">
        <f>SUM(2.79-B225)</f>
        <v>1.05</v>
      </c>
      <c r="P42" s="98"/>
      <c r="Q42" s="98"/>
      <c r="R42" s="98">
        <f t="shared" ref="R42:R108" si="4">SUM(E42:P42)</f>
        <v>58.05</v>
      </c>
      <c r="S42" s="98"/>
      <c r="T42" s="98"/>
      <c r="V42" s="16" t="s">
        <v>202</v>
      </c>
      <c r="W42" s="16">
        <v>13.11</v>
      </c>
      <c r="X42" s="16"/>
      <c r="Y42" s="16">
        <v>4.51</v>
      </c>
      <c r="Z42" s="16">
        <v>1.22</v>
      </c>
      <c r="AA42" s="16"/>
      <c r="AB42" s="16">
        <f t="shared" si="1"/>
        <v>17.619999999999997</v>
      </c>
      <c r="AC42" s="16">
        <f>SUM(AB38:AB42)/5</f>
        <v>28.106000000000002</v>
      </c>
    </row>
    <row r="43" spans="1:29" ht="15.75" customHeight="1">
      <c r="A43" s="87" t="s">
        <v>78</v>
      </c>
      <c r="B43" s="87" t="s">
        <v>95</v>
      </c>
      <c r="C43" s="87">
        <v>1</v>
      </c>
      <c r="D43" s="87" t="s">
        <v>83</v>
      </c>
      <c r="E43" s="94">
        <v>0.19</v>
      </c>
      <c r="F43" s="94">
        <v>45.22</v>
      </c>
      <c r="G43" s="98"/>
      <c r="H43" s="111" t="s">
        <v>213</v>
      </c>
      <c r="I43" s="94" t="s">
        <v>214</v>
      </c>
      <c r="J43" s="94" t="s">
        <v>215</v>
      </c>
      <c r="K43" s="98"/>
      <c r="L43" s="98"/>
      <c r="M43" s="94" t="s">
        <v>216</v>
      </c>
      <c r="N43" s="94">
        <v>1.07</v>
      </c>
      <c r="O43" s="94">
        <v>0.38</v>
      </c>
      <c r="P43" s="98"/>
      <c r="Q43" s="94" t="s">
        <v>217</v>
      </c>
      <c r="R43" s="98">
        <f t="shared" si="4"/>
        <v>46.86</v>
      </c>
      <c r="S43" s="98"/>
      <c r="T43" s="94" t="s">
        <v>90</v>
      </c>
      <c r="U43" s="16"/>
      <c r="V43" s="16" t="s">
        <v>202</v>
      </c>
      <c r="W43" s="16">
        <v>8.33</v>
      </c>
      <c r="X43" s="16"/>
      <c r="Y43" s="16">
        <v>8.76</v>
      </c>
      <c r="Z43" s="16">
        <v>4.47</v>
      </c>
      <c r="AA43" s="16"/>
      <c r="AB43" s="16">
        <f t="shared" si="1"/>
        <v>17.09</v>
      </c>
      <c r="AC43" s="16"/>
    </row>
    <row r="44" spans="1:29" ht="15.75" customHeight="1">
      <c r="A44" s="87"/>
      <c r="B44" s="87"/>
      <c r="C44" s="87">
        <v>1</v>
      </c>
      <c r="D44" s="87" t="s">
        <v>85</v>
      </c>
      <c r="E44" s="98">
        <f t="shared" ref="E44:E45" si="5">2.91-2.49</f>
        <v>0.41999999999999993</v>
      </c>
      <c r="F44" s="98">
        <f>44.3-20.95</f>
        <v>23.349999999999998</v>
      </c>
      <c r="G44" s="98"/>
      <c r="H44" s="94">
        <f>12.76-7.83</f>
        <v>4.93</v>
      </c>
      <c r="I44" s="98">
        <f>2.55-2.49</f>
        <v>5.9999999999999609E-2</v>
      </c>
      <c r="J44" s="98">
        <f>50.78-20.95</f>
        <v>29.830000000000002</v>
      </c>
      <c r="K44" s="98"/>
      <c r="L44" s="98">
        <f>2.64-2.49</f>
        <v>0.14999999999999991</v>
      </c>
      <c r="M44" s="98">
        <f>20.19-7.83</f>
        <v>12.360000000000001</v>
      </c>
      <c r="N44" s="98">
        <f>3.03-2.49</f>
        <v>0.53999999999999959</v>
      </c>
      <c r="O44" s="98">
        <f>2.92-2.49</f>
        <v>0.42999999999999972</v>
      </c>
      <c r="P44" s="98"/>
      <c r="Q44" s="98">
        <f>3.52-2.49</f>
        <v>1.0299999999999998</v>
      </c>
      <c r="R44" s="98">
        <f t="shared" si="4"/>
        <v>72.069999999999993</v>
      </c>
      <c r="S44" s="98"/>
      <c r="T44" s="98"/>
      <c r="U44" s="16"/>
      <c r="V44" s="16" t="s">
        <v>202</v>
      </c>
      <c r="W44" s="16">
        <v>9.6</v>
      </c>
      <c r="X44" s="16"/>
      <c r="Y44" s="16">
        <v>13.33</v>
      </c>
      <c r="Z44" s="16">
        <v>0.03</v>
      </c>
      <c r="AA44" s="16"/>
      <c r="AB44" s="16">
        <f t="shared" si="1"/>
        <v>22.93</v>
      </c>
      <c r="AC44" s="16"/>
    </row>
    <row r="45" spans="1:29" ht="15.75" customHeight="1">
      <c r="A45" s="87"/>
      <c r="B45" s="87"/>
      <c r="C45" s="87">
        <v>1</v>
      </c>
      <c r="D45" s="87" t="s">
        <v>87</v>
      </c>
      <c r="E45" s="98">
        <f t="shared" si="5"/>
        <v>0.41999999999999993</v>
      </c>
      <c r="F45" s="98">
        <f>23.95-7.83</f>
        <v>16.119999999999997</v>
      </c>
      <c r="G45" s="98"/>
      <c r="H45" s="98">
        <f>14.8-7.83</f>
        <v>6.9700000000000006</v>
      </c>
      <c r="I45" s="94" t="s">
        <v>218</v>
      </c>
      <c r="J45" s="98">
        <f>16.8-7.83</f>
        <v>8.9700000000000006</v>
      </c>
      <c r="K45" s="98"/>
      <c r="L45" s="98"/>
      <c r="M45" s="98">
        <f>22.13-7.83</f>
        <v>14.299999999999999</v>
      </c>
      <c r="N45" s="98">
        <f>8.47-7.83</f>
        <v>0.64000000000000057</v>
      </c>
      <c r="O45" s="98">
        <f>2.95-2.49</f>
        <v>0.45999999999999996</v>
      </c>
      <c r="P45" s="98"/>
      <c r="Q45" s="98">
        <f>2.95-2.49</f>
        <v>0.45999999999999996</v>
      </c>
      <c r="R45" s="98">
        <f t="shared" si="4"/>
        <v>47.879999999999995</v>
      </c>
      <c r="S45" s="98"/>
      <c r="T45" s="98"/>
      <c r="U45" s="16"/>
      <c r="V45" s="16" t="s">
        <v>202</v>
      </c>
      <c r="W45" s="16">
        <v>11.18</v>
      </c>
      <c r="X45" s="16"/>
      <c r="Y45" s="16">
        <v>10.97</v>
      </c>
      <c r="Z45" s="105"/>
      <c r="AA45" s="105"/>
      <c r="AB45" s="16">
        <f t="shared" si="1"/>
        <v>22.15</v>
      </c>
      <c r="AC45" s="16"/>
    </row>
    <row r="46" spans="1:29" ht="15.75" customHeight="1">
      <c r="A46" s="87"/>
      <c r="B46" s="87"/>
      <c r="C46" s="87">
        <v>1</v>
      </c>
      <c r="D46" s="87" t="s">
        <v>79</v>
      </c>
      <c r="E46" s="94">
        <f>10.48-D225</f>
        <v>3.1400000000000006</v>
      </c>
      <c r="F46" s="94">
        <f>17.95-D225</f>
        <v>10.61</v>
      </c>
      <c r="G46" s="94"/>
      <c r="H46" s="94">
        <f>15.62-D225</f>
        <v>8.2799999999999994</v>
      </c>
      <c r="I46" s="94">
        <f>10.14-D225</f>
        <v>2.8000000000000007</v>
      </c>
      <c r="J46" s="94">
        <f>22.21-D225</f>
        <v>14.870000000000001</v>
      </c>
      <c r="K46" s="94">
        <f>3.4-C225</f>
        <v>0.54999999999999982</v>
      </c>
      <c r="L46" s="98"/>
      <c r="M46" s="94">
        <f>27.49-D225</f>
        <v>20.149999999999999</v>
      </c>
      <c r="N46" s="94">
        <f>15.63-D225</f>
        <v>8.2900000000000009</v>
      </c>
      <c r="O46" s="94">
        <f>3.78-C225</f>
        <v>0.92999999999999972</v>
      </c>
      <c r="P46" s="98"/>
      <c r="Q46" s="94">
        <f>3.1-C225</f>
        <v>0.25</v>
      </c>
      <c r="R46" s="98">
        <f t="shared" si="4"/>
        <v>69.62</v>
      </c>
      <c r="S46" s="98"/>
      <c r="T46" s="98"/>
      <c r="U46" s="16"/>
      <c r="V46" s="16" t="s">
        <v>202</v>
      </c>
      <c r="W46" s="16">
        <v>8.33</v>
      </c>
      <c r="X46" s="16"/>
      <c r="Y46" s="16">
        <v>21.59</v>
      </c>
      <c r="Z46" s="16">
        <v>0.3</v>
      </c>
      <c r="AA46" s="16"/>
      <c r="AB46" s="16">
        <f t="shared" si="1"/>
        <v>29.92</v>
      </c>
      <c r="AC46" s="16"/>
    </row>
    <row r="47" spans="1:29" ht="15.75" customHeight="1">
      <c r="A47" s="87"/>
      <c r="B47" s="87"/>
      <c r="C47" s="87">
        <v>1</v>
      </c>
      <c r="D47" s="87" t="s">
        <v>88</v>
      </c>
      <c r="E47" s="98">
        <f>2.5-2.49</f>
        <v>9.9999999999997868E-3</v>
      </c>
      <c r="F47" s="98">
        <f>2.86-2.49</f>
        <v>0.36999999999999966</v>
      </c>
      <c r="G47" s="98"/>
      <c r="H47" s="94">
        <f>21.79-15.58</f>
        <v>6.2099999999999991</v>
      </c>
      <c r="I47" s="98">
        <f>8.71-7.83</f>
        <v>0.88000000000000078</v>
      </c>
      <c r="J47" s="98">
        <f>10.27-7.83</f>
        <v>2.4399999999999995</v>
      </c>
      <c r="K47" s="98"/>
      <c r="L47" s="98"/>
      <c r="M47" s="98">
        <f>47.84-15.58</f>
        <v>32.260000000000005</v>
      </c>
      <c r="N47" s="98">
        <f>9.68-7.83</f>
        <v>1.8499999999999996</v>
      </c>
      <c r="O47" s="98">
        <f>3.77-2.49</f>
        <v>1.2799999999999998</v>
      </c>
      <c r="P47" s="98"/>
      <c r="Q47" s="98"/>
      <c r="R47" s="98">
        <f t="shared" si="4"/>
        <v>45.300000000000004</v>
      </c>
      <c r="S47" s="98"/>
      <c r="T47" s="98"/>
      <c r="U47" s="16"/>
      <c r="V47" s="16" t="s">
        <v>202</v>
      </c>
      <c r="W47" s="16">
        <v>14.91</v>
      </c>
      <c r="X47" s="16"/>
      <c r="Y47" s="16">
        <v>6.58</v>
      </c>
      <c r="Z47" s="16">
        <v>11.08</v>
      </c>
      <c r="AA47" s="16"/>
      <c r="AB47" s="16">
        <f t="shared" si="1"/>
        <v>21.490000000000002</v>
      </c>
      <c r="AC47" s="16">
        <f>SUM(AB43:AB47)/5</f>
        <v>22.716000000000001</v>
      </c>
    </row>
    <row r="48" spans="1:29" ht="15.75" customHeight="1">
      <c r="A48" s="87"/>
      <c r="B48" s="87"/>
      <c r="C48" s="87">
        <v>2</v>
      </c>
      <c r="D48" s="87" t="s">
        <v>83</v>
      </c>
      <c r="E48" s="98"/>
      <c r="F48" s="98">
        <f>54.18-20.95</f>
        <v>33.230000000000004</v>
      </c>
      <c r="G48" s="94" t="s">
        <v>219</v>
      </c>
      <c r="H48" s="98">
        <f>14.5-7.83</f>
        <v>6.67</v>
      </c>
      <c r="I48" s="98"/>
      <c r="J48" s="98">
        <f>9.45-7.83</f>
        <v>1.6199999999999992</v>
      </c>
      <c r="K48" s="98"/>
      <c r="L48" s="98">
        <f>2.71-2.49</f>
        <v>0.21999999999999975</v>
      </c>
      <c r="M48" s="98">
        <f>18.5-7.83</f>
        <v>10.67</v>
      </c>
      <c r="N48" s="98">
        <f>12.05-7.83</f>
        <v>4.2200000000000006</v>
      </c>
      <c r="O48" s="98">
        <f>3.37-2.49</f>
        <v>0.87999999999999989</v>
      </c>
      <c r="P48" s="98"/>
      <c r="Q48" s="98">
        <f>1.46-1.45</f>
        <v>1.0000000000000009E-2</v>
      </c>
      <c r="R48" s="98">
        <f t="shared" si="4"/>
        <v>57.510000000000005</v>
      </c>
      <c r="S48" s="98"/>
      <c r="T48" s="94" t="s">
        <v>93</v>
      </c>
      <c r="U48" s="16"/>
      <c r="V48" s="16" t="s">
        <v>202</v>
      </c>
      <c r="W48" s="16">
        <v>5.75</v>
      </c>
      <c r="X48" s="16"/>
      <c r="Y48" s="16">
        <v>9.84</v>
      </c>
      <c r="Z48" s="16">
        <v>0.16</v>
      </c>
      <c r="AA48" s="16"/>
      <c r="AB48" s="16">
        <f t="shared" si="1"/>
        <v>15.59</v>
      </c>
      <c r="AC48" s="16"/>
    </row>
    <row r="49" spans="1:29" ht="15.75" customHeight="1">
      <c r="A49" s="87"/>
      <c r="B49" s="87"/>
      <c r="C49" s="87">
        <v>2</v>
      </c>
      <c r="D49" s="87" t="s">
        <v>85</v>
      </c>
      <c r="E49" s="98">
        <f>3.08-2.49</f>
        <v>0.58999999999999986</v>
      </c>
      <c r="F49" s="94">
        <f>40.58-20.95</f>
        <v>19.63</v>
      </c>
      <c r="G49" s="98"/>
      <c r="H49" s="98">
        <f>24.72-20.95</f>
        <v>3.7699999999999996</v>
      </c>
      <c r="I49" s="94" t="s">
        <v>220</v>
      </c>
      <c r="J49" s="98">
        <f>3.96-2.49</f>
        <v>1.4699999999999998</v>
      </c>
      <c r="K49" s="98"/>
      <c r="L49" s="98"/>
      <c r="M49" s="98">
        <f>38.86-20.95</f>
        <v>17.91</v>
      </c>
      <c r="N49" s="98">
        <f>34.4-20.95</f>
        <v>13.45</v>
      </c>
      <c r="O49" s="98">
        <f>2.77-2.49</f>
        <v>0.2799999999999998</v>
      </c>
      <c r="P49" s="98"/>
      <c r="Q49" s="98">
        <f>4.59-2.49</f>
        <v>2.0999999999999996</v>
      </c>
      <c r="R49" s="98">
        <f t="shared" si="4"/>
        <v>57.099999999999994</v>
      </c>
      <c r="S49" s="98"/>
      <c r="T49" s="98"/>
      <c r="V49" s="16" t="s">
        <v>202</v>
      </c>
      <c r="W49" s="16">
        <v>6.1</v>
      </c>
      <c r="X49" s="16"/>
      <c r="Y49" s="16">
        <v>6.03</v>
      </c>
      <c r="Z49" s="105"/>
      <c r="AA49" s="105"/>
      <c r="AB49" s="16">
        <f t="shared" si="1"/>
        <v>12.129999999999999</v>
      </c>
      <c r="AC49" s="16"/>
    </row>
    <row r="50" spans="1:29" ht="15.75" customHeight="1">
      <c r="A50" s="87"/>
      <c r="B50" s="87"/>
      <c r="C50" s="87">
        <v>2</v>
      </c>
      <c r="D50" s="87" t="s">
        <v>87</v>
      </c>
      <c r="E50" s="98"/>
      <c r="F50" s="98">
        <f>51.4-20.95</f>
        <v>30.45</v>
      </c>
      <c r="G50" s="98"/>
      <c r="H50" s="98">
        <f>11.53-7.83</f>
        <v>3.6999999999999993</v>
      </c>
      <c r="I50" s="98"/>
      <c r="J50" s="98">
        <f>3.53-2.49</f>
        <v>1.0399999999999996</v>
      </c>
      <c r="K50" s="98">
        <f>1.46-1.45</f>
        <v>1.0000000000000009E-2</v>
      </c>
      <c r="L50" s="98"/>
      <c r="M50" s="98">
        <f>19.86-7.83</f>
        <v>12.03</v>
      </c>
      <c r="N50" s="98">
        <f>36.48-20.95</f>
        <v>15.529999999999998</v>
      </c>
      <c r="O50" s="98">
        <f>2.04-1.45</f>
        <v>0.59000000000000008</v>
      </c>
      <c r="P50" s="98"/>
      <c r="Q50" s="98">
        <f>1.73-1.45</f>
        <v>0.28000000000000003</v>
      </c>
      <c r="R50" s="98">
        <f t="shared" si="4"/>
        <v>63.349999999999994</v>
      </c>
      <c r="S50" s="98"/>
      <c r="T50" s="98"/>
      <c r="V50" s="16" t="s">
        <v>202</v>
      </c>
      <c r="W50" s="16">
        <v>11.38</v>
      </c>
      <c r="X50" s="16"/>
      <c r="Y50" s="16">
        <v>5.67</v>
      </c>
      <c r="Z50" s="16">
        <v>0.35</v>
      </c>
      <c r="AA50" s="16"/>
      <c r="AB50" s="16">
        <f t="shared" si="1"/>
        <v>17.05</v>
      </c>
      <c r="AC50" s="16"/>
    </row>
    <row r="51" spans="1:29" ht="15.75" customHeight="1">
      <c r="A51" s="87"/>
      <c r="B51" s="87"/>
      <c r="C51" s="87">
        <v>2</v>
      </c>
      <c r="D51" s="87" t="s">
        <v>79</v>
      </c>
      <c r="E51" s="98"/>
      <c r="F51" s="98">
        <f>60.6-20.95</f>
        <v>39.650000000000006</v>
      </c>
      <c r="G51" s="98"/>
      <c r="H51" s="98">
        <f>16.55-7.83</f>
        <v>8.7200000000000006</v>
      </c>
      <c r="I51" s="94" t="s">
        <v>221</v>
      </c>
      <c r="J51" s="98">
        <f>13.02-7.83</f>
        <v>5.1899999999999995</v>
      </c>
      <c r="K51" s="98"/>
      <c r="L51" s="98"/>
      <c r="M51" s="94">
        <v>1.63</v>
      </c>
      <c r="N51" s="98">
        <f>1.28</f>
        <v>1.28</v>
      </c>
      <c r="O51" s="98">
        <f>1.58-1.45</f>
        <v>0.13000000000000012</v>
      </c>
      <c r="P51" s="98"/>
      <c r="Q51" s="98">
        <f>4.92-2.49</f>
        <v>2.4299999999999997</v>
      </c>
      <c r="R51" s="98">
        <f t="shared" si="4"/>
        <v>56.600000000000009</v>
      </c>
      <c r="S51" s="98"/>
      <c r="T51" s="98"/>
      <c r="V51" s="16" t="s">
        <v>202</v>
      </c>
      <c r="W51" s="16">
        <v>6.85</v>
      </c>
      <c r="X51" s="16"/>
      <c r="Y51" s="16">
        <v>12.16</v>
      </c>
      <c r="Z51" s="16">
        <v>0.56000000000000005</v>
      </c>
      <c r="AA51" s="16"/>
      <c r="AB51" s="16">
        <f t="shared" si="1"/>
        <v>19.009999999999998</v>
      </c>
      <c r="AC51" s="16"/>
    </row>
    <row r="52" spans="1:29" ht="15.75" customHeight="1">
      <c r="A52" s="87"/>
      <c r="B52" s="87"/>
      <c r="C52" s="87">
        <v>2</v>
      </c>
      <c r="D52" s="87" t="s">
        <v>88</v>
      </c>
      <c r="E52" s="98">
        <f>3.05-2.49</f>
        <v>0.55999999999999961</v>
      </c>
      <c r="F52" s="98">
        <f>74.19-20.95</f>
        <v>53.239999999999995</v>
      </c>
      <c r="G52" s="98"/>
      <c r="H52" s="98">
        <f>14.56-7.83</f>
        <v>6.73</v>
      </c>
      <c r="I52" s="98"/>
      <c r="J52" s="98">
        <f>10.56-7.83</f>
        <v>2.7300000000000004</v>
      </c>
      <c r="K52" s="94">
        <f>2.58-2.49</f>
        <v>8.9999999999999858E-2</v>
      </c>
      <c r="L52" s="98"/>
      <c r="M52" s="98">
        <f>10.65-7.83</f>
        <v>2.8200000000000003</v>
      </c>
      <c r="N52" s="98">
        <f>10.3-7.83</f>
        <v>2.4700000000000006</v>
      </c>
      <c r="O52" s="98">
        <f>2.6-2.49</f>
        <v>0.10999999999999988</v>
      </c>
      <c r="P52" s="98"/>
      <c r="Q52" s="98">
        <f>4.09-2.49</f>
        <v>1.5999999999999996</v>
      </c>
      <c r="R52" s="98">
        <f t="shared" si="4"/>
        <v>68.750000000000014</v>
      </c>
      <c r="S52" s="98"/>
      <c r="V52" s="16" t="s">
        <v>202</v>
      </c>
      <c r="W52" s="16">
        <v>10.61</v>
      </c>
      <c r="X52" s="16"/>
      <c r="Y52" s="16">
        <v>5.57</v>
      </c>
      <c r="Z52" s="16">
        <v>3.15</v>
      </c>
      <c r="AA52" s="16"/>
      <c r="AB52" s="16">
        <f t="shared" si="1"/>
        <v>16.18</v>
      </c>
      <c r="AC52" s="16">
        <f>SUM(AB48:AB52)/5</f>
        <v>15.991999999999999</v>
      </c>
    </row>
    <row r="53" spans="1:29" ht="15.75" customHeight="1">
      <c r="A53" s="87"/>
      <c r="B53" s="87"/>
      <c r="C53" s="87">
        <v>3</v>
      </c>
      <c r="D53" s="87" t="s">
        <v>83</v>
      </c>
      <c r="E53" s="98">
        <f>6.1-2.49</f>
        <v>3.6099999999999994</v>
      </c>
      <c r="F53" s="98">
        <f>1.72-1.45</f>
        <v>0.27</v>
      </c>
      <c r="G53" s="94">
        <f>3.77-2.49</f>
        <v>1.2799999999999998</v>
      </c>
      <c r="H53" s="98">
        <f>14.52-7.83</f>
        <v>6.6899999999999995</v>
      </c>
      <c r="I53" s="98"/>
      <c r="J53" s="98">
        <f>17.07-7.83</f>
        <v>9.24</v>
      </c>
      <c r="K53" s="98">
        <f>8.52-7.83</f>
        <v>0.6899999999999995</v>
      </c>
      <c r="L53" s="94">
        <f>3.12-2.49</f>
        <v>0.62999999999999989</v>
      </c>
      <c r="M53" s="98">
        <f>53.84-20.95</f>
        <v>32.89</v>
      </c>
      <c r="N53" s="98">
        <f>32.08-20.95</f>
        <v>11.129999999999999</v>
      </c>
      <c r="O53" s="98">
        <f>1.77-1.45</f>
        <v>0.32000000000000006</v>
      </c>
      <c r="P53" s="98"/>
      <c r="Q53" s="98">
        <f>3.84-2.49</f>
        <v>1.3499999999999996</v>
      </c>
      <c r="R53" s="98">
        <f t="shared" si="4"/>
        <v>66.749999999999986</v>
      </c>
      <c r="S53" s="98"/>
      <c r="T53" s="94" t="s">
        <v>142</v>
      </c>
      <c r="U53" s="16"/>
      <c r="V53" s="16" t="s">
        <v>202</v>
      </c>
      <c r="W53" s="16">
        <v>9.08</v>
      </c>
      <c r="X53" s="16"/>
      <c r="Y53" s="16">
        <v>6.43</v>
      </c>
      <c r="Z53" s="105"/>
      <c r="AA53" s="105"/>
      <c r="AB53" s="16">
        <f t="shared" si="1"/>
        <v>15.51</v>
      </c>
      <c r="AC53" s="16"/>
    </row>
    <row r="54" spans="1:29" ht="15.75" customHeight="1">
      <c r="A54" s="87"/>
      <c r="B54" s="87"/>
      <c r="C54" s="87">
        <v>3</v>
      </c>
      <c r="D54" s="87" t="s">
        <v>85</v>
      </c>
      <c r="E54" s="98">
        <f>14.07-7.83</f>
        <v>6.24</v>
      </c>
      <c r="F54" s="98">
        <f>13.4-7.83</f>
        <v>5.57</v>
      </c>
      <c r="G54" s="98"/>
      <c r="H54" s="98">
        <f>10.04-7.83</f>
        <v>2.2099999999999991</v>
      </c>
      <c r="I54" s="98">
        <f>9.17-7.83</f>
        <v>1.3399999999999999</v>
      </c>
      <c r="J54" s="98">
        <f>16.2-7.83</f>
        <v>8.3699999999999992</v>
      </c>
      <c r="K54" s="98">
        <f>9.99-7.83</f>
        <v>2.16</v>
      </c>
      <c r="L54" s="94"/>
      <c r="M54" s="98">
        <f>29.23-7.83</f>
        <v>21.4</v>
      </c>
      <c r="N54" s="98">
        <f>12.1-7.83</f>
        <v>4.2699999999999996</v>
      </c>
      <c r="O54" s="98">
        <f>2.61-2.49</f>
        <v>0.11999999999999966</v>
      </c>
      <c r="P54" s="98"/>
      <c r="Q54" s="98">
        <f>3.95-2.49</f>
        <v>1.46</v>
      </c>
      <c r="R54" s="98">
        <f t="shared" si="4"/>
        <v>51.679999999999986</v>
      </c>
      <c r="S54" s="98"/>
      <c r="T54" s="98"/>
      <c r="V54" s="16" t="s">
        <v>202</v>
      </c>
      <c r="W54" s="16">
        <v>2.21</v>
      </c>
      <c r="X54" s="16"/>
      <c r="Y54" s="16">
        <v>6.3</v>
      </c>
      <c r="Z54" s="16">
        <v>2.44</v>
      </c>
      <c r="AA54" s="16"/>
      <c r="AB54" s="16">
        <f t="shared" si="1"/>
        <v>8.51</v>
      </c>
      <c r="AC54" s="16"/>
    </row>
    <row r="55" spans="1:29" ht="15.75" customHeight="1">
      <c r="A55" s="87"/>
      <c r="B55" s="87"/>
      <c r="C55" s="87">
        <v>3</v>
      </c>
      <c r="D55" s="87" t="s">
        <v>87</v>
      </c>
      <c r="E55" s="98">
        <f>11.06-7.83</f>
        <v>3.2300000000000004</v>
      </c>
      <c r="F55" s="98">
        <f>2.72-2.49</f>
        <v>0.22999999999999998</v>
      </c>
      <c r="G55" s="98">
        <f>3.99-2.49</f>
        <v>1.5</v>
      </c>
      <c r="H55" s="98">
        <f>28.46-20.95</f>
        <v>7.5100000000000016</v>
      </c>
      <c r="I55" s="98"/>
      <c r="J55" s="98">
        <f>22.31-7.83</f>
        <v>14.479999999999999</v>
      </c>
      <c r="K55" s="98">
        <f>3.05-2.49</f>
        <v>0.55999999999999961</v>
      </c>
      <c r="L55" s="98"/>
      <c r="M55" s="98">
        <f>46.59-20.95</f>
        <v>25.640000000000004</v>
      </c>
      <c r="N55" s="98">
        <f>10.2-7.83</f>
        <v>2.3699999999999992</v>
      </c>
      <c r="O55" s="98">
        <f>2.55-2.49</f>
        <v>5.9999999999999609E-2</v>
      </c>
      <c r="P55" s="98"/>
      <c r="Q55" s="98">
        <f>4.5-2.49</f>
        <v>2.0099999999999998</v>
      </c>
      <c r="R55" s="98">
        <f t="shared" si="4"/>
        <v>55.580000000000005</v>
      </c>
      <c r="S55" s="98"/>
      <c r="T55" s="98"/>
      <c r="V55" s="16" t="s">
        <v>202</v>
      </c>
      <c r="W55" s="16">
        <v>10.47</v>
      </c>
      <c r="X55" s="16"/>
      <c r="Y55" s="16">
        <v>5.76</v>
      </c>
      <c r="Z55" s="16">
        <v>5.6</v>
      </c>
      <c r="AA55" s="16"/>
      <c r="AB55" s="16">
        <f t="shared" si="1"/>
        <v>16.23</v>
      </c>
      <c r="AC55" s="16"/>
    </row>
    <row r="56" spans="1:29" ht="15.75" customHeight="1">
      <c r="A56" s="87"/>
      <c r="B56" s="87"/>
      <c r="C56" s="87">
        <v>3</v>
      </c>
      <c r="D56" s="87" t="s">
        <v>79</v>
      </c>
      <c r="E56" s="98">
        <f>14.88-7.83</f>
        <v>7.0500000000000007</v>
      </c>
      <c r="F56" s="98">
        <f>2.85-2.49</f>
        <v>0.35999999999999988</v>
      </c>
      <c r="G56" s="98">
        <f>3.03-2.49</f>
        <v>0.53999999999999959</v>
      </c>
      <c r="H56" s="98">
        <f>17.2-7.83</f>
        <v>9.3699999999999992</v>
      </c>
      <c r="I56" s="98"/>
      <c r="J56" s="98">
        <f>18.12-7.83</f>
        <v>10.290000000000001</v>
      </c>
      <c r="K56" s="98">
        <f>2.77-2.49</f>
        <v>0.2799999999999998</v>
      </c>
      <c r="L56" s="98"/>
      <c r="M56" s="98">
        <f>58.26-20.95</f>
        <v>37.31</v>
      </c>
      <c r="N56" s="98">
        <f>14.34-7.83</f>
        <v>6.51</v>
      </c>
      <c r="O56" s="98">
        <f>2.75-2.49</f>
        <v>0.25999999999999979</v>
      </c>
      <c r="P56" s="98"/>
      <c r="Q56" s="98">
        <f>3.6-2.49</f>
        <v>1.1099999999999999</v>
      </c>
      <c r="R56" s="98">
        <f t="shared" si="4"/>
        <v>71.970000000000013</v>
      </c>
      <c r="S56" s="98"/>
      <c r="T56" s="98"/>
      <c r="V56" s="16" t="s">
        <v>202</v>
      </c>
      <c r="W56" s="16">
        <v>3.47</v>
      </c>
      <c r="X56" s="16"/>
      <c r="Y56" s="16">
        <v>5.52</v>
      </c>
      <c r="Z56" s="16">
        <v>2.5099999999999998</v>
      </c>
      <c r="AA56" s="16"/>
      <c r="AB56" s="16">
        <f t="shared" si="1"/>
        <v>8.99</v>
      </c>
      <c r="AC56" s="16"/>
    </row>
    <row r="57" spans="1:29" ht="15.75" customHeight="1">
      <c r="A57" s="87"/>
      <c r="B57" s="87"/>
      <c r="C57" s="87">
        <v>3</v>
      </c>
      <c r="D57" s="87" t="s">
        <v>88</v>
      </c>
      <c r="E57" s="98">
        <f>3.02-2.49</f>
        <v>0.5299999999999998</v>
      </c>
      <c r="F57" s="98">
        <f>4.09-2.49</f>
        <v>1.5999999999999996</v>
      </c>
      <c r="G57" s="98"/>
      <c r="H57" s="98">
        <f>28.63-20.95</f>
        <v>7.68</v>
      </c>
      <c r="I57" s="98">
        <f>3.1-2.49</f>
        <v>0.60999999999999988</v>
      </c>
      <c r="J57" s="98">
        <f>30.33-20.95</f>
        <v>9.379999999999999</v>
      </c>
      <c r="K57" s="94">
        <v>4.9800000000000004</v>
      </c>
      <c r="L57" s="98">
        <f>2.79-2.49</f>
        <v>0.29999999999999982</v>
      </c>
      <c r="M57" s="98">
        <f>56.69-20.95</f>
        <v>35.739999999999995</v>
      </c>
      <c r="N57" s="98">
        <f>5.89</f>
        <v>5.89</v>
      </c>
      <c r="O57" s="98"/>
      <c r="P57" s="98"/>
      <c r="Q57" s="94" t="s">
        <v>221</v>
      </c>
      <c r="R57" s="98">
        <f t="shared" si="4"/>
        <v>66.709999999999994</v>
      </c>
      <c r="S57" s="98"/>
      <c r="T57" s="98"/>
      <c r="V57" s="16" t="s">
        <v>202</v>
      </c>
      <c r="W57" s="16">
        <v>7.07</v>
      </c>
      <c r="X57" s="16"/>
      <c r="Y57" s="105"/>
      <c r="Z57" s="105"/>
      <c r="AA57" s="105"/>
      <c r="AB57" s="16">
        <f t="shared" si="1"/>
        <v>7.07</v>
      </c>
      <c r="AC57" s="16">
        <f>SUM(AB53:AB57)/5</f>
        <v>11.262</v>
      </c>
    </row>
    <row r="58" spans="1:29" ht="15.75" customHeight="1">
      <c r="A58" s="87"/>
      <c r="B58" s="87"/>
      <c r="C58" s="87">
        <v>4</v>
      </c>
      <c r="D58" s="87" t="s">
        <v>83</v>
      </c>
      <c r="E58" s="98">
        <f>2.57-2.49</f>
        <v>7.9999999999999627E-2</v>
      </c>
      <c r="F58" s="94">
        <f>2.63-2.49</f>
        <v>0.13999999999999968</v>
      </c>
      <c r="G58" s="98"/>
      <c r="H58" s="98">
        <f>33.44-20.95</f>
        <v>12.489999999999998</v>
      </c>
      <c r="I58" s="98">
        <f>2.5-2.49</f>
        <v>9.9999999999997868E-3</v>
      </c>
      <c r="J58" s="98">
        <f>16.61-7.83</f>
        <v>8.7799999999999994</v>
      </c>
      <c r="K58" s="98"/>
      <c r="L58" s="98"/>
      <c r="M58" s="98">
        <f>57.23-20.95</f>
        <v>36.28</v>
      </c>
      <c r="N58" s="94">
        <f>15.27-7.83</f>
        <v>7.4399999999999995</v>
      </c>
      <c r="O58" s="98">
        <f>3.41-2.49</f>
        <v>0.91999999999999993</v>
      </c>
      <c r="P58" s="98"/>
      <c r="Q58" s="98">
        <f>2.86-2.49</f>
        <v>0.36999999999999966</v>
      </c>
      <c r="R58" s="98">
        <f t="shared" si="4"/>
        <v>66.14</v>
      </c>
      <c r="S58" s="98"/>
      <c r="T58" s="94" t="s">
        <v>92</v>
      </c>
      <c r="U58" s="16"/>
      <c r="V58" s="16" t="s">
        <v>202</v>
      </c>
      <c r="W58" s="16">
        <v>5.6</v>
      </c>
      <c r="X58" s="16"/>
      <c r="Y58" s="16">
        <v>1.48</v>
      </c>
      <c r="Z58" s="16">
        <v>3.6</v>
      </c>
      <c r="AA58" s="16"/>
      <c r="AB58" s="16">
        <f t="shared" si="1"/>
        <v>7.08</v>
      </c>
      <c r="AC58" s="16"/>
    </row>
    <row r="59" spans="1:29" ht="15.75" customHeight="1">
      <c r="A59" s="87"/>
      <c r="B59" s="87"/>
      <c r="C59" s="87">
        <v>4</v>
      </c>
      <c r="D59" s="87" t="s">
        <v>85</v>
      </c>
      <c r="E59" s="98"/>
      <c r="F59" s="98"/>
      <c r="G59" s="98"/>
      <c r="H59" s="98">
        <f>30.15-E225</f>
        <v>15.769999999999998</v>
      </c>
      <c r="I59" s="98">
        <f>2.99-C225</f>
        <v>0.14000000000000012</v>
      </c>
      <c r="J59" s="98">
        <f>2.96-C225</f>
        <v>0.10999999999999988</v>
      </c>
      <c r="K59" s="98"/>
      <c r="L59" s="98"/>
      <c r="M59" s="98">
        <f>54.17-E225</f>
        <v>39.79</v>
      </c>
      <c r="N59" s="94">
        <f>14.84-7.83</f>
        <v>7.01</v>
      </c>
      <c r="O59" s="98">
        <f>3.13-C225</f>
        <v>0.2799999999999998</v>
      </c>
      <c r="P59" s="98"/>
      <c r="Q59" s="98">
        <f>3.43-C225</f>
        <v>0.58000000000000007</v>
      </c>
      <c r="R59" s="98">
        <f t="shared" si="4"/>
        <v>63.1</v>
      </c>
      <c r="S59" s="98"/>
      <c r="T59" s="98"/>
      <c r="V59" s="16" t="s">
        <v>202</v>
      </c>
      <c r="W59" s="16">
        <v>6.07</v>
      </c>
      <c r="X59" s="16"/>
      <c r="Y59" s="16">
        <v>2.54</v>
      </c>
      <c r="Z59" s="16">
        <v>4.6900000000000004</v>
      </c>
      <c r="AA59" s="16"/>
      <c r="AB59" s="16">
        <f t="shared" si="1"/>
        <v>8.61</v>
      </c>
      <c r="AC59" s="16"/>
    </row>
    <row r="60" spans="1:29" ht="15.75" customHeight="1">
      <c r="A60" s="87"/>
      <c r="B60" s="87"/>
      <c r="C60" s="87">
        <v>4</v>
      </c>
      <c r="D60" s="87" t="s">
        <v>87</v>
      </c>
      <c r="E60" s="98"/>
      <c r="F60" s="98">
        <f>3.11-C225</f>
        <v>0.25999999999999979</v>
      </c>
      <c r="G60" s="98">
        <f>3.27-C225</f>
        <v>0.41999999999999993</v>
      </c>
      <c r="H60" s="98">
        <f>25.99-F225</f>
        <v>6.0999999999999979</v>
      </c>
      <c r="I60" s="98">
        <f>3.16-C225</f>
        <v>0.31000000000000005</v>
      </c>
      <c r="J60" s="98"/>
      <c r="K60" s="98"/>
      <c r="L60" s="98"/>
      <c r="M60" s="98">
        <f>45.19-E225</f>
        <v>30.809999999999995</v>
      </c>
      <c r="N60" s="98">
        <f>8.75-D225</f>
        <v>1.4100000000000001</v>
      </c>
      <c r="O60" s="98">
        <f>3.08-C225</f>
        <v>0.22999999999999998</v>
      </c>
      <c r="P60" s="98"/>
      <c r="Q60" s="98">
        <f>8.72-C225</f>
        <v>5.870000000000001</v>
      </c>
      <c r="R60" s="98">
        <f t="shared" si="4"/>
        <v>39.539999999999985</v>
      </c>
      <c r="S60" s="98"/>
      <c r="T60" s="98"/>
      <c r="V60" s="16" t="s">
        <v>202</v>
      </c>
      <c r="W60" s="16">
        <v>3.98</v>
      </c>
      <c r="X60" s="16"/>
      <c r="Y60" s="16">
        <v>2.1</v>
      </c>
      <c r="Z60" s="16">
        <v>14.25</v>
      </c>
      <c r="AA60" s="16"/>
      <c r="AB60" s="16">
        <f t="shared" si="1"/>
        <v>6.08</v>
      </c>
      <c r="AC60" s="16"/>
    </row>
    <row r="61" spans="1:29" ht="15.75" customHeight="1">
      <c r="A61" s="87"/>
      <c r="B61" s="87"/>
      <c r="C61" s="87">
        <v>4</v>
      </c>
      <c r="D61" s="87" t="s">
        <v>79</v>
      </c>
      <c r="E61" s="98"/>
      <c r="F61" s="98"/>
      <c r="G61" s="98">
        <f>18.99-7.83</f>
        <v>11.159999999999998</v>
      </c>
      <c r="H61" s="98">
        <f>20.04-7.83</f>
        <v>12.209999999999999</v>
      </c>
      <c r="I61" s="98">
        <f>2.55-2.49</f>
        <v>5.9999999999999609E-2</v>
      </c>
      <c r="J61" s="98">
        <f>2.86-2.49</f>
        <v>0.36999999999999966</v>
      </c>
      <c r="K61" s="98"/>
      <c r="L61" s="98"/>
      <c r="M61" s="98">
        <f t="shared" ref="M61:M62" si="6">29.65-7.83</f>
        <v>21.82</v>
      </c>
      <c r="N61" s="98">
        <f>17.5-7.83</f>
        <v>9.67</v>
      </c>
      <c r="O61" s="98">
        <f>2.61-2.49</f>
        <v>0.11999999999999966</v>
      </c>
      <c r="P61" s="98"/>
      <c r="Q61" s="98">
        <f>9.12-2.49</f>
        <v>6.629999999999999</v>
      </c>
      <c r="R61" s="98">
        <f t="shared" si="4"/>
        <v>55.41</v>
      </c>
      <c r="S61" s="98"/>
      <c r="T61" s="98"/>
      <c r="V61" s="16" t="s">
        <v>202</v>
      </c>
      <c r="W61" s="16">
        <v>12.16</v>
      </c>
      <c r="X61" s="16"/>
      <c r="Y61" s="16">
        <v>3.06</v>
      </c>
      <c r="Z61" s="16">
        <v>6.24</v>
      </c>
      <c r="AA61" s="16"/>
      <c r="AB61" s="16">
        <f t="shared" si="1"/>
        <v>15.22</v>
      </c>
      <c r="AC61" s="16"/>
    </row>
    <row r="62" spans="1:29" ht="15.75" customHeight="1">
      <c r="A62" s="87"/>
      <c r="B62" s="87"/>
      <c r="C62" s="87">
        <v>4</v>
      </c>
      <c r="D62" s="87" t="s">
        <v>88</v>
      </c>
      <c r="E62" s="98"/>
      <c r="F62" s="98"/>
      <c r="G62" s="98"/>
      <c r="H62" s="98">
        <f>35.17-20.95</f>
        <v>14.220000000000002</v>
      </c>
      <c r="I62" s="98">
        <f>5.2-2.49</f>
        <v>2.71</v>
      </c>
      <c r="J62" s="98">
        <f>2.8-2.49</f>
        <v>0.30999999999999961</v>
      </c>
      <c r="K62" s="98"/>
      <c r="L62" s="98"/>
      <c r="M62" s="98">
        <f t="shared" si="6"/>
        <v>21.82</v>
      </c>
      <c r="N62" s="98">
        <f>43.32-20.95</f>
        <v>22.37</v>
      </c>
      <c r="O62" s="98"/>
      <c r="P62" s="98"/>
      <c r="Q62" s="98">
        <f>3.59-2.49</f>
        <v>1.0999999999999996</v>
      </c>
      <c r="R62" s="98">
        <f t="shared" si="4"/>
        <v>61.430000000000007</v>
      </c>
      <c r="S62" s="98"/>
      <c r="T62" s="98"/>
      <c r="V62" s="16" t="s">
        <v>202</v>
      </c>
      <c r="W62" s="16">
        <v>8.92</v>
      </c>
      <c r="X62" s="16"/>
      <c r="Y62" s="16">
        <v>3.11</v>
      </c>
      <c r="Z62" s="16">
        <v>4.42</v>
      </c>
      <c r="AA62" s="16"/>
      <c r="AB62" s="16">
        <f t="shared" si="1"/>
        <v>12.03</v>
      </c>
      <c r="AC62" s="16">
        <f>SUM(AB58:AB62)/5</f>
        <v>9.8040000000000003</v>
      </c>
    </row>
    <row r="63" spans="1:29" ht="15.75" customHeight="1">
      <c r="A63" s="87" t="s">
        <v>78</v>
      </c>
      <c r="B63" s="87" t="s">
        <v>101</v>
      </c>
      <c r="C63" s="87">
        <v>1</v>
      </c>
      <c r="D63" s="87" t="s">
        <v>83</v>
      </c>
      <c r="E63" s="98"/>
      <c r="F63" s="94">
        <v>0.23</v>
      </c>
      <c r="G63" s="98"/>
      <c r="H63" s="94">
        <v>9.2799999999999994</v>
      </c>
      <c r="I63" s="94">
        <v>0.06</v>
      </c>
      <c r="J63" s="94">
        <v>17.16</v>
      </c>
      <c r="K63" s="94">
        <v>1.07</v>
      </c>
      <c r="L63" s="98"/>
      <c r="M63" s="94">
        <v>7.9</v>
      </c>
      <c r="N63" s="94">
        <v>22.37</v>
      </c>
      <c r="O63" s="94">
        <v>1.73</v>
      </c>
      <c r="P63" s="98"/>
      <c r="Q63" s="94">
        <v>0.05</v>
      </c>
      <c r="R63" s="98">
        <f t="shared" si="4"/>
        <v>59.800000000000004</v>
      </c>
      <c r="S63" s="98"/>
      <c r="T63" s="94" t="s">
        <v>90</v>
      </c>
      <c r="U63" s="16"/>
      <c r="V63" s="16" t="s">
        <v>202</v>
      </c>
      <c r="W63" s="16">
        <v>10.41</v>
      </c>
      <c r="X63" s="16"/>
      <c r="Y63" s="16">
        <f>4.13-2.85</f>
        <v>1.2799999999999998</v>
      </c>
      <c r="Z63" s="16">
        <f>5.24-2.85</f>
        <v>2.39</v>
      </c>
      <c r="AA63" s="16"/>
      <c r="AB63" s="16">
        <f t="shared" si="1"/>
        <v>11.69</v>
      </c>
      <c r="AC63" s="16"/>
    </row>
    <row r="64" spans="1:29" ht="15.75" customHeight="1">
      <c r="A64" s="87"/>
      <c r="B64" s="87"/>
      <c r="C64" s="87">
        <v>1</v>
      </c>
      <c r="D64" s="87" t="s">
        <v>85</v>
      </c>
      <c r="E64" s="94">
        <v>1.55</v>
      </c>
      <c r="F64" s="94">
        <v>1.7</v>
      </c>
      <c r="G64" s="94"/>
      <c r="H64" s="94">
        <v>5.52</v>
      </c>
      <c r="I64" s="94">
        <v>3.29</v>
      </c>
      <c r="J64" s="94">
        <v>22.91</v>
      </c>
      <c r="K64" s="94">
        <v>2.96</v>
      </c>
      <c r="L64" s="98"/>
      <c r="M64" s="94">
        <v>21.89</v>
      </c>
      <c r="N64" s="94">
        <v>24.19</v>
      </c>
      <c r="O64" s="94">
        <v>3.34</v>
      </c>
      <c r="P64" s="98"/>
      <c r="Q64" s="98"/>
      <c r="R64" s="98">
        <f t="shared" si="4"/>
        <v>87.350000000000009</v>
      </c>
      <c r="S64" s="98"/>
      <c r="T64" s="98"/>
      <c r="V64" s="16" t="s">
        <v>202</v>
      </c>
      <c r="W64" s="16">
        <v>6.77</v>
      </c>
      <c r="X64" s="16"/>
      <c r="Y64">
        <f>4.02-2.85</f>
        <v>1.1699999999999995</v>
      </c>
      <c r="Z64">
        <f>5.71-2.85</f>
        <v>2.86</v>
      </c>
      <c r="AB64" s="16">
        <f t="shared" si="1"/>
        <v>7.9399999999999995</v>
      </c>
      <c r="AC64" s="16"/>
    </row>
    <row r="65" spans="1:29" ht="15.75" customHeight="1">
      <c r="A65" s="87"/>
      <c r="B65" s="87"/>
      <c r="C65" s="87">
        <v>1</v>
      </c>
      <c r="D65" s="87" t="s">
        <v>87</v>
      </c>
      <c r="E65" s="98"/>
      <c r="F65" s="98"/>
      <c r="G65" s="98"/>
      <c r="H65" s="113"/>
      <c r="I65" s="94">
        <v>2.67</v>
      </c>
      <c r="J65" s="94">
        <v>11.33</v>
      </c>
      <c r="K65" s="94">
        <v>3.21</v>
      </c>
      <c r="L65" s="98"/>
      <c r="M65" s="94">
        <v>8.15</v>
      </c>
      <c r="N65" s="94">
        <v>5.96</v>
      </c>
      <c r="O65" s="94">
        <v>1.68</v>
      </c>
      <c r="P65" s="98"/>
      <c r="Q65" s="94">
        <v>1.82</v>
      </c>
      <c r="R65" s="98">
        <f t="shared" si="4"/>
        <v>33</v>
      </c>
      <c r="S65" s="98"/>
      <c r="T65" s="98"/>
      <c r="V65" s="16" t="s">
        <v>202</v>
      </c>
      <c r="W65" s="16">
        <v>7.51</v>
      </c>
      <c r="X65" s="16"/>
      <c r="Y65">
        <f>5.99-2.85</f>
        <v>3.14</v>
      </c>
      <c r="Z65">
        <f>7.01-2.85</f>
        <v>4.16</v>
      </c>
      <c r="AB65" s="16">
        <f t="shared" si="1"/>
        <v>10.65</v>
      </c>
      <c r="AC65" s="16"/>
    </row>
    <row r="66" spans="1:29" ht="15.75" customHeight="1">
      <c r="A66" s="87"/>
      <c r="B66" s="87"/>
      <c r="C66" s="87">
        <v>1</v>
      </c>
      <c r="D66" s="87" t="s">
        <v>79</v>
      </c>
      <c r="E66" s="98"/>
      <c r="F66" s="98"/>
      <c r="G66" s="98"/>
      <c r="H66" s="94">
        <v>10.72</v>
      </c>
      <c r="I66" s="94">
        <v>0.12</v>
      </c>
      <c r="J66" s="94">
        <v>9.34</v>
      </c>
      <c r="K66" s="94">
        <v>0.98</v>
      </c>
      <c r="L66" s="98"/>
      <c r="M66" s="94">
        <v>24.76</v>
      </c>
      <c r="N66" s="94">
        <v>18.510000000000002</v>
      </c>
      <c r="O66" s="94">
        <v>0.47</v>
      </c>
      <c r="P66" s="98"/>
      <c r="Q66" s="94">
        <v>1.33</v>
      </c>
      <c r="R66" s="98">
        <f t="shared" si="4"/>
        <v>64.900000000000006</v>
      </c>
      <c r="S66" s="98"/>
      <c r="T66" s="98"/>
      <c r="V66" s="16" t="s">
        <v>202</v>
      </c>
      <c r="W66" s="16">
        <v>9.7200000000000006</v>
      </c>
      <c r="X66" s="16"/>
      <c r="Y66">
        <f>4.29-2.85</f>
        <v>1.44</v>
      </c>
      <c r="Z66" s="16">
        <v>6.39</v>
      </c>
      <c r="AA66" s="16"/>
      <c r="AB66" s="16">
        <f t="shared" si="1"/>
        <v>11.16</v>
      </c>
      <c r="AC66" s="16"/>
    </row>
    <row r="67" spans="1:29" ht="15.75" customHeight="1">
      <c r="A67" s="87"/>
      <c r="B67" s="87"/>
      <c r="C67" s="87">
        <v>1</v>
      </c>
      <c r="D67" s="87" t="s">
        <v>88</v>
      </c>
      <c r="E67" s="94">
        <v>2.56</v>
      </c>
      <c r="F67" s="98"/>
      <c r="G67" s="98"/>
      <c r="H67" s="94">
        <v>8.89</v>
      </c>
      <c r="I67" s="98"/>
      <c r="J67" s="94">
        <v>25.02</v>
      </c>
      <c r="K67" s="94">
        <v>17.260000000000002</v>
      </c>
      <c r="L67" s="98"/>
      <c r="M67" s="94">
        <v>2.79</v>
      </c>
      <c r="N67" s="94">
        <v>18.61</v>
      </c>
      <c r="O67" s="94">
        <v>0.71</v>
      </c>
      <c r="P67" s="98"/>
      <c r="Q67" s="94">
        <v>1.53</v>
      </c>
      <c r="R67" s="98">
        <f t="shared" si="4"/>
        <v>75.839999999999989</v>
      </c>
      <c r="S67" s="98"/>
      <c r="T67" s="98"/>
      <c r="V67" s="16" t="s">
        <v>202</v>
      </c>
      <c r="W67" s="16">
        <v>9.42</v>
      </c>
      <c r="X67" s="16"/>
      <c r="Y67">
        <f>5.86-2.85</f>
        <v>3.0100000000000002</v>
      </c>
      <c r="Z67">
        <f>5.05-2.85</f>
        <v>2.1999999999999997</v>
      </c>
      <c r="AB67" s="16">
        <f t="shared" si="1"/>
        <v>12.43</v>
      </c>
      <c r="AC67" s="16">
        <f>SUM(AB63:AB67)/5</f>
        <v>10.773999999999999</v>
      </c>
    </row>
    <row r="68" spans="1:29" ht="15.75" customHeight="1">
      <c r="A68" s="87"/>
      <c r="B68" s="87"/>
      <c r="C68" s="87">
        <v>2</v>
      </c>
      <c r="D68" s="87" t="s">
        <v>83</v>
      </c>
      <c r="E68" s="94">
        <v>4.51</v>
      </c>
      <c r="F68" s="94">
        <v>2.23</v>
      </c>
      <c r="G68" s="94"/>
      <c r="H68" s="94">
        <v>9.25</v>
      </c>
      <c r="I68" s="98"/>
      <c r="J68" s="94">
        <v>14.74</v>
      </c>
      <c r="K68" s="94">
        <v>3.42</v>
      </c>
      <c r="L68" s="94">
        <v>0.14000000000000001</v>
      </c>
      <c r="M68" s="94">
        <v>9.83</v>
      </c>
      <c r="N68" s="94">
        <v>16.52</v>
      </c>
      <c r="O68" s="94">
        <v>0.51</v>
      </c>
      <c r="P68" s="98"/>
      <c r="Q68" s="94">
        <v>0.03</v>
      </c>
      <c r="R68" s="98">
        <f t="shared" si="4"/>
        <v>61.15</v>
      </c>
      <c r="S68" s="98"/>
      <c r="T68" s="94" t="s">
        <v>142</v>
      </c>
      <c r="U68" s="16"/>
      <c r="V68" s="16" t="s">
        <v>202</v>
      </c>
      <c r="W68" s="16">
        <v>9.4</v>
      </c>
      <c r="X68" s="16"/>
      <c r="Y68" s="16">
        <v>4.68</v>
      </c>
      <c r="Z68" s="16">
        <f>5.17-2.85</f>
        <v>2.3199999999999998</v>
      </c>
      <c r="AA68" s="16"/>
      <c r="AB68" s="16">
        <f t="shared" si="1"/>
        <v>14.08</v>
      </c>
      <c r="AC68" s="16"/>
    </row>
    <row r="69" spans="1:29" ht="15.75" customHeight="1">
      <c r="A69" s="87"/>
      <c r="B69" s="87"/>
      <c r="C69" s="87">
        <v>2</v>
      </c>
      <c r="D69" s="87" t="s">
        <v>85</v>
      </c>
      <c r="E69" s="98"/>
      <c r="F69" s="98"/>
      <c r="G69" s="98"/>
      <c r="H69" s="98">
        <f>13.89-7.83</f>
        <v>6.0600000000000005</v>
      </c>
      <c r="I69" s="98">
        <f>2.7-2.49</f>
        <v>0.20999999999999996</v>
      </c>
      <c r="J69" s="98">
        <f>43.32-20.95</f>
        <v>22.37</v>
      </c>
      <c r="K69" s="98">
        <f>16.71-7.83</f>
        <v>8.8800000000000008</v>
      </c>
      <c r="L69" s="98"/>
      <c r="M69" s="98">
        <f>19.73-7.83</f>
        <v>11.9</v>
      </c>
      <c r="N69" s="98">
        <f>40.32-20.95</f>
        <v>19.37</v>
      </c>
      <c r="O69" s="98">
        <f>4.38-2.49</f>
        <v>1.8899999999999997</v>
      </c>
      <c r="P69" s="98"/>
      <c r="Q69" s="98">
        <f>4.47-2.49</f>
        <v>1.9799999999999995</v>
      </c>
      <c r="R69" s="98">
        <f t="shared" si="4"/>
        <v>70.680000000000007</v>
      </c>
      <c r="S69" s="98"/>
      <c r="T69" s="98"/>
      <c r="V69" s="16" t="s">
        <v>202</v>
      </c>
      <c r="W69" s="16">
        <v>5.29</v>
      </c>
      <c r="X69" s="16"/>
      <c r="Y69">
        <f>5.28-2.85</f>
        <v>2.4300000000000002</v>
      </c>
      <c r="Z69" s="16">
        <v>7.34</v>
      </c>
      <c r="AA69" s="16"/>
      <c r="AB69" s="16">
        <f t="shared" si="1"/>
        <v>7.7200000000000006</v>
      </c>
      <c r="AC69" s="16"/>
    </row>
    <row r="70" spans="1:29" ht="15.75" customHeight="1">
      <c r="A70" s="87"/>
      <c r="B70" s="87"/>
      <c r="C70" s="87">
        <v>2</v>
      </c>
      <c r="D70" s="87" t="s">
        <v>87</v>
      </c>
      <c r="E70" s="94">
        <v>7.0000000000000007E-2</v>
      </c>
      <c r="F70" s="98"/>
      <c r="G70" s="94">
        <v>0.46</v>
      </c>
      <c r="H70" s="94">
        <v>7.53</v>
      </c>
      <c r="I70" s="94">
        <v>0.17</v>
      </c>
      <c r="J70" s="94">
        <v>24</v>
      </c>
      <c r="K70" s="94">
        <v>1.44</v>
      </c>
      <c r="L70" s="98"/>
      <c r="M70" s="94">
        <v>9.74</v>
      </c>
      <c r="N70" s="94">
        <v>17.059999999999999</v>
      </c>
      <c r="O70" s="94">
        <v>1.34</v>
      </c>
      <c r="P70" s="98"/>
      <c r="Q70" s="98"/>
      <c r="R70" s="98">
        <f t="shared" si="4"/>
        <v>61.81</v>
      </c>
      <c r="S70" s="98"/>
      <c r="T70" s="98"/>
      <c r="V70" s="16" t="s">
        <v>202</v>
      </c>
      <c r="W70" s="16">
        <f>12.42-7.34</f>
        <v>5.08</v>
      </c>
      <c r="X70" s="16"/>
      <c r="Y70">
        <f>5.64-2.85</f>
        <v>2.7899999999999996</v>
      </c>
      <c r="Z70" s="16">
        <f>5.1-2.85</f>
        <v>2.2499999999999996</v>
      </c>
      <c r="AA70" s="16"/>
      <c r="AB70" s="16">
        <f t="shared" si="1"/>
        <v>7.8699999999999992</v>
      </c>
      <c r="AC70" s="16"/>
    </row>
    <row r="71" spans="1:29" ht="15.75" customHeight="1">
      <c r="A71" s="87"/>
      <c r="B71" s="87"/>
      <c r="C71" s="87">
        <v>2</v>
      </c>
      <c r="D71" s="87" t="s">
        <v>79</v>
      </c>
      <c r="E71" s="94">
        <v>0.06</v>
      </c>
      <c r="F71" s="98"/>
      <c r="G71" s="94">
        <v>0.39</v>
      </c>
      <c r="H71" s="94">
        <v>9.48</v>
      </c>
      <c r="I71" s="98"/>
      <c r="J71" s="94">
        <v>9.9499999999999993</v>
      </c>
      <c r="K71" s="94">
        <v>2.65</v>
      </c>
      <c r="L71" s="98"/>
      <c r="M71" s="94">
        <v>15.65</v>
      </c>
      <c r="N71" s="94">
        <v>20.48</v>
      </c>
      <c r="O71" s="94">
        <v>0.39</v>
      </c>
      <c r="P71" s="98"/>
      <c r="Q71" s="94">
        <v>0.56999999999999995</v>
      </c>
      <c r="R71" s="98">
        <f t="shared" si="4"/>
        <v>59.05</v>
      </c>
      <c r="S71" s="98"/>
      <c r="T71" s="98"/>
      <c r="V71" s="16" t="s">
        <v>202</v>
      </c>
      <c r="W71" s="16">
        <v>6.46</v>
      </c>
      <c r="X71" s="16"/>
      <c r="Y71">
        <f>4.2-2.85</f>
        <v>1.35</v>
      </c>
      <c r="Z71" s="16">
        <f>4.71-2.85</f>
        <v>1.8599999999999999</v>
      </c>
      <c r="AA71" s="16"/>
      <c r="AB71" s="16">
        <f t="shared" si="1"/>
        <v>7.8100000000000005</v>
      </c>
      <c r="AC71" s="16"/>
    </row>
    <row r="72" spans="1:29" ht="15.75" customHeight="1">
      <c r="A72" s="87"/>
      <c r="B72" s="87"/>
      <c r="C72" s="87">
        <v>2</v>
      </c>
      <c r="D72" s="87" t="s">
        <v>88</v>
      </c>
      <c r="E72" s="98"/>
      <c r="F72" s="98"/>
      <c r="G72" s="98"/>
      <c r="H72" s="94">
        <v>7.74</v>
      </c>
      <c r="I72" s="94">
        <v>2.5499999999999998</v>
      </c>
      <c r="J72" s="94">
        <v>15.01</v>
      </c>
      <c r="K72" s="94">
        <v>26.91</v>
      </c>
      <c r="L72" s="98"/>
      <c r="M72" s="94">
        <v>14.15</v>
      </c>
      <c r="N72" s="94">
        <v>31.45</v>
      </c>
      <c r="O72" s="94">
        <v>3.65</v>
      </c>
      <c r="P72" s="98"/>
      <c r="Q72" s="94">
        <v>4.26</v>
      </c>
      <c r="R72" s="98">
        <f t="shared" si="4"/>
        <v>101.46000000000001</v>
      </c>
      <c r="S72" s="98"/>
      <c r="T72" s="98"/>
      <c r="V72" s="16" t="s">
        <v>202</v>
      </c>
      <c r="W72" s="16">
        <v>25.95</v>
      </c>
      <c r="X72" s="16"/>
      <c r="Y72" s="16">
        <v>6.01</v>
      </c>
      <c r="Z72" s="16">
        <v>6.05</v>
      </c>
      <c r="AA72" s="16"/>
      <c r="AB72" s="16">
        <f t="shared" si="1"/>
        <v>31.96</v>
      </c>
      <c r="AC72" s="16">
        <f>SUM(AB68:AB72)/5</f>
        <v>13.888</v>
      </c>
    </row>
    <row r="73" spans="1:29" ht="15.75" customHeight="1">
      <c r="A73" s="87"/>
      <c r="B73" s="87"/>
      <c r="C73" s="87">
        <v>3</v>
      </c>
      <c r="D73" s="87" t="s">
        <v>83</v>
      </c>
      <c r="E73" s="98"/>
      <c r="F73" s="94">
        <v>2.83</v>
      </c>
      <c r="G73" s="98"/>
      <c r="H73" s="94">
        <v>25.23</v>
      </c>
      <c r="I73" s="98"/>
      <c r="J73" s="94">
        <v>24.26</v>
      </c>
      <c r="K73" s="98"/>
      <c r="L73" s="98"/>
      <c r="M73" s="94">
        <v>8.77</v>
      </c>
      <c r="N73" s="94">
        <v>28.59</v>
      </c>
      <c r="O73" s="94">
        <v>3.18</v>
      </c>
      <c r="P73" s="98"/>
      <c r="Q73" s="94">
        <v>6.51</v>
      </c>
      <c r="R73" s="98">
        <f t="shared" si="4"/>
        <v>92.860000000000014</v>
      </c>
      <c r="S73" s="98"/>
      <c r="T73" s="94" t="s">
        <v>93</v>
      </c>
      <c r="U73" s="16"/>
      <c r="V73" s="16" t="s">
        <v>202</v>
      </c>
      <c r="W73" s="16">
        <v>2.82</v>
      </c>
      <c r="X73" s="16"/>
      <c r="Y73" s="16">
        <v>1.56</v>
      </c>
      <c r="Z73" s="16">
        <v>1.87</v>
      </c>
      <c r="AA73" s="16"/>
      <c r="AB73" s="16">
        <f t="shared" si="1"/>
        <v>4.38</v>
      </c>
      <c r="AC73" s="16"/>
    </row>
    <row r="74" spans="1:29" ht="15.75" customHeight="1">
      <c r="A74" s="87"/>
      <c r="B74" s="87"/>
      <c r="C74" s="87">
        <v>3</v>
      </c>
      <c r="D74" s="87" t="s">
        <v>85</v>
      </c>
      <c r="E74" s="94">
        <v>2.93</v>
      </c>
      <c r="F74" s="98"/>
      <c r="G74" s="98"/>
      <c r="H74" s="94">
        <v>21.7</v>
      </c>
      <c r="I74" s="94">
        <v>2.4900000000000002</v>
      </c>
      <c r="J74" s="94">
        <v>17.45</v>
      </c>
      <c r="K74" s="94">
        <v>2.62</v>
      </c>
      <c r="L74" s="98"/>
      <c r="M74" s="94">
        <v>6.82</v>
      </c>
      <c r="N74" s="94">
        <v>13.74</v>
      </c>
      <c r="O74" s="98"/>
      <c r="P74" s="98"/>
      <c r="Q74" s="94">
        <v>4.51</v>
      </c>
      <c r="R74" s="98">
        <f t="shared" si="4"/>
        <v>67.749999999999986</v>
      </c>
      <c r="S74" s="98"/>
      <c r="T74" s="98"/>
      <c r="V74" s="16" t="s">
        <v>202</v>
      </c>
      <c r="W74" s="16">
        <v>21.62</v>
      </c>
      <c r="X74" s="16"/>
      <c r="Y74">
        <f>3.97-2.85</f>
        <v>1.1200000000000001</v>
      </c>
      <c r="Z74">
        <f>5-2.85</f>
        <v>2.15</v>
      </c>
      <c r="AB74" s="16">
        <f t="shared" si="1"/>
        <v>22.740000000000002</v>
      </c>
      <c r="AC74" s="16"/>
    </row>
    <row r="75" spans="1:29" ht="15.75" customHeight="1">
      <c r="A75" s="87"/>
      <c r="B75" s="87"/>
      <c r="C75" s="87">
        <v>3</v>
      </c>
      <c r="D75" s="87" t="s">
        <v>87</v>
      </c>
      <c r="E75" s="98"/>
      <c r="F75" s="98"/>
      <c r="G75" s="98"/>
      <c r="H75" s="94">
        <v>11.27</v>
      </c>
      <c r="I75" s="94">
        <v>0.34</v>
      </c>
      <c r="J75" s="94">
        <v>32.619999999999997</v>
      </c>
      <c r="K75" s="94">
        <v>0.47</v>
      </c>
      <c r="L75" s="98"/>
      <c r="M75" s="94">
        <v>6.43</v>
      </c>
      <c r="N75" s="94">
        <v>20.98</v>
      </c>
      <c r="O75" s="94">
        <v>2.4300000000000002</v>
      </c>
      <c r="P75" s="98"/>
      <c r="Q75" s="94">
        <v>1.87</v>
      </c>
      <c r="R75" s="98">
        <f t="shared" si="4"/>
        <v>74.540000000000006</v>
      </c>
      <c r="S75" s="98"/>
      <c r="T75" s="98"/>
      <c r="V75" s="16" t="s">
        <v>202</v>
      </c>
      <c r="W75" s="16">
        <v>5.21</v>
      </c>
      <c r="X75" s="16"/>
      <c r="Y75" s="16">
        <v>1.89</v>
      </c>
      <c r="Z75">
        <f>7.35-2.85</f>
        <v>4.5</v>
      </c>
      <c r="AB75" s="16">
        <f t="shared" si="1"/>
        <v>7.1</v>
      </c>
      <c r="AC75" s="16"/>
    </row>
    <row r="76" spans="1:29" ht="15.75" customHeight="1">
      <c r="A76" s="87"/>
      <c r="B76" s="87"/>
      <c r="C76" s="87">
        <v>3</v>
      </c>
      <c r="D76" s="87" t="s">
        <v>79</v>
      </c>
      <c r="E76" s="98"/>
      <c r="F76" s="98"/>
      <c r="G76" s="98"/>
      <c r="H76" s="94">
        <v>9.1300000000000008</v>
      </c>
      <c r="I76" s="94">
        <v>1.45</v>
      </c>
      <c r="J76" s="94">
        <v>2.77</v>
      </c>
      <c r="K76" s="94">
        <v>2.95</v>
      </c>
      <c r="L76" s="98"/>
      <c r="M76" s="94">
        <v>24.33</v>
      </c>
      <c r="N76" s="94">
        <v>12.13</v>
      </c>
      <c r="O76" s="94">
        <v>2.61</v>
      </c>
      <c r="P76" s="98"/>
      <c r="Q76" s="94">
        <v>3.4</v>
      </c>
      <c r="R76" s="98">
        <f t="shared" si="4"/>
        <v>55.37</v>
      </c>
      <c r="S76" s="98"/>
      <c r="T76" s="98"/>
      <c r="V76" s="16" t="s">
        <v>202</v>
      </c>
      <c r="W76" s="16">
        <v>13.97</v>
      </c>
      <c r="X76" s="16"/>
      <c r="Y76" s="16">
        <f>4.83-2.85</f>
        <v>1.98</v>
      </c>
      <c r="Z76">
        <f>7.9-2.85</f>
        <v>5.0500000000000007</v>
      </c>
      <c r="AB76" s="16">
        <f t="shared" si="1"/>
        <v>15.950000000000001</v>
      </c>
      <c r="AC76" s="16"/>
    </row>
    <row r="77" spans="1:29" ht="15.75" customHeight="1">
      <c r="A77" s="87"/>
      <c r="B77" s="87"/>
      <c r="C77" s="87">
        <v>3</v>
      </c>
      <c r="D77" s="87" t="s">
        <v>88</v>
      </c>
      <c r="E77" s="94">
        <v>2.89</v>
      </c>
      <c r="F77" s="94">
        <v>2.66</v>
      </c>
      <c r="G77" s="94"/>
      <c r="H77" s="94">
        <v>12.54</v>
      </c>
      <c r="I77" s="98"/>
      <c r="J77" s="94">
        <v>20.02</v>
      </c>
      <c r="K77" s="94">
        <v>3.99</v>
      </c>
      <c r="L77" s="98"/>
      <c r="M77" s="94">
        <v>11.16</v>
      </c>
      <c r="N77" s="94">
        <v>23.06</v>
      </c>
      <c r="O77" s="94">
        <v>2.71</v>
      </c>
      <c r="P77" s="98"/>
      <c r="Q77" s="94">
        <v>7.36</v>
      </c>
      <c r="R77" s="98">
        <f t="shared" si="4"/>
        <v>79.03</v>
      </c>
      <c r="S77" s="98"/>
      <c r="T77" s="98"/>
      <c r="V77" s="16" t="s">
        <v>202</v>
      </c>
      <c r="W77" s="115"/>
      <c r="X77" s="115"/>
      <c r="Y77" s="115"/>
      <c r="Z77" s="115"/>
      <c r="AA77" s="115"/>
      <c r="AB77" s="16">
        <f t="shared" si="1"/>
        <v>0</v>
      </c>
      <c r="AC77" s="16">
        <f>SUM(AB73:AB77)/5</f>
        <v>10.034000000000001</v>
      </c>
    </row>
    <row r="78" spans="1:29" ht="15.75" customHeight="1">
      <c r="A78" s="87"/>
      <c r="B78" s="87"/>
      <c r="C78" s="87">
        <v>4</v>
      </c>
      <c r="D78" s="87" t="s">
        <v>83</v>
      </c>
      <c r="E78" s="94">
        <v>2.5299999999999998</v>
      </c>
      <c r="F78" s="94">
        <v>4.92</v>
      </c>
      <c r="G78" s="98"/>
      <c r="H78" s="94">
        <v>18.98</v>
      </c>
      <c r="I78" s="94">
        <v>2.5099999999999998</v>
      </c>
      <c r="J78" s="94">
        <v>4.99</v>
      </c>
      <c r="K78" s="94">
        <v>1.24</v>
      </c>
      <c r="L78" s="94">
        <v>3.06</v>
      </c>
      <c r="M78" s="94">
        <v>2.8</v>
      </c>
      <c r="N78" s="94">
        <v>25.05</v>
      </c>
      <c r="O78" s="94">
        <v>3.19</v>
      </c>
      <c r="P78" s="98"/>
      <c r="Q78" s="94">
        <v>3.48</v>
      </c>
      <c r="R78" s="98">
        <f t="shared" si="4"/>
        <v>69.27</v>
      </c>
      <c r="S78" s="98"/>
      <c r="T78" s="94" t="s">
        <v>92</v>
      </c>
      <c r="U78" s="16"/>
      <c r="V78" s="16" t="s">
        <v>202</v>
      </c>
      <c r="W78" s="16">
        <v>4.54</v>
      </c>
      <c r="X78" s="16"/>
      <c r="Y78" s="16">
        <v>3.46</v>
      </c>
      <c r="Z78">
        <f>6.71-2.85</f>
        <v>3.86</v>
      </c>
      <c r="AB78" s="16">
        <f t="shared" si="1"/>
        <v>8</v>
      </c>
      <c r="AC78" s="16"/>
    </row>
    <row r="79" spans="1:29" ht="15.75" customHeight="1">
      <c r="A79" s="87"/>
      <c r="B79" s="87"/>
      <c r="C79" s="87">
        <v>4</v>
      </c>
      <c r="D79" s="87" t="s">
        <v>85</v>
      </c>
      <c r="E79" s="98"/>
      <c r="F79" s="98"/>
      <c r="G79" s="98"/>
      <c r="H79" s="98">
        <f>13.22-7.83</f>
        <v>5.3900000000000006</v>
      </c>
      <c r="I79" s="94">
        <v>1.57</v>
      </c>
      <c r="J79" s="98">
        <f>34.86-20.95</f>
        <v>13.91</v>
      </c>
      <c r="K79" s="94">
        <v>1.0900000000000001</v>
      </c>
      <c r="L79" s="98"/>
      <c r="M79" s="98">
        <f>42.22-20.95</f>
        <v>21.27</v>
      </c>
      <c r="N79" s="98">
        <f>24.41-20.95</f>
        <v>3.4600000000000009</v>
      </c>
      <c r="O79" s="98">
        <f>4.05-2.49</f>
        <v>1.5599999999999996</v>
      </c>
      <c r="P79" s="98"/>
      <c r="Q79" s="98">
        <f>2.17-1.45</f>
        <v>0.72</v>
      </c>
      <c r="R79" s="98">
        <f t="shared" si="4"/>
        <v>48.250000000000007</v>
      </c>
      <c r="S79" s="98"/>
      <c r="T79" s="98"/>
      <c r="V79" s="16" t="s">
        <v>202</v>
      </c>
      <c r="W79" s="16">
        <v>6.69</v>
      </c>
      <c r="X79" s="16"/>
      <c r="Y79">
        <f>6.54-2.85</f>
        <v>3.69</v>
      </c>
      <c r="Z79" s="105"/>
      <c r="AA79" s="105"/>
      <c r="AB79" s="16">
        <f t="shared" si="1"/>
        <v>10.38</v>
      </c>
      <c r="AC79" s="16"/>
    </row>
    <row r="80" spans="1:29" ht="15.75" customHeight="1">
      <c r="A80" s="87"/>
      <c r="B80" s="87"/>
      <c r="C80" s="87">
        <v>4</v>
      </c>
      <c r="D80" s="87" t="s">
        <v>87</v>
      </c>
      <c r="E80" s="94">
        <v>0.03</v>
      </c>
      <c r="F80" s="94">
        <v>0.21</v>
      </c>
      <c r="G80" s="98"/>
      <c r="H80" s="94">
        <v>13.79</v>
      </c>
      <c r="I80" s="94">
        <v>0.15</v>
      </c>
      <c r="J80" s="94">
        <v>25.26</v>
      </c>
      <c r="K80" s="94">
        <v>0.56000000000000005</v>
      </c>
      <c r="L80" s="94">
        <v>0.64</v>
      </c>
      <c r="M80" s="94">
        <v>8.3000000000000007</v>
      </c>
      <c r="N80" s="94">
        <v>28.91</v>
      </c>
      <c r="O80" s="94">
        <v>1.41</v>
      </c>
      <c r="P80" s="98"/>
      <c r="Q80" s="94">
        <f>3.59-2.49</f>
        <v>1.0999999999999996</v>
      </c>
      <c r="R80" s="98">
        <f t="shared" si="4"/>
        <v>79.259999999999991</v>
      </c>
      <c r="S80" s="98"/>
      <c r="T80" s="98"/>
      <c r="V80" s="16" t="s">
        <v>202</v>
      </c>
      <c r="W80" s="16">
        <v>4.28</v>
      </c>
      <c r="X80" s="16"/>
      <c r="Y80">
        <f>5.63-2.85</f>
        <v>2.78</v>
      </c>
      <c r="Z80" s="16">
        <v>5.92</v>
      </c>
      <c r="AA80" s="16"/>
      <c r="AB80" s="16">
        <f t="shared" si="1"/>
        <v>7.0600000000000005</v>
      </c>
      <c r="AC80" s="16"/>
    </row>
    <row r="81" spans="1:29" ht="15.75" customHeight="1">
      <c r="A81" s="87"/>
      <c r="B81" s="87"/>
      <c r="C81" s="87">
        <v>4</v>
      </c>
      <c r="D81" s="87" t="s">
        <v>79</v>
      </c>
      <c r="E81" s="98"/>
      <c r="F81" s="94">
        <v>0.84</v>
      </c>
      <c r="G81" s="98"/>
      <c r="H81" s="94">
        <v>12.61</v>
      </c>
      <c r="I81" s="94">
        <v>0.1</v>
      </c>
      <c r="J81" s="94">
        <v>6.12</v>
      </c>
      <c r="K81" s="94">
        <v>0.25</v>
      </c>
      <c r="L81" s="94">
        <v>0.22</v>
      </c>
      <c r="M81" s="94">
        <v>6.8</v>
      </c>
      <c r="N81" s="94">
        <v>36.28</v>
      </c>
      <c r="O81" s="94">
        <v>1.57</v>
      </c>
      <c r="P81" s="98"/>
      <c r="Q81" s="98"/>
      <c r="R81" s="98">
        <f t="shared" si="4"/>
        <v>64.789999999999992</v>
      </c>
      <c r="S81" s="98"/>
      <c r="T81" s="98"/>
      <c r="V81" s="16" t="s">
        <v>202</v>
      </c>
      <c r="W81" s="16">
        <v>4.96</v>
      </c>
      <c r="X81" s="16"/>
      <c r="Y81">
        <f>3.69-2.85</f>
        <v>0.83999999999999986</v>
      </c>
      <c r="Z81">
        <f>5.71-2.85</f>
        <v>2.86</v>
      </c>
      <c r="AB81" s="16">
        <f t="shared" si="1"/>
        <v>5.8</v>
      </c>
      <c r="AC81" s="16"/>
    </row>
    <row r="82" spans="1:29" ht="15.75" customHeight="1">
      <c r="A82" s="87"/>
      <c r="B82" s="87"/>
      <c r="C82" s="87">
        <v>4</v>
      </c>
      <c r="D82" s="87" t="s">
        <v>88</v>
      </c>
      <c r="E82" s="98"/>
      <c r="F82" s="94">
        <v>1.67</v>
      </c>
      <c r="G82" s="98"/>
      <c r="H82" s="94">
        <v>12.76</v>
      </c>
      <c r="I82" s="94">
        <v>1.53</v>
      </c>
      <c r="J82" s="94">
        <v>34.49</v>
      </c>
      <c r="K82" s="94">
        <v>3.52</v>
      </c>
      <c r="L82" s="98"/>
      <c r="M82" s="94">
        <v>6.99</v>
      </c>
      <c r="N82" s="94">
        <v>17.5</v>
      </c>
      <c r="O82" s="94">
        <v>1.72</v>
      </c>
      <c r="P82" s="98"/>
      <c r="Q82" s="94">
        <v>1.94</v>
      </c>
      <c r="R82" s="98">
        <f t="shared" si="4"/>
        <v>80.180000000000007</v>
      </c>
      <c r="S82" s="98"/>
      <c r="T82" s="98"/>
      <c r="V82" s="16" t="s">
        <v>202</v>
      </c>
      <c r="W82" s="16">
        <v>7.28</v>
      </c>
      <c r="X82" s="16"/>
      <c r="Y82">
        <f>4.06-2.85</f>
        <v>1.2099999999999995</v>
      </c>
      <c r="Z82">
        <f>6.97-2.85</f>
        <v>4.1199999999999992</v>
      </c>
      <c r="AB82" s="16">
        <f t="shared" si="1"/>
        <v>8.49</v>
      </c>
      <c r="AC82" s="16">
        <f>SUM('Spring 2016 (Found on Spring 20'!D5:D9)/5</f>
        <v>14.561760439560439</v>
      </c>
    </row>
    <row r="83" spans="1:29" ht="15.75" customHeight="1">
      <c r="A83" s="87" t="s">
        <v>78</v>
      </c>
      <c r="B83" s="87" t="s">
        <v>102</v>
      </c>
      <c r="C83" s="87">
        <v>1</v>
      </c>
      <c r="D83" s="87" t="s">
        <v>83</v>
      </c>
      <c r="E83" s="94">
        <v>5.58</v>
      </c>
      <c r="F83" s="98"/>
      <c r="G83" s="98"/>
      <c r="H83" s="94">
        <v>20.64</v>
      </c>
      <c r="I83" s="98"/>
      <c r="J83" s="98"/>
      <c r="K83" s="94">
        <v>7.2</v>
      </c>
      <c r="L83" s="98"/>
      <c r="M83" s="94">
        <v>0.14000000000000001</v>
      </c>
      <c r="N83" s="94">
        <v>0.79</v>
      </c>
      <c r="O83" s="94">
        <v>0.17</v>
      </c>
      <c r="P83" s="94"/>
      <c r="Q83" s="94">
        <v>2.5</v>
      </c>
      <c r="R83" s="98">
        <f t="shared" si="4"/>
        <v>34.520000000000003</v>
      </c>
      <c r="S83" s="98"/>
      <c r="T83" s="94" t="s">
        <v>93</v>
      </c>
      <c r="U83" s="16"/>
      <c r="V83" s="16">
        <v>1.04</v>
      </c>
      <c r="W83" s="16">
        <f>20.72-7.34</f>
        <v>13.379999999999999</v>
      </c>
      <c r="X83" s="16"/>
      <c r="Y83" s="16">
        <v>0.81</v>
      </c>
      <c r="Z83" s="16">
        <v>7.2</v>
      </c>
      <c r="AA83" s="16"/>
      <c r="AB83" s="16">
        <f t="shared" ref="AB83:AB122" si="7">W83+Y83+V83</f>
        <v>15.23</v>
      </c>
      <c r="AC83" s="16"/>
    </row>
    <row r="84" spans="1:29" ht="15.75" customHeight="1">
      <c r="A84" s="87"/>
      <c r="B84" s="87"/>
      <c r="C84" s="87">
        <v>1</v>
      </c>
      <c r="D84" s="87" t="s">
        <v>85</v>
      </c>
      <c r="E84" s="94">
        <v>1.04</v>
      </c>
      <c r="F84" s="98"/>
      <c r="G84" s="98"/>
      <c r="H84" s="94">
        <v>32.369999999999997</v>
      </c>
      <c r="I84" s="98"/>
      <c r="J84" s="98"/>
      <c r="K84" s="94">
        <v>28.07</v>
      </c>
      <c r="L84" s="98"/>
      <c r="M84" s="94">
        <v>1.67</v>
      </c>
      <c r="N84" s="94">
        <v>1.93</v>
      </c>
      <c r="O84" s="94">
        <v>0.1</v>
      </c>
      <c r="P84" s="98"/>
      <c r="Q84" s="94">
        <v>0.53</v>
      </c>
      <c r="R84" s="98">
        <f t="shared" si="4"/>
        <v>65.179999999999993</v>
      </c>
      <c r="S84" s="98"/>
      <c r="T84" s="98"/>
      <c r="V84">
        <f>11.88-7.34</f>
        <v>4.5400000000000009</v>
      </c>
      <c r="W84" s="110">
        <v>0</v>
      </c>
      <c r="X84" s="110"/>
      <c r="Y84" s="16">
        <v>2.2400000000000002</v>
      </c>
      <c r="Z84" s="16">
        <v>1.92</v>
      </c>
      <c r="AA84" s="16"/>
      <c r="AB84" s="16">
        <f t="shared" si="7"/>
        <v>6.7800000000000011</v>
      </c>
      <c r="AC84" s="16"/>
    </row>
    <row r="85" spans="1:29" ht="15.75" customHeight="1">
      <c r="A85" s="87"/>
      <c r="B85" s="87"/>
      <c r="C85" s="87">
        <v>1</v>
      </c>
      <c r="D85" s="87" t="s">
        <v>87</v>
      </c>
      <c r="E85" s="94">
        <v>0.55000000000000004</v>
      </c>
      <c r="F85" s="98"/>
      <c r="G85" s="98"/>
      <c r="H85" s="94">
        <v>32.450000000000003</v>
      </c>
      <c r="I85" s="98"/>
      <c r="J85" s="98"/>
      <c r="K85" s="94">
        <v>19.899999999999999</v>
      </c>
      <c r="L85" s="98"/>
      <c r="M85" s="94">
        <v>0.53</v>
      </c>
      <c r="N85" s="98"/>
      <c r="O85" s="98"/>
      <c r="P85" s="98"/>
      <c r="Q85" s="94">
        <v>0.9</v>
      </c>
      <c r="R85" s="98">
        <f t="shared" si="4"/>
        <v>53.43</v>
      </c>
      <c r="S85" s="98"/>
      <c r="T85" s="98"/>
      <c r="V85" s="16">
        <v>1.89</v>
      </c>
      <c r="W85" s="16">
        <v>9.2200000000000006</v>
      </c>
      <c r="X85" s="16"/>
      <c r="Y85" s="16">
        <v>0.17</v>
      </c>
      <c r="Z85" s="105"/>
      <c r="AA85" s="105"/>
      <c r="AB85" s="16">
        <f t="shared" si="7"/>
        <v>11.280000000000001</v>
      </c>
      <c r="AC85" s="16"/>
    </row>
    <row r="86" spans="1:29" ht="15.75" customHeight="1">
      <c r="A86" s="87"/>
      <c r="B86" s="87"/>
      <c r="C86" s="87">
        <v>1</v>
      </c>
      <c r="D86" s="87" t="s">
        <v>79</v>
      </c>
      <c r="E86" s="98"/>
      <c r="F86" s="98"/>
      <c r="G86" s="98"/>
      <c r="H86" s="94">
        <v>35.43</v>
      </c>
      <c r="I86" s="94">
        <v>0.08</v>
      </c>
      <c r="J86" s="94">
        <v>0.55000000000000004</v>
      </c>
      <c r="K86" s="94">
        <v>23.62</v>
      </c>
      <c r="L86" s="98"/>
      <c r="M86" s="94">
        <v>0.83</v>
      </c>
      <c r="N86" s="94">
        <v>0.71</v>
      </c>
      <c r="O86" s="98"/>
      <c r="P86" s="98"/>
      <c r="Q86" s="94">
        <v>0.57999999999999996</v>
      </c>
      <c r="R86" s="98">
        <f t="shared" si="4"/>
        <v>61.219999999999992</v>
      </c>
      <c r="S86" s="98"/>
      <c r="T86" s="98"/>
      <c r="V86">
        <f>8.63-7.34</f>
        <v>1.2900000000000009</v>
      </c>
      <c r="W86" s="16">
        <v>13.17</v>
      </c>
      <c r="X86" s="16"/>
      <c r="Y86" s="16">
        <v>0.64</v>
      </c>
      <c r="Z86" s="16">
        <v>5.65</v>
      </c>
      <c r="AA86" s="16"/>
      <c r="AB86" s="16">
        <f t="shared" si="7"/>
        <v>15.100000000000001</v>
      </c>
      <c r="AC86" s="16"/>
    </row>
    <row r="87" spans="1:29" ht="15.75" customHeight="1">
      <c r="A87" s="87"/>
      <c r="B87" s="87"/>
      <c r="C87" s="87">
        <v>1</v>
      </c>
      <c r="D87" s="87" t="s">
        <v>88</v>
      </c>
      <c r="E87" s="94">
        <v>15.49</v>
      </c>
      <c r="F87" s="98"/>
      <c r="G87" s="98"/>
      <c r="H87" s="94">
        <v>29.04</v>
      </c>
      <c r="I87" s="98"/>
      <c r="J87" s="94">
        <v>0.52</v>
      </c>
      <c r="K87" s="94">
        <v>23.31</v>
      </c>
      <c r="L87" s="98"/>
      <c r="M87" s="94">
        <v>0.59</v>
      </c>
      <c r="N87" s="98"/>
      <c r="O87" s="98"/>
      <c r="P87" s="98"/>
      <c r="Q87" s="94">
        <v>2.21</v>
      </c>
      <c r="R87" s="98">
        <f t="shared" si="4"/>
        <v>68.95</v>
      </c>
      <c r="S87" s="98"/>
      <c r="T87" s="98"/>
      <c r="V87" s="16">
        <v>0.57999999999999996</v>
      </c>
      <c r="W87" s="16">
        <v>7.63</v>
      </c>
      <c r="X87" s="16"/>
      <c r="Y87" s="16">
        <v>1.22</v>
      </c>
      <c r="Z87" s="16">
        <v>2.64</v>
      </c>
      <c r="AA87" s="16"/>
      <c r="AB87" s="16">
        <f t="shared" si="7"/>
        <v>9.43</v>
      </c>
      <c r="AC87" s="16">
        <f>SUM(AB83:AB87)/5</f>
        <v>11.564000000000002</v>
      </c>
    </row>
    <row r="88" spans="1:29" ht="15.75" customHeight="1">
      <c r="A88" s="87"/>
      <c r="B88" s="87"/>
      <c r="C88" s="87">
        <v>2</v>
      </c>
      <c r="D88" s="87" t="s">
        <v>83</v>
      </c>
      <c r="E88" s="98"/>
      <c r="F88" s="98"/>
      <c r="G88" s="98"/>
      <c r="H88" s="94">
        <v>39.04</v>
      </c>
      <c r="I88" s="98"/>
      <c r="J88" s="94">
        <v>2.38</v>
      </c>
      <c r="K88" s="94">
        <v>3.06</v>
      </c>
      <c r="L88" s="94">
        <v>1.58</v>
      </c>
      <c r="M88" s="98"/>
      <c r="N88" s="94">
        <v>1.28</v>
      </c>
      <c r="O88" s="98"/>
      <c r="P88" s="98"/>
      <c r="Q88" s="94">
        <v>0.74</v>
      </c>
      <c r="R88" s="98">
        <f t="shared" si="4"/>
        <v>47.34</v>
      </c>
      <c r="S88" s="98"/>
      <c r="T88" s="94" t="s">
        <v>90</v>
      </c>
      <c r="U88" s="16"/>
      <c r="V88" s="16">
        <v>0.09</v>
      </c>
      <c r="W88" s="16">
        <f>27.05-19.89</f>
        <v>7.16</v>
      </c>
      <c r="X88" s="16"/>
      <c r="Y88" s="16">
        <v>0.63</v>
      </c>
      <c r="Z88" s="16">
        <v>4.82</v>
      </c>
      <c r="AA88" s="16"/>
      <c r="AB88" s="16">
        <f t="shared" si="7"/>
        <v>7.88</v>
      </c>
      <c r="AC88" s="16"/>
    </row>
    <row r="89" spans="1:29" ht="15.75" customHeight="1">
      <c r="A89" s="87"/>
      <c r="B89" s="87"/>
      <c r="C89" s="87">
        <v>2</v>
      </c>
      <c r="D89" s="87" t="s">
        <v>85</v>
      </c>
      <c r="E89" s="94">
        <v>15.81</v>
      </c>
      <c r="F89" s="98"/>
      <c r="G89" s="98"/>
      <c r="H89" s="94">
        <v>26.7</v>
      </c>
      <c r="I89" s="94">
        <v>0.21</v>
      </c>
      <c r="J89" s="98"/>
      <c r="K89" s="94">
        <v>23.08</v>
      </c>
      <c r="L89" s="94">
        <v>0.31</v>
      </c>
      <c r="M89" s="98"/>
      <c r="N89" s="98"/>
      <c r="O89" s="94">
        <v>1.91</v>
      </c>
      <c r="P89" s="98"/>
      <c r="Q89" s="94">
        <v>0.69</v>
      </c>
      <c r="R89" s="98">
        <f t="shared" si="4"/>
        <v>68.02</v>
      </c>
      <c r="S89" s="98"/>
      <c r="T89" s="98"/>
      <c r="V89" s="16">
        <v>1.1599999999999999</v>
      </c>
      <c r="W89">
        <f>34.23-19.89</f>
        <v>14.339999999999996</v>
      </c>
      <c r="Y89" s="16">
        <v>1.03</v>
      </c>
      <c r="Z89" s="16">
        <v>3.27</v>
      </c>
      <c r="AA89" s="16"/>
      <c r="AB89" s="16">
        <f t="shared" si="7"/>
        <v>16.529999999999994</v>
      </c>
      <c r="AC89" s="16"/>
    </row>
    <row r="90" spans="1:29" ht="15.75" customHeight="1">
      <c r="A90" s="87"/>
      <c r="B90" s="87"/>
      <c r="C90" s="87">
        <v>2</v>
      </c>
      <c r="D90" s="87" t="s">
        <v>87</v>
      </c>
      <c r="E90" s="94">
        <v>19.98</v>
      </c>
      <c r="F90" s="98"/>
      <c r="G90" s="98"/>
      <c r="H90" s="94">
        <v>33.68</v>
      </c>
      <c r="I90" s="98"/>
      <c r="J90" s="94">
        <v>0.35</v>
      </c>
      <c r="K90" s="94">
        <v>4.3600000000000003</v>
      </c>
      <c r="L90" s="94">
        <v>7.53</v>
      </c>
      <c r="M90" s="94">
        <v>0.32</v>
      </c>
      <c r="N90" s="94">
        <v>0.35</v>
      </c>
      <c r="O90" s="94">
        <v>1.28</v>
      </c>
      <c r="P90" s="98"/>
      <c r="Q90" s="94">
        <v>1.9</v>
      </c>
      <c r="R90" s="98">
        <f t="shared" si="4"/>
        <v>67.84999999999998</v>
      </c>
      <c r="S90" s="98"/>
      <c r="T90" s="98"/>
      <c r="V90" s="16">
        <v>0.83</v>
      </c>
      <c r="W90" s="16">
        <v>10.89</v>
      </c>
      <c r="X90" s="16"/>
      <c r="Y90" s="16">
        <v>0.31</v>
      </c>
      <c r="Z90" s="16">
        <v>4.38</v>
      </c>
      <c r="AA90" s="16"/>
      <c r="AB90" s="16">
        <f t="shared" si="7"/>
        <v>12.030000000000001</v>
      </c>
      <c r="AC90" s="16"/>
    </row>
    <row r="91" spans="1:29" ht="15.75" customHeight="1">
      <c r="A91" s="87"/>
      <c r="B91" s="87"/>
      <c r="C91" s="87">
        <v>2</v>
      </c>
      <c r="D91" s="87" t="s">
        <v>79</v>
      </c>
      <c r="E91" s="94">
        <v>7.46</v>
      </c>
      <c r="F91" s="98"/>
      <c r="G91" s="98"/>
      <c r="H91" s="94">
        <v>17.95</v>
      </c>
      <c r="I91" s="98"/>
      <c r="J91" s="98"/>
      <c r="K91" s="94">
        <v>16.350000000000001</v>
      </c>
      <c r="L91" s="94">
        <v>3.47</v>
      </c>
      <c r="M91" s="98"/>
      <c r="N91" s="98"/>
      <c r="O91" s="98"/>
      <c r="P91" s="98"/>
      <c r="Q91" s="94">
        <v>0.42</v>
      </c>
      <c r="R91" s="98">
        <f t="shared" si="4"/>
        <v>45.230000000000004</v>
      </c>
      <c r="S91" s="98"/>
      <c r="T91" s="98"/>
      <c r="V91" s="105"/>
      <c r="W91">
        <f>39.61-19.89</f>
        <v>19.72</v>
      </c>
      <c r="Y91" s="16">
        <v>0.42</v>
      </c>
      <c r="Z91" s="16">
        <v>5.68</v>
      </c>
      <c r="AA91" s="16"/>
      <c r="AB91" s="16">
        <f t="shared" si="7"/>
        <v>20.14</v>
      </c>
      <c r="AC91" s="16"/>
    </row>
    <row r="92" spans="1:29" ht="15.75" customHeight="1">
      <c r="A92" s="87"/>
      <c r="B92" s="87"/>
      <c r="C92" s="87">
        <v>2</v>
      </c>
      <c r="D92" s="87" t="s">
        <v>88</v>
      </c>
      <c r="E92" s="94">
        <v>6.94</v>
      </c>
      <c r="F92" s="98"/>
      <c r="G92" s="98"/>
      <c r="H92" s="94">
        <v>24.08</v>
      </c>
      <c r="I92" s="98"/>
      <c r="J92" s="98"/>
      <c r="K92" s="94">
        <v>7.6</v>
      </c>
      <c r="L92" s="98"/>
      <c r="M92" s="94">
        <v>1.35</v>
      </c>
      <c r="N92" s="94">
        <v>1.21</v>
      </c>
      <c r="O92" s="94">
        <v>0.54</v>
      </c>
      <c r="P92" s="98"/>
      <c r="Q92" s="94">
        <v>0.38</v>
      </c>
      <c r="R92" s="98">
        <f t="shared" si="4"/>
        <v>41.72</v>
      </c>
      <c r="S92" s="98"/>
      <c r="T92" s="98"/>
      <c r="V92" s="16">
        <v>0.38</v>
      </c>
      <c r="W92" s="16">
        <v>5.75</v>
      </c>
      <c r="X92" s="16"/>
      <c r="Y92" s="16">
        <v>0.74</v>
      </c>
      <c r="Z92" s="16">
        <v>3.01</v>
      </c>
      <c r="AA92" s="16"/>
      <c r="AB92" s="16">
        <f t="shared" si="7"/>
        <v>6.87</v>
      </c>
      <c r="AC92" s="16">
        <f>SUM(AB88:AB92)/5</f>
        <v>12.69</v>
      </c>
    </row>
    <row r="93" spans="1:29" ht="15.75" customHeight="1">
      <c r="A93" s="87"/>
      <c r="B93" s="87"/>
      <c r="C93" s="87">
        <v>3</v>
      </c>
      <c r="D93" s="87" t="s">
        <v>83</v>
      </c>
      <c r="E93" s="98"/>
      <c r="F93" s="98"/>
      <c r="G93" s="98"/>
      <c r="H93" s="94">
        <v>28.01</v>
      </c>
      <c r="I93" s="98"/>
      <c r="J93" s="94">
        <v>1.1399999999999999</v>
      </c>
      <c r="K93" s="94">
        <v>14.82</v>
      </c>
      <c r="L93" s="98"/>
      <c r="M93" s="98"/>
      <c r="N93" s="94">
        <v>0.88</v>
      </c>
      <c r="O93" s="94">
        <v>0.01</v>
      </c>
      <c r="P93" s="98"/>
      <c r="Q93" s="94">
        <v>0.56999999999999995</v>
      </c>
      <c r="R93" s="98">
        <f t="shared" si="4"/>
        <v>44.86</v>
      </c>
      <c r="S93" s="98"/>
      <c r="T93" s="94" t="s">
        <v>92</v>
      </c>
      <c r="U93" s="16"/>
      <c r="V93" s="16">
        <v>2.44</v>
      </c>
      <c r="W93" s="16">
        <v>39.24</v>
      </c>
      <c r="X93" s="16"/>
      <c r="Y93" s="16">
        <v>1.36</v>
      </c>
      <c r="Z93" s="16">
        <v>4.1399999999999997</v>
      </c>
      <c r="AA93" s="16"/>
      <c r="AB93" s="16">
        <f t="shared" si="7"/>
        <v>43.04</v>
      </c>
      <c r="AC93" s="16"/>
    </row>
    <row r="94" spans="1:29" ht="15.75" customHeight="1">
      <c r="A94" s="87"/>
      <c r="B94" s="87"/>
      <c r="C94" s="87">
        <v>3</v>
      </c>
      <c r="D94" s="87" t="s">
        <v>85</v>
      </c>
      <c r="E94" s="94">
        <v>0.2</v>
      </c>
      <c r="F94" s="98"/>
      <c r="G94" s="98"/>
      <c r="H94" s="94">
        <v>30.05</v>
      </c>
      <c r="I94" s="98"/>
      <c r="J94" s="94">
        <v>0.7</v>
      </c>
      <c r="K94" s="94">
        <v>10.87</v>
      </c>
      <c r="L94" s="98"/>
      <c r="M94" s="98"/>
      <c r="N94" s="94">
        <v>3.56</v>
      </c>
      <c r="O94" s="98"/>
      <c r="P94" s="94">
        <v>16.59</v>
      </c>
      <c r="Q94" s="94">
        <v>2.0699999999999998</v>
      </c>
      <c r="R94" s="98">
        <f t="shared" si="4"/>
        <v>61.97</v>
      </c>
      <c r="S94" s="98"/>
      <c r="T94" s="98"/>
      <c r="V94" s="16">
        <v>0.98</v>
      </c>
      <c r="W94" s="16">
        <v>45.72</v>
      </c>
      <c r="X94" s="16"/>
      <c r="Y94" s="16">
        <v>0.93</v>
      </c>
      <c r="Z94" s="16">
        <v>4.96</v>
      </c>
      <c r="AA94" s="16"/>
      <c r="AB94" s="16">
        <f t="shared" si="7"/>
        <v>47.629999999999995</v>
      </c>
      <c r="AC94" s="16"/>
    </row>
    <row r="95" spans="1:29" ht="15.75" customHeight="1">
      <c r="A95" s="87"/>
      <c r="B95" s="87"/>
      <c r="C95" s="87">
        <v>3</v>
      </c>
      <c r="D95" s="87" t="s">
        <v>87</v>
      </c>
      <c r="E95" s="94">
        <v>0.06</v>
      </c>
      <c r="F95" s="98"/>
      <c r="G95" s="98"/>
      <c r="H95" s="94">
        <v>23.97</v>
      </c>
      <c r="I95" s="98"/>
      <c r="J95" s="98"/>
      <c r="K95" s="94">
        <v>20.09</v>
      </c>
      <c r="L95" s="94">
        <v>0.15</v>
      </c>
      <c r="M95" s="94">
        <v>5.98</v>
      </c>
      <c r="N95" s="98"/>
      <c r="O95" s="98"/>
      <c r="P95" s="98"/>
      <c r="Q95" s="94">
        <v>0.76</v>
      </c>
      <c r="R95" s="98">
        <f t="shared" si="4"/>
        <v>50.25</v>
      </c>
      <c r="S95" s="98"/>
      <c r="T95" s="98"/>
      <c r="V95" s="16">
        <v>0.47</v>
      </c>
      <c r="W95" s="16">
        <v>5.95</v>
      </c>
      <c r="X95" s="16"/>
      <c r="Y95" s="16">
        <v>0.2</v>
      </c>
      <c r="Z95" s="16">
        <v>3.35</v>
      </c>
      <c r="AA95" s="16"/>
      <c r="AB95" s="16">
        <f t="shared" si="7"/>
        <v>6.62</v>
      </c>
      <c r="AC95" s="16"/>
    </row>
    <row r="96" spans="1:29" ht="15.75" customHeight="1">
      <c r="A96" s="87"/>
      <c r="B96" s="87"/>
      <c r="C96" s="87">
        <v>3</v>
      </c>
      <c r="D96" s="87" t="s">
        <v>79</v>
      </c>
      <c r="E96" s="94">
        <v>0.31</v>
      </c>
      <c r="F96" s="98"/>
      <c r="G96" s="98"/>
      <c r="H96" s="94">
        <v>32.36</v>
      </c>
      <c r="I96" s="98"/>
      <c r="J96" s="98"/>
      <c r="K96" s="94">
        <v>22.78</v>
      </c>
      <c r="L96" s="98"/>
      <c r="M96" s="94">
        <v>1.46</v>
      </c>
      <c r="N96" s="94">
        <v>2.11</v>
      </c>
      <c r="O96" s="94">
        <v>0.18</v>
      </c>
      <c r="P96" s="98"/>
      <c r="Q96" s="94">
        <v>1.23</v>
      </c>
      <c r="R96" s="98">
        <f t="shared" si="4"/>
        <v>59.2</v>
      </c>
      <c r="S96" s="98"/>
      <c r="T96" s="98"/>
      <c r="V96" s="16">
        <v>0.38</v>
      </c>
      <c r="W96">
        <f>29.88-14.38</f>
        <v>15.499999999999998</v>
      </c>
      <c r="Y96" s="16">
        <v>0.06</v>
      </c>
      <c r="Z96" s="16">
        <v>4.05</v>
      </c>
      <c r="AA96" s="16"/>
      <c r="AB96" s="16">
        <f t="shared" si="7"/>
        <v>15.94</v>
      </c>
      <c r="AC96" s="16"/>
    </row>
    <row r="97" spans="1:29" ht="15.75" customHeight="1">
      <c r="A97" s="87"/>
      <c r="B97" s="87"/>
      <c r="C97" s="87">
        <v>3</v>
      </c>
      <c r="D97" s="87" t="s">
        <v>88</v>
      </c>
      <c r="E97" s="94">
        <v>0.16</v>
      </c>
      <c r="F97" s="98"/>
      <c r="G97" s="94">
        <v>0.25</v>
      </c>
      <c r="H97" s="94">
        <v>28.12</v>
      </c>
      <c r="I97" s="98"/>
      <c r="J97" s="98"/>
      <c r="K97" s="94">
        <v>6.08</v>
      </c>
      <c r="L97" s="94">
        <v>0.43</v>
      </c>
      <c r="M97" s="94">
        <v>6.16</v>
      </c>
      <c r="N97" s="94">
        <v>2.1800000000000002</v>
      </c>
      <c r="O97" s="94">
        <v>1.0900000000000001</v>
      </c>
      <c r="P97" s="98"/>
      <c r="Q97" s="94">
        <v>0.45</v>
      </c>
      <c r="R97" s="98">
        <f t="shared" si="4"/>
        <v>44.470000000000006</v>
      </c>
      <c r="S97" s="98"/>
      <c r="T97" s="98"/>
      <c r="V97" s="16">
        <v>0.46</v>
      </c>
      <c r="W97">
        <f>53.04-19.89</f>
        <v>33.15</v>
      </c>
      <c r="Y97" s="16">
        <v>0.26</v>
      </c>
      <c r="Z97" s="16">
        <v>5.63</v>
      </c>
      <c r="AA97" s="16"/>
      <c r="AB97" s="16">
        <f t="shared" si="7"/>
        <v>33.869999999999997</v>
      </c>
      <c r="AC97" s="16">
        <f>SUM(AB93:AB97)/5</f>
        <v>29.419999999999998</v>
      </c>
    </row>
    <row r="98" spans="1:29" ht="15.75" customHeight="1">
      <c r="A98" s="87"/>
      <c r="B98" s="87"/>
      <c r="C98" s="87">
        <v>4</v>
      </c>
      <c r="D98" s="87" t="s">
        <v>83</v>
      </c>
      <c r="E98" s="98"/>
      <c r="F98" s="98"/>
      <c r="G98" s="98"/>
      <c r="H98" s="94">
        <v>43.89</v>
      </c>
      <c r="I98" s="98"/>
      <c r="J98" s="94">
        <v>6.23</v>
      </c>
      <c r="K98" s="94">
        <v>17.89</v>
      </c>
      <c r="L98" s="98"/>
      <c r="M98" s="94">
        <v>11.28</v>
      </c>
      <c r="N98" s="94">
        <v>7.13</v>
      </c>
      <c r="O98" s="94">
        <v>0.43</v>
      </c>
      <c r="P98" s="98"/>
      <c r="Q98" s="94">
        <v>3.1</v>
      </c>
      <c r="R98" s="98">
        <f t="shared" si="4"/>
        <v>86.850000000000009</v>
      </c>
      <c r="S98" s="98"/>
      <c r="T98" s="94" t="s">
        <v>142</v>
      </c>
      <c r="U98" s="16"/>
      <c r="V98" s="16">
        <v>0.83</v>
      </c>
      <c r="W98" s="16">
        <v>25.04</v>
      </c>
      <c r="X98" s="16"/>
      <c r="Y98" s="16">
        <v>0.59</v>
      </c>
      <c r="Z98" s="16">
        <v>6.04</v>
      </c>
      <c r="AA98" s="16"/>
      <c r="AB98" s="16">
        <f t="shared" si="7"/>
        <v>26.459999999999997</v>
      </c>
      <c r="AC98" s="16"/>
    </row>
    <row r="99" spans="1:29" ht="15.75" customHeight="1">
      <c r="A99" s="87"/>
      <c r="B99" s="87"/>
      <c r="C99" s="87">
        <v>4</v>
      </c>
      <c r="D99" s="87" t="s">
        <v>85</v>
      </c>
      <c r="E99" s="98"/>
      <c r="F99" s="98"/>
      <c r="G99" s="98"/>
      <c r="H99" s="94">
        <v>24.82</v>
      </c>
      <c r="I99" s="98"/>
      <c r="J99" s="94">
        <v>8.5399999999999991</v>
      </c>
      <c r="K99" s="94">
        <v>19.489999999999998</v>
      </c>
      <c r="L99" s="98"/>
      <c r="M99" s="98"/>
      <c r="N99" s="98"/>
      <c r="O99" s="98"/>
      <c r="P99" s="98"/>
      <c r="Q99" s="94">
        <v>0.62</v>
      </c>
      <c r="R99" s="98">
        <f t="shared" si="4"/>
        <v>52.849999999999994</v>
      </c>
      <c r="S99" s="98"/>
      <c r="T99" s="98"/>
      <c r="V99" s="16">
        <v>0.54</v>
      </c>
      <c r="W99" s="16">
        <v>6.7</v>
      </c>
      <c r="X99" s="16"/>
      <c r="Y99" s="16">
        <v>0.19</v>
      </c>
      <c r="Z99" s="16">
        <v>3.76</v>
      </c>
      <c r="AA99" s="16"/>
      <c r="AB99" s="16">
        <f t="shared" si="7"/>
        <v>7.4300000000000006</v>
      </c>
      <c r="AC99" s="16"/>
    </row>
    <row r="100" spans="1:29" ht="15.75" customHeight="1">
      <c r="A100" s="87"/>
      <c r="B100" s="87"/>
      <c r="C100" s="87">
        <v>4</v>
      </c>
      <c r="D100" s="87" t="s">
        <v>87</v>
      </c>
      <c r="E100" s="98"/>
      <c r="F100" s="98"/>
      <c r="G100" s="98"/>
      <c r="H100" s="94">
        <v>19.079999999999998</v>
      </c>
      <c r="I100" s="98"/>
      <c r="J100" s="94">
        <v>17.13</v>
      </c>
      <c r="K100" s="94">
        <v>20.170000000000002</v>
      </c>
      <c r="L100" s="98"/>
      <c r="M100" s="98"/>
      <c r="N100" s="94">
        <v>5.08</v>
      </c>
      <c r="O100" s="94">
        <v>0.69</v>
      </c>
      <c r="P100" s="98"/>
      <c r="Q100" s="94">
        <v>1.07</v>
      </c>
      <c r="R100" s="98">
        <f t="shared" si="4"/>
        <v>62.149999999999991</v>
      </c>
      <c r="S100" s="98"/>
      <c r="T100" s="98"/>
      <c r="V100" s="16">
        <v>0.32</v>
      </c>
      <c r="W100" s="16">
        <v>7.23</v>
      </c>
      <c r="X100" s="16"/>
      <c r="Y100" s="16">
        <v>0.27</v>
      </c>
      <c r="Z100" s="16">
        <v>8.0299999999999994</v>
      </c>
      <c r="AA100" s="16"/>
      <c r="AB100" s="16">
        <f t="shared" si="7"/>
        <v>7.82</v>
      </c>
      <c r="AC100" s="16"/>
    </row>
    <row r="101" spans="1:29" ht="15.75" customHeight="1">
      <c r="A101" s="87"/>
      <c r="B101" s="87"/>
      <c r="C101" s="87">
        <v>4</v>
      </c>
      <c r="D101" s="87" t="s">
        <v>79</v>
      </c>
      <c r="E101" s="98"/>
      <c r="F101" s="98"/>
      <c r="G101" s="98"/>
      <c r="H101" s="94">
        <v>34.01</v>
      </c>
      <c r="I101" s="98"/>
      <c r="J101" s="94">
        <v>1.06</v>
      </c>
      <c r="K101" s="94">
        <v>22.07</v>
      </c>
      <c r="L101" s="98"/>
      <c r="M101" s="94">
        <v>0.44</v>
      </c>
      <c r="N101" s="98"/>
      <c r="O101" s="98"/>
      <c r="P101" s="98"/>
      <c r="Q101" s="94">
        <v>2.39</v>
      </c>
      <c r="R101" s="98">
        <f t="shared" si="4"/>
        <v>57.58</v>
      </c>
      <c r="S101" s="98"/>
      <c r="T101" s="98"/>
      <c r="V101" s="16">
        <v>0.27</v>
      </c>
      <c r="W101" s="16">
        <v>11.47</v>
      </c>
      <c r="X101" s="16"/>
      <c r="Y101" s="105"/>
      <c r="Z101" s="16">
        <v>5.17</v>
      </c>
      <c r="AA101" s="16"/>
      <c r="AB101" s="16">
        <f t="shared" si="7"/>
        <v>11.74</v>
      </c>
      <c r="AC101" s="16"/>
    </row>
    <row r="102" spans="1:29" ht="15.75" customHeight="1">
      <c r="A102" s="87"/>
      <c r="B102" s="87"/>
      <c r="C102" s="87">
        <v>4</v>
      </c>
      <c r="D102" s="87" t="s">
        <v>88</v>
      </c>
      <c r="E102" s="98"/>
      <c r="F102" s="98"/>
      <c r="G102" s="98"/>
      <c r="H102" s="94">
        <v>29.38</v>
      </c>
      <c r="I102" s="98"/>
      <c r="J102" s="94">
        <v>0.64</v>
      </c>
      <c r="K102" s="94">
        <v>17.309999999999999</v>
      </c>
      <c r="L102" s="94">
        <v>0.74</v>
      </c>
      <c r="M102" s="98"/>
      <c r="N102" s="98"/>
      <c r="O102" s="94">
        <v>0.11</v>
      </c>
      <c r="P102" s="98"/>
      <c r="Q102" s="94">
        <v>0.06</v>
      </c>
      <c r="R102" s="98">
        <f t="shared" si="4"/>
        <v>48.18</v>
      </c>
      <c r="S102" s="98"/>
      <c r="T102" s="98"/>
      <c r="V102" s="16">
        <v>0.24</v>
      </c>
      <c r="W102" s="16">
        <v>5.96</v>
      </c>
      <c r="X102" s="16"/>
      <c r="Y102" s="16">
        <v>0.11</v>
      </c>
      <c r="Z102" s="16">
        <v>3.75</v>
      </c>
      <c r="AA102" s="16"/>
      <c r="AB102" s="16">
        <f t="shared" si="7"/>
        <v>6.3100000000000005</v>
      </c>
      <c r="AC102" s="16">
        <f>SUM(AB98:AB102)/5</f>
        <v>11.952000000000002</v>
      </c>
    </row>
    <row r="103" spans="1:29" ht="15.75" customHeight="1">
      <c r="A103" s="87" t="s">
        <v>78</v>
      </c>
      <c r="B103" s="87" t="s">
        <v>104</v>
      </c>
      <c r="C103" s="87">
        <v>1</v>
      </c>
      <c r="D103" s="87" t="s">
        <v>83</v>
      </c>
      <c r="E103" s="94">
        <v>8.8000000000000007</v>
      </c>
      <c r="F103" s="98"/>
      <c r="G103" s="98"/>
      <c r="H103" s="94">
        <v>20.85</v>
      </c>
      <c r="I103" s="98"/>
      <c r="J103" s="94">
        <v>4.4000000000000004</v>
      </c>
      <c r="K103" s="94">
        <v>10.62</v>
      </c>
      <c r="L103" s="98"/>
      <c r="M103" s="94">
        <v>1.05</v>
      </c>
      <c r="N103" s="94">
        <v>0.14000000000000001</v>
      </c>
      <c r="O103" s="94">
        <v>0.78</v>
      </c>
      <c r="P103" s="98"/>
      <c r="Q103" s="94">
        <v>2.69</v>
      </c>
      <c r="R103" s="98">
        <f t="shared" si="4"/>
        <v>46.64</v>
      </c>
      <c r="S103" s="98"/>
      <c r="T103" s="94" t="s">
        <v>92</v>
      </c>
      <c r="U103" s="16"/>
      <c r="V103" s="16">
        <v>1.02</v>
      </c>
      <c r="W103" s="16">
        <v>4.13</v>
      </c>
      <c r="X103" s="16"/>
      <c r="Y103" s="16">
        <v>0.62</v>
      </c>
      <c r="Z103" s="16">
        <v>4.1100000000000003</v>
      </c>
      <c r="AA103" s="16"/>
      <c r="AB103" s="16">
        <f t="shared" si="7"/>
        <v>5.77</v>
      </c>
      <c r="AC103" s="16"/>
    </row>
    <row r="104" spans="1:29" ht="15.75" customHeight="1">
      <c r="A104" s="87"/>
      <c r="B104" s="87"/>
      <c r="C104" s="87">
        <v>1</v>
      </c>
      <c r="D104" s="87" t="s">
        <v>85</v>
      </c>
      <c r="E104" s="94">
        <v>6.19</v>
      </c>
      <c r="F104" s="98"/>
      <c r="G104" s="98"/>
      <c r="H104" s="94">
        <v>15.15</v>
      </c>
      <c r="I104" s="98"/>
      <c r="J104" s="94">
        <v>0.13</v>
      </c>
      <c r="K104" s="94">
        <v>43.22</v>
      </c>
      <c r="L104" s="98"/>
      <c r="M104" s="98"/>
      <c r="N104" s="94">
        <v>0.51</v>
      </c>
      <c r="O104" s="94">
        <v>0.51</v>
      </c>
      <c r="P104" s="98"/>
      <c r="Q104" s="94">
        <v>1.29</v>
      </c>
      <c r="R104" s="98">
        <f t="shared" si="4"/>
        <v>65.710000000000008</v>
      </c>
      <c r="S104" s="98"/>
      <c r="T104" s="98"/>
      <c r="V104" s="16">
        <f>11.05-7.34</f>
        <v>3.7100000000000009</v>
      </c>
      <c r="W104" s="16">
        <f>33.07-19.89</f>
        <v>13.18</v>
      </c>
      <c r="X104" s="16"/>
      <c r="Y104" s="16">
        <v>0.44</v>
      </c>
      <c r="Z104" s="16">
        <v>4.0199999999999996</v>
      </c>
      <c r="AA104" s="16"/>
      <c r="AB104" s="16">
        <f t="shared" si="7"/>
        <v>17.329999999999998</v>
      </c>
      <c r="AC104" s="16"/>
    </row>
    <row r="105" spans="1:29" ht="15.75" customHeight="1">
      <c r="A105" s="87"/>
      <c r="B105" s="87"/>
      <c r="C105" s="87">
        <v>1</v>
      </c>
      <c r="D105" s="87" t="s">
        <v>87</v>
      </c>
      <c r="E105" s="98">
        <f>20.35-7.339</f>
        <v>13.011000000000001</v>
      </c>
      <c r="F105" s="98">
        <f>3.39-2.856</f>
        <v>0.53400000000000025</v>
      </c>
      <c r="G105" s="98"/>
      <c r="H105" s="98">
        <f>30.31-7.339</f>
        <v>22.970999999999997</v>
      </c>
      <c r="I105" s="98"/>
      <c r="J105" s="98"/>
      <c r="K105" s="98">
        <f>26.35-7.339</f>
        <v>19.011000000000003</v>
      </c>
      <c r="L105" s="98"/>
      <c r="M105" s="98"/>
      <c r="N105" s="98">
        <f>3.6-2.856</f>
        <v>0.74400000000000022</v>
      </c>
      <c r="O105" s="98">
        <f>4.99-2.856</f>
        <v>2.1340000000000003</v>
      </c>
      <c r="P105" s="98"/>
      <c r="Q105" s="98">
        <f>2.96-2.856</f>
        <v>0.10400000000000009</v>
      </c>
      <c r="R105" s="98">
        <f t="shared" si="4"/>
        <v>58.405000000000001</v>
      </c>
      <c r="S105" s="98"/>
      <c r="T105" s="98"/>
      <c r="V105" s="16">
        <v>0.53</v>
      </c>
      <c r="W105" s="16">
        <v>2.86</v>
      </c>
      <c r="X105" s="16"/>
      <c r="Y105" s="16">
        <v>0.24</v>
      </c>
      <c r="Z105" s="16">
        <v>1.62</v>
      </c>
      <c r="AA105" s="16"/>
      <c r="AB105" s="16">
        <f t="shared" si="7"/>
        <v>3.63</v>
      </c>
      <c r="AC105" s="16"/>
    </row>
    <row r="106" spans="1:29" ht="15.75" customHeight="1">
      <c r="A106" s="87"/>
      <c r="B106" s="87"/>
      <c r="C106" s="87">
        <v>1</v>
      </c>
      <c r="D106" s="87" t="s">
        <v>79</v>
      </c>
      <c r="E106" s="98"/>
      <c r="F106" s="98"/>
      <c r="G106" s="98"/>
      <c r="H106" s="94">
        <f>30.66-7.34</f>
        <v>23.32</v>
      </c>
      <c r="I106" s="98"/>
      <c r="J106" s="98"/>
      <c r="K106" s="98">
        <f>31.1-7.339</f>
        <v>23.761000000000003</v>
      </c>
      <c r="L106" s="98"/>
      <c r="M106" s="98"/>
      <c r="N106" s="98">
        <f>12.36-7.339</f>
        <v>5.020999999999999</v>
      </c>
      <c r="O106" s="98"/>
      <c r="P106" s="98"/>
      <c r="Q106" s="98">
        <f>4.32-2.856</f>
        <v>1.4640000000000004</v>
      </c>
      <c r="R106" s="98">
        <f t="shared" si="4"/>
        <v>52.102000000000004</v>
      </c>
      <c r="S106" s="98"/>
      <c r="T106" s="98"/>
      <c r="V106" s="16">
        <v>2.46</v>
      </c>
      <c r="W106">
        <f>42.98-19.89</f>
        <v>23.089999999999996</v>
      </c>
      <c r="Y106" s="16">
        <v>0.08</v>
      </c>
      <c r="Z106" s="16">
        <v>4.38</v>
      </c>
      <c r="AA106" s="16"/>
      <c r="AB106" s="16">
        <f t="shared" si="7"/>
        <v>25.629999999999995</v>
      </c>
      <c r="AC106" s="16"/>
    </row>
    <row r="107" spans="1:29" ht="15.75" customHeight="1">
      <c r="A107" s="87"/>
      <c r="B107" s="87"/>
      <c r="C107" s="87">
        <v>1</v>
      </c>
      <c r="D107" s="87" t="s">
        <v>88</v>
      </c>
      <c r="E107" s="98">
        <f>21.97-19.89</f>
        <v>2.0799999999999983</v>
      </c>
      <c r="F107" s="98"/>
      <c r="G107" s="98"/>
      <c r="H107" s="98">
        <f>44.94-19.89</f>
        <v>25.049999999999997</v>
      </c>
      <c r="I107" s="98"/>
      <c r="J107" s="98"/>
      <c r="K107" s="98">
        <f>50.96-19.89</f>
        <v>31.07</v>
      </c>
      <c r="L107" s="98"/>
      <c r="M107" s="98">
        <f>3.76-2.856</f>
        <v>0.90399999999999991</v>
      </c>
      <c r="N107" s="98">
        <f>5.38-2.856</f>
        <v>2.524</v>
      </c>
      <c r="O107" s="98">
        <f>3.01-2.856</f>
        <v>0.15399999999999991</v>
      </c>
      <c r="P107" s="98"/>
      <c r="Q107" s="98"/>
      <c r="R107" s="98">
        <f t="shared" si="4"/>
        <v>61.781999999999996</v>
      </c>
      <c r="S107" s="98"/>
      <c r="T107" s="98"/>
      <c r="V107" s="16">
        <v>0.23</v>
      </c>
      <c r="W107" s="16">
        <v>5.46</v>
      </c>
      <c r="X107" s="16"/>
      <c r="Y107" s="16">
        <v>0.22</v>
      </c>
      <c r="Z107" s="16">
        <v>4.09</v>
      </c>
      <c r="AA107" s="16"/>
      <c r="AB107" s="16">
        <f t="shared" si="7"/>
        <v>5.91</v>
      </c>
      <c r="AC107" s="16">
        <f>SUM(AB103:AB107)/5</f>
        <v>11.654</v>
      </c>
    </row>
    <row r="108" spans="1:29" ht="15.75" customHeight="1">
      <c r="A108" s="87"/>
      <c r="B108" s="87"/>
      <c r="C108" s="87">
        <v>2</v>
      </c>
      <c r="D108" s="87" t="s">
        <v>83</v>
      </c>
      <c r="E108" s="98">
        <f>15.26-7.339</f>
        <v>7.9209999999999994</v>
      </c>
      <c r="F108" s="98"/>
      <c r="G108" s="98"/>
      <c r="H108" s="94">
        <f>20.89-7.339</f>
        <v>13.551</v>
      </c>
      <c r="I108" s="98"/>
      <c r="J108" s="98"/>
      <c r="K108" s="98">
        <f>44.65-7.339</f>
        <v>37.311</v>
      </c>
      <c r="L108" s="98"/>
      <c r="M108" s="98">
        <f>9.8-7.339</f>
        <v>2.4610000000000003</v>
      </c>
      <c r="N108" s="98">
        <f>8.99-7.339</f>
        <v>1.6509999999999998</v>
      </c>
      <c r="O108" s="98">
        <f>9.23-7.339</f>
        <v>1.891</v>
      </c>
      <c r="P108" s="98"/>
      <c r="Q108" s="98">
        <f>4.46-2.856</f>
        <v>1.6040000000000001</v>
      </c>
      <c r="R108" s="98">
        <f t="shared" si="4"/>
        <v>64.786000000000001</v>
      </c>
      <c r="S108" s="98"/>
      <c r="T108" s="94" t="s">
        <v>142</v>
      </c>
      <c r="U108" s="16"/>
      <c r="V108" s="16">
        <f>9.28-7.34</f>
        <v>1.9399999999999995</v>
      </c>
      <c r="W108" s="16">
        <f>14.3-7.34</f>
        <v>6.9600000000000009</v>
      </c>
      <c r="X108" s="16"/>
      <c r="Y108" s="16">
        <v>0.36</v>
      </c>
      <c r="Z108" s="16">
        <v>6.7</v>
      </c>
      <c r="AA108" s="16"/>
      <c r="AB108" s="16">
        <f t="shared" si="7"/>
        <v>9.2600000000000016</v>
      </c>
      <c r="AC108" s="16"/>
    </row>
    <row r="109" spans="1:29" ht="15.75" customHeight="1">
      <c r="A109" s="87"/>
      <c r="B109" s="87"/>
      <c r="C109" s="87">
        <v>2</v>
      </c>
      <c r="D109" s="87" t="s">
        <v>85</v>
      </c>
      <c r="F109" s="98"/>
      <c r="G109" s="98"/>
      <c r="H109" s="98"/>
      <c r="I109" s="98"/>
      <c r="J109" s="98"/>
      <c r="K109" s="98"/>
      <c r="L109" s="98"/>
      <c r="M109" s="98"/>
      <c r="N109" s="98"/>
      <c r="O109" s="98"/>
      <c r="P109" s="98"/>
      <c r="Q109" s="98"/>
      <c r="R109" s="98"/>
      <c r="S109" s="98"/>
      <c r="T109" s="94" t="s">
        <v>291</v>
      </c>
      <c r="V109" s="16">
        <v>1.82</v>
      </c>
      <c r="W109">
        <f>28.52-19.89</f>
        <v>8.629999999999999</v>
      </c>
      <c r="Y109" s="16">
        <v>0.55000000000000004</v>
      </c>
      <c r="Z109" s="16">
        <v>3.99</v>
      </c>
      <c r="AA109" s="16"/>
      <c r="AB109" s="16">
        <f t="shared" si="7"/>
        <v>11</v>
      </c>
      <c r="AC109" s="16"/>
    </row>
    <row r="110" spans="1:29" ht="15.75" customHeight="1">
      <c r="A110" s="87"/>
      <c r="B110" s="87"/>
      <c r="C110" s="87">
        <v>2</v>
      </c>
      <c r="D110" s="87" t="s">
        <v>87</v>
      </c>
      <c r="E110" s="98"/>
      <c r="F110" s="98"/>
      <c r="G110" s="98"/>
      <c r="H110" s="98"/>
      <c r="I110" s="98"/>
      <c r="J110" s="98"/>
      <c r="K110" s="98"/>
      <c r="L110" s="98"/>
      <c r="M110" s="98"/>
      <c r="N110" s="98"/>
      <c r="O110" s="98"/>
      <c r="P110" s="98"/>
      <c r="Q110" s="98"/>
      <c r="R110" s="98"/>
      <c r="S110" s="98"/>
      <c r="T110" s="98"/>
      <c r="V110" s="16">
        <v>1.31</v>
      </c>
      <c r="W110">
        <f>25.21-19.89</f>
        <v>5.32</v>
      </c>
      <c r="Y110" s="16">
        <v>0.1</v>
      </c>
      <c r="Z110" s="16">
        <v>4.26</v>
      </c>
      <c r="AA110" s="16"/>
      <c r="AB110" s="16">
        <f t="shared" si="7"/>
        <v>6.73</v>
      </c>
      <c r="AC110" s="16"/>
    </row>
    <row r="111" spans="1:29" ht="15.75" customHeight="1">
      <c r="A111" s="87"/>
      <c r="B111" s="87"/>
      <c r="C111" s="87">
        <v>2</v>
      </c>
      <c r="D111" s="87" t="s">
        <v>79</v>
      </c>
      <c r="E111" s="98">
        <f>11.99-7.339</f>
        <v>4.6509999999999998</v>
      </c>
      <c r="F111" s="98"/>
      <c r="G111" s="98"/>
      <c r="H111" s="98">
        <f>35.93-7.339</f>
        <v>28.591000000000001</v>
      </c>
      <c r="I111" s="98"/>
      <c r="J111" s="98"/>
      <c r="K111" s="98">
        <f>26.24-19.89</f>
        <v>6.3499999999999979</v>
      </c>
      <c r="L111" s="98"/>
      <c r="M111" s="98"/>
      <c r="N111" s="98">
        <f>12.04-7.339</f>
        <v>4.7009999999999987</v>
      </c>
      <c r="O111" s="98">
        <f>2.22-1.74</f>
        <v>0.4800000000000002</v>
      </c>
      <c r="P111" s="98"/>
      <c r="Q111" s="98"/>
      <c r="R111" s="98">
        <f t="shared" ref="R111:R120" si="8">SUM(E111:P111)</f>
        <v>44.772999999999996</v>
      </c>
      <c r="S111" s="98"/>
      <c r="T111" s="98"/>
      <c r="V111" s="16">
        <v>0.26</v>
      </c>
      <c r="W111" s="16">
        <f>11.2-7.34</f>
        <v>3.8599999999999994</v>
      </c>
      <c r="X111" s="16"/>
      <c r="Y111" s="16">
        <v>0.47</v>
      </c>
      <c r="Z111" s="16">
        <v>3.44</v>
      </c>
      <c r="AA111" s="16"/>
      <c r="AB111" s="16">
        <f t="shared" si="7"/>
        <v>4.589999999999999</v>
      </c>
      <c r="AC111" s="16"/>
    </row>
    <row r="112" spans="1:29" ht="15.75" customHeight="1">
      <c r="A112" s="87"/>
      <c r="B112" s="87"/>
      <c r="C112" s="87">
        <v>2</v>
      </c>
      <c r="D112" s="87" t="s">
        <v>88</v>
      </c>
      <c r="E112" s="98">
        <f>18.42-E225</f>
        <v>4.0400000000000009</v>
      </c>
      <c r="F112" s="98"/>
      <c r="G112" s="98"/>
      <c r="H112" s="98">
        <f>35.7-E225</f>
        <v>21.32</v>
      </c>
      <c r="I112" s="98"/>
      <c r="J112" s="98"/>
      <c r="K112" s="98">
        <f>25.31-D225</f>
        <v>17.97</v>
      </c>
      <c r="L112" s="98"/>
      <c r="M112" s="98">
        <f>7.7-D225</f>
        <v>0.36000000000000032</v>
      </c>
      <c r="N112" s="98">
        <f>19.37-D225</f>
        <v>12.030000000000001</v>
      </c>
      <c r="O112" s="98">
        <f>1.79-B225</f>
        <v>5.0000000000000044E-2</v>
      </c>
      <c r="P112" s="98"/>
      <c r="Q112" s="98">
        <f>2.39-B225</f>
        <v>0.65000000000000013</v>
      </c>
      <c r="R112" s="98">
        <f t="shared" si="8"/>
        <v>55.769999999999996</v>
      </c>
      <c r="S112" s="98"/>
      <c r="T112" s="98"/>
      <c r="V112" s="16">
        <v>0.9</v>
      </c>
      <c r="W112" s="16">
        <f>13.98-7.34</f>
        <v>6.6400000000000006</v>
      </c>
      <c r="X112" s="16"/>
      <c r="Y112" s="16">
        <v>0.56000000000000005</v>
      </c>
      <c r="Z112" s="16">
        <v>3.46</v>
      </c>
      <c r="AA112" s="16"/>
      <c r="AB112" s="16">
        <f t="shared" si="7"/>
        <v>8.1000000000000014</v>
      </c>
      <c r="AC112" s="16">
        <f>SUM(AB108:AB112)/5</f>
        <v>7.9360000000000017</v>
      </c>
    </row>
    <row r="113" spans="1:29" ht="15.75" customHeight="1">
      <c r="A113" s="87"/>
      <c r="B113" s="87"/>
      <c r="C113" s="87">
        <v>3</v>
      </c>
      <c r="D113" s="87" t="s">
        <v>83</v>
      </c>
      <c r="E113" s="98">
        <f>23.82-E225</f>
        <v>9.44</v>
      </c>
      <c r="F113" s="98"/>
      <c r="G113" s="98"/>
      <c r="H113" s="98">
        <f>39.08-F225</f>
        <v>19.189999999999998</v>
      </c>
      <c r="I113" s="98"/>
      <c r="J113" s="98">
        <f>19.78-E225</f>
        <v>5.4</v>
      </c>
      <c r="K113" s="98">
        <f>23.59-E225</f>
        <v>9.2099999999999991</v>
      </c>
      <c r="L113" s="98"/>
      <c r="M113" s="98">
        <f>1.88-B225</f>
        <v>0.1399999999999999</v>
      </c>
      <c r="N113" s="98">
        <f>15.82-E225</f>
        <v>1.4399999999999995</v>
      </c>
      <c r="O113" s="98">
        <f>1.95-B225</f>
        <v>0.20999999999999996</v>
      </c>
      <c r="P113" s="98"/>
      <c r="Q113" s="98">
        <f>5.78-C225</f>
        <v>2.93</v>
      </c>
      <c r="R113" s="98">
        <f t="shared" si="8"/>
        <v>45.029999999999994</v>
      </c>
      <c r="S113" s="98"/>
      <c r="T113" s="94" t="s">
        <v>93</v>
      </c>
      <c r="U113" s="16"/>
      <c r="V113" s="110"/>
      <c r="W113" s="16">
        <v>13.21</v>
      </c>
      <c r="X113" s="16"/>
      <c r="Y113" s="110"/>
      <c r="Z113" s="110"/>
      <c r="AA113" s="110"/>
      <c r="AB113" s="16">
        <f t="shared" si="7"/>
        <v>13.21</v>
      </c>
      <c r="AC113" s="16"/>
    </row>
    <row r="114" spans="1:29" ht="15.75" customHeight="1">
      <c r="A114" s="87"/>
      <c r="B114" s="87"/>
      <c r="C114" s="87">
        <v>3</v>
      </c>
      <c r="D114" s="87" t="s">
        <v>85</v>
      </c>
      <c r="E114" s="98">
        <f>15.73-D225</f>
        <v>8.39</v>
      </c>
      <c r="F114" s="98"/>
      <c r="G114" s="98"/>
      <c r="H114" s="98">
        <f>32.27-F225</f>
        <v>12.380000000000003</v>
      </c>
      <c r="I114" s="98"/>
      <c r="J114" s="98">
        <f>2.01-B225</f>
        <v>0.2699999999999998</v>
      </c>
      <c r="K114" s="98">
        <f>49.47-F225</f>
        <v>29.58</v>
      </c>
      <c r="L114" s="98"/>
      <c r="M114" s="98">
        <f>12.12-D225</f>
        <v>4.7799999999999994</v>
      </c>
      <c r="N114" s="98">
        <f>10.15-D225</f>
        <v>2.8100000000000005</v>
      </c>
      <c r="O114" s="98">
        <f>3.67-C225</f>
        <v>0.81999999999999984</v>
      </c>
      <c r="P114" s="98"/>
      <c r="Q114" s="98"/>
      <c r="R114" s="98">
        <f t="shared" si="8"/>
        <v>59.030000000000008</v>
      </c>
      <c r="S114" s="98"/>
      <c r="T114" s="98"/>
      <c r="V114" s="16">
        <v>0.9</v>
      </c>
      <c r="W114">
        <f>37.89-19.89</f>
        <v>18</v>
      </c>
      <c r="Y114" s="16">
        <v>0.53</v>
      </c>
      <c r="Z114">
        <f>13.6-7.34</f>
        <v>6.26</v>
      </c>
      <c r="AB114" s="16">
        <f t="shared" si="7"/>
        <v>19.43</v>
      </c>
      <c r="AC114" s="16"/>
    </row>
    <row r="115" spans="1:29" ht="15.75" customHeight="1">
      <c r="A115" s="87"/>
      <c r="B115" s="87"/>
      <c r="C115" s="87">
        <v>3</v>
      </c>
      <c r="D115" s="87" t="s">
        <v>87</v>
      </c>
      <c r="E115" s="98">
        <f>3.71-C225</f>
        <v>0.85999999999999988</v>
      </c>
      <c r="F115" s="98"/>
      <c r="G115" s="98"/>
      <c r="H115" s="98">
        <f>20.18-D225</f>
        <v>12.84</v>
      </c>
      <c r="I115" s="98"/>
      <c r="J115" s="98">
        <f>12.32-D225</f>
        <v>4.9800000000000004</v>
      </c>
      <c r="K115" s="98">
        <f>44.03-D225</f>
        <v>36.69</v>
      </c>
      <c r="L115" s="98"/>
      <c r="M115" s="98">
        <f>4.3-C225</f>
        <v>1.4499999999999997</v>
      </c>
      <c r="N115" s="98">
        <f>12.42-D225</f>
        <v>5.08</v>
      </c>
      <c r="O115" s="98">
        <f>3.62-C225</f>
        <v>0.77</v>
      </c>
      <c r="P115" s="98"/>
      <c r="Q115" s="98"/>
      <c r="R115" s="98">
        <f t="shared" si="8"/>
        <v>62.67</v>
      </c>
      <c r="S115" s="98"/>
      <c r="T115" s="98"/>
      <c r="V115" s="16">
        <v>0.93</v>
      </c>
      <c r="W115">
        <f>15.88-7.34</f>
        <v>8.5400000000000009</v>
      </c>
      <c r="Y115" s="16">
        <v>0.46</v>
      </c>
      <c r="Z115" s="16">
        <v>3.7</v>
      </c>
      <c r="AA115" s="16"/>
      <c r="AB115" s="16">
        <f t="shared" si="7"/>
        <v>9.9300000000000015</v>
      </c>
      <c r="AC115" s="16"/>
    </row>
    <row r="116" spans="1:29" ht="15.75" customHeight="1">
      <c r="A116" s="87"/>
      <c r="B116" s="87"/>
      <c r="C116" s="87">
        <v>3</v>
      </c>
      <c r="D116" s="87" t="s">
        <v>79</v>
      </c>
      <c r="E116" s="98">
        <f>5.06-C225</f>
        <v>2.2099999999999995</v>
      </c>
      <c r="F116" s="98"/>
      <c r="G116" s="98"/>
      <c r="H116" s="98">
        <f>21.17-D225</f>
        <v>13.830000000000002</v>
      </c>
      <c r="I116" s="98"/>
      <c r="J116" s="98">
        <f>13.96-D225</f>
        <v>6.620000000000001</v>
      </c>
      <c r="K116" s="98">
        <f>29.31-D225</f>
        <v>21.97</v>
      </c>
      <c r="L116" s="98"/>
      <c r="M116" s="98">
        <f>15.84-D225</f>
        <v>8.5</v>
      </c>
      <c r="N116" s="98">
        <f>24.18-F225</f>
        <v>4.2899999999999991</v>
      </c>
      <c r="O116" s="98">
        <f>3.32-C225</f>
        <v>0.46999999999999975</v>
      </c>
      <c r="P116" s="98"/>
      <c r="Q116" s="98"/>
      <c r="R116" s="98">
        <f t="shared" si="8"/>
        <v>57.89</v>
      </c>
      <c r="S116" s="98"/>
      <c r="T116" s="98"/>
      <c r="V116" s="16">
        <v>0.13</v>
      </c>
      <c r="W116">
        <f>29.53-19.89</f>
        <v>9.64</v>
      </c>
      <c r="Y116" s="16">
        <v>0.44</v>
      </c>
      <c r="Z116" s="16">
        <v>1.84</v>
      </c>
      <c r="AA116" s="16"/>
      <c r="AB116" s="16">
        <f t="shared" si="7"/>
        <v>10.210000000000001</v>
      </c>
      <c r="AC116" s="16"/>
    </row>
    <row r="117" spans="1:29" ht="15.75" customHeight="1">
      <c r="A117" s="87"/>
      <c r="B117" s="87"/>
      <c r="C117" s="87">
        <v>3</v>
      </c>
      <c r="D117" s="87" t="s">
        <v>88</v>
      </c>
      <c r="E117" s="98">
        <f>3.91-C225</f>
        <v>1.06</v>
      </c>
      <c r="F117" s="98"/>
      <c r="G117" s="98"/>
      <c r="H117" s="98">
        <f>20.64-D225</f>
        <v>13.3</v>
      </c>
      <c r="I117" s="98"/>
      <c r="J117" s="98">
        <f>3.53-C225</f>
        <v>0.67999999999999972</v>
      </c>
      <c r="K117" s="98">
        <f>32.09-F225</f>
        <v>12.200000000000003</v>
      </c>
      <c r="L117" s="98"/>
      <c r="M117" s="98">
        <f>9.46-D225</f>
        <v>2.120000000000001</v>
      </c>
      <c r="N117" s="98">
        <f>11.4-D225</f>
        <v>4.0600000000000005</v>
      </c>
      <c r="O117" s="98">
        <f>3.25-C225</f>
        <v>0.39999999999999991</v>
      </c>
      <c r="P117" s="98"/>
      <c r="Q117" s="98"/>
      <c r="R117" s="98">
        <f t="shared" si="8"/>
        <v>33.82</v>
      </c>
      <c r="S117" s="98"/>
      <c r="T117" s="98"/>
      <c r="V117">
        <f>10.2-7.34</f>
        <v>2.8599999999999994</v>
      </c>
      <c r="W117">
        <f>14.14-7.34</f>
        <v>6.8000000000000007</v>
      </c>
      <c r="Y117" s="16">
        <v>0.19</v>
      </c>
      <c r="Z117">
        <f>12.84-7.34</f>
        <v>5.5</v>
      </c>
      <c r="AB117" s="16">
        <f t="shared" si="7"/>
        <v>9.8500000000000014</v>
      </c>
      <c r="AC117" s="16">
        <f>SUM(AB113:AB117)/5</f>
        <v>12.526</v>
      </c>
    </row>
    <row r="118" spans="1:29" ht="15.75" customHeight="1">
      <c r="A118" s="87"/>
      <c r="B118" s="87"/>
      <c r="C118" s="87">
        <v>4</v>
      </c>
      <c r="D118" s="87" t="s">
        <v>83</v>
      </c>
      <c r="E118" s="98">
        <f>1.96-B225</f>
        <v>0.21999999999999997</v>
      </c>
      <c r="F118" s="98"/>
      <c r="G118" s="98"/>
      <c r="H118" s="98">
        <f>67.2-F225</f>
        <v>47.31</v>
      </c>
      <c r="I118" s="98"/>
      <c r="J118" s="98"/>
      <c r="K118" s="98">
        <f>12.58-D225</f>
        <v>5.24</v>
      </c>
      <c r="L118" s="98"/>
      <c r="M118" s="98"/>
      <c r="N118" s="98"/>
      <c r="O118" s="98"/>
      <c r="P118" s="98"/>
      <c r="Q118" s="98">
        <f>3.58-C225</f>
        <v>0.73</v>
      </c>
      <c r="R118" s="98">
        <f t="shared" si="8"/>
        <v>52.77</v>
      </c>
      <c r="S118" s="98"/>
      <c r="T118" s="94" t="s">
        <v>90</v>
      </c>
      <c r="U118" s="16"/>
      <c r="V118" s="16">
        <v>0.68</v>
      </c>
      <c r="W118" s="16">
        <f>20.43-7.34</f>
        <v>13.09</v>
      </c>
      <c r="X118" s="16"/>
      <c r="Y118" s="16">
        <v>0.21</v>
      </c>
      <c r="Z118" s="16">
        <f>9.89-2.85</f>
        <v>7.0400000000000009</v>
      </c>
      <c r="AA118" s="16"/>
      <c r="AB118" s="16">
        <f t="shared" si="7"/>
        <v>13.98</v>
      </c>
      <c r="AC118" s="16"/>
    </row>
    <row r="119" spans="1:29" ht="15.75" customHeight="1">
      <c r="A119" s="87"/>
      <c r="B119" s="87"/>
      <c r="C119" s="87">
        <v>4</v>
      </c>
      <c r="D119" s="87" t="s">
        <v>85</v>
      </c>
      <c r="E119" s="98"/>
      <c r="F119" s="98"/>
      <c r="G119" s="98"/>
      <c r="H119" s="123">
        <v>240.99</v>
      </c>
      <c r="I119" s="98"/>
      <c r="J119" s="98"/>
      <c r="K119" s="123">
        <v>216.29</v>
      </c>
      <c r="L119" s="98"/>
      <c r="M119" s="98"/>
      <c r="N119" s="98"/>
      <c r="O119" s="98"/>
      <c r="P119" s="98"/>
      <c r="Q119" s="98"/>
      <c r="R119" s="124">
        <f t="shared" si="8"/>
        <v>457.28</v>
      </c>
      <c r="S119" s="98"/>
      <c r="T119" s="98"/>
      <c r="V119" s="16">
        <v>0.55000000000000004</v>
      </c>
      <c r="W119">
        <f>12.38-7.34</f>
        <v>5.0400000000000009</v>
      </c>
      <c r="Y119" s="16">
        <v>0.04</v>
      </c>
      <c r="Z119">
        <f>16.58-7.34</f>
        <v>9.2399999999999984</v>
      </c>
      <c r="AB119" s="16">
        <f t="shared" si="7"/>
        <v>5.6300000000000008</v>
      </c>
      <c r="AC119" s="16"/>
    </row>
    <row r="120" spans="1:29" ht="15.75" customHeight="1">
      <c r="A120" s="87"/>
      <c r="B120" s="87"/>
      <c r="C120" s="87">
        <v>4</v>
      </c>
      <c r="D120" s="87" t="s">
        <v>87</v>
      </c>
      <c r="E120" s="98">
        <f>3.17-C225</f>
        <v>0.31999999999999984</v>
      </c>
      <c r="F120" s="98"/>
      <c r="G120" s="98"/>
      <c r="H120" s="98">
        <f>56.72-F225</f>
        <v>36.83</v>
      </c>
      <c r="I120" s="98"/>
      <c r="J120" s="98"/>
      <c r="K120" s="98">
        <f>14.27-D225</f>
        <v>6.93</v>
      </c>
      <c r="L120" s="98"/>
      <c r="M120" s="98">
        <f>4.3-C225</f>
        <v>1.4499999999999997</v>
      </c>
      <c r="N120" s="98"/>
      <c r="O120" s="98"/>
      <c r="P120" s="98"/>
      <c r="Q120" s="98">
        <f>3.58-C225</f>
        <v>0.73</v>
      </c>
      <c r="R120" s="98">
        <f t="shared" si="8"/>
        <v>45.53</v>
      </c>
      <c r="S120" s="98"/>
      <c r="T120" s="98"/>
      <c r="V120" s="16">
        <v>0.38</v>
      </c>
      <c r="W120" s="16">
        <v>1.26</v>
      </c>
      <c r="X120" s="16"/>
      <c r="Y120" s="16">
        <v>0.05</v>
      </c>
      <c r="Z120" s="16">
        <f>6.84-2.85</f>
        <v>3.9899999999999998</v>
      </c>
      <c r="AA120" s="16"/>
      <c r="AB120" s="16">
        <f t="shared" si="7"/>
        <v>1.69</v>
      </c>
      <c r="AC120" s="16"/>
    </row>
    <row r="121" spans="1:29" ht="15.75" customHeight="1">
      <c r="A121" s="87"/>
      <c r="B121" s="87"/>
      <c r="C121" s="87">
        <v>4</v>
      </c>
      <c r="D121" s="87" t="s">
        <v>79</v>
      </c>
      <c r="F121" s="98"/>
      <c r="G121" s="98"/>
      <c r="H121" s="98"/>
      <c r="I121" s="98"/>
      <c r="J121" s="98"/>
      <c r="K121" s="98"/>
      <c r="L121" s="98"/>
      <c r="M121" s="98"/>
      <c r="N121" s="98"/>
      <c r="O121" s="98"/>
      <c r="P121" s="98"/>
      <c r="Q121" s="98"/>
      <c r="R121" s="98"/>
      <c r="S121" s="98"/>
      <c r="T121" s="94" t="s">
        <v>299</v>
      </c>
      <c r="V121">
        <f>9.4-4.77</f>
        <v>4.6300000000000008</v>
      </c>
      <c r="W121">
        <f>10.82-7.34</f>
        <v>3.4800000000000004</v>
      </c>
      <c r="Y121" s="16">
        <v>0.14000000000000001</v>
      </c>
      <c r="Z121" s="16">
        <v>4.49</v>
      </c>
      <c r="AA121" s="16"/>
      <c r="AB121" s="16">
        <f t="shared" si="7"/>
        <v>8.2500000000000018</v>
      </c>
      <c r="AC121" s="16"/>
    </row>
    <row r="122" spans="1:29" ht="15.75" customHeight="1">
      <c r="A122" s="87"/>
      <c r="B122" s="87"/>
      <c r="C122" s="87">
        <v>4</v>
      </c>
      <c r="D122" s="87" t="s">
        <v>88</v>
      </c>
      <c r="E122" s="98"/>
      <c r="F122" s="98"/>
      <c r="G122" s="98"/>
      <c r="H122" s="94">
        <v>28.15</v>
      </c>
      <c r="I122" s="98"/>
      <c r="J122" s="98"/>
      <c r="K122" s="94">
        <v>29.59</v>
      </c>
      <c r="L122" s="98"/>
      <c r="M122" s="94">
        <v>0.23</v>
      </c>
      <c r="N122" s="94">
        <v>7.3</v>
      </c>
      <c r="O122" s="94">
        <v>1.46</v>
      </c>
      <c r="P122" s="98"/>
      <c r="Q122" s="94">
        <v>0.94</v>
      </c>
      <c r="R122" s="98">
        <f t="shared" ref="R122:R142" si="9">SUM(E122:P122)</f>
        <v>66.72999999999999</v>
      </c>
      <c r="S122" s="98"/>
      <c r="T122" s="98"/>
      <c r="V122">
        <f>10.92-7.34</f>
        <v>3.58</v>
      </c>
      <c r="W122">
        <f>16.3-7.35</f>
        <v>8.9500000000000011</v>
      </c>
      <c r="Y122" s="16">
        <f>0.29+3.21+3.21</f>
        <v>6.71</v>
      </c>
      <c r="Z122" s="16">
        <v>1.7</v>
      </c>
      <c r="AA122" s="16"/>
      <c r="AB122" s="16">
        <f t="shared" si="7"/>
        <v>19.240000000000002</v>
      </c>
      <c r="AC122" s="16">
        <f>SUM(AB118:AB122)/5</f>
        <v>9.7580000000000009</v>
      </c>
    </row>
    <row r="123" spans="1:29" ht="15.75" customHeight="1">
      <c r="A123" s="87" t="s">
        <v>78</v>
      </c>
      <c r="B123" s="87" t="s">
        <v>105</v>
      </c>
      <c r="C123" s="87">
        <v>1</v>
      </c>
      <c r="D123" s="87" t="s">
        <v>83</v>
      </c>
      <c r="E123" s="98"/>
      <c r="F123" s="98"/>
      <c r="G123" s="98"/>
      <c r="H123" s="94">
        <f>SUM(36.92-19.89)</f>
        <v>17.03</v>
      </c>
      <c r="I123" s="98"/>
      <c r="J123" s="94">
        <f>SUM(1.8-1.74)</f>
        <v>6.0000000000000053E-2</v>
      </c>
      <c r="K123" s="94">
        <f>SUM(37.11-19.89)</f>
        <v>17.22</v>
      </c>
      <c r="L123" s="98"/>
      <c r="M123" s="94">
        <f>SUM(40.85-19.89)</f>
        <v>20.96</v>
      </c>
      <c r="N123" s="94">
        <f>SUM(47.22-19.89)</f>
        <v>27.33</v>
      </c>
      <c r="O123" s="94">
        <f>SUM(7.16-2.85)</f>
        <v>4.3100000000000005</v>
      </c>
      <c r="P123" s="98"/>
      <c r="Q123" s="98"/>
      <c r="R123" s="98">
        <f t="shared" si="9"/>
        <v>86.91</v>
      </c>
      <c r="S123" s="98">
        <f>AVERAGE(R123:R127)</f>
        <v>69.681999999999988</v>
      </c>
      <c r="T123" s="94" t="s">
        <v>142</v>
      </c>
      <c r="U123" s="16"/>
      <c r="V123" s="16" t="s">
        <v>202</v>
      </c>
      <c r="W123" s="16">
        <f>15.03-4.77</f>
        <v>10.26</v>
      </c>
      <c r="X123" s="16"/>
      <c r="Y123" s="16">
        <v>0.83</v>
      </c>
      <c r="Z123" s="16">
        <f>8.65-4.77</f>
        <v>3.8800000000000008</v>
      </c>
      <c r="AA123" s="16"/>
      <c r="AB123" s="16">
        <f t="shared" ref="AB123:AB142" si="10">W123+Y123</f>
        <v>11.09</v>
      </c>
      <c r="AC123" s="16"/>
    </row>
    <row r="124" spans="1:29" ht="15.75" customHeight="1">
      <c r="A124" s="87"/>
      <c r="B124" s="87"/>
      <c r="C124" s="87">
        <v>1</v>
      </c>
      <c r="D124" s="87" t="s">
        <v>85</v>
      </c>
      <c r="E124" s="98"/>
      <c r="F124" s="98"/>
      <c r="G124" s="98"/>
      <c r="H124" s="94">
        <f>SUM(33.11-14.38)</f>
        <v>18.729999999999997</v>
      </c>
      <c r="I124" s="98"/>
      <c r="J124" s="94">
        <f>SUM(3.76-2.85)</f>
        <v>0.9099999999999997</v>
      </c>
      <c r="K124" s="94">
        <f>SUM(42.14-14.38)</f>
        <v>27.759999999999998</v>
      </c>
      <c r="L124" s="94">
        <f>SUM(3.66-2.85)</f>
        <v>0.81</v>
      </c>
      <c r="M124" s="94">
        <f>SUM(3.35-2.85)</f>
        <v>0.5</v>
      </c>
      <c r="N124" s="94">
        <f>SUM(27.33-14.38)</f>
        <v>12.949999999999998</v>
      </c>
      <c r="O124" s="94">
        <f>SUM(3.28-2.85)</f>
        <v>0.42999999999999972</v>
      </c>
      <c r="P124" s="98"/>
      <c r="Q124" s="98"/>
      <c r="R124" s="98">
        <f t="shared" si="9"/>
        <v>62.089999999999989</v>
      </c>
      <c r="S124" s="98"/>
      <c r="T124" s="98"/>
      <c r="V124" s="16" t="s">
        <v>202</v>
      </c>
      <c r="W124" s="16">
        <v>3.08</v>
      </c>
      <c r="X124" s="16"/>
      <c r="Y124" s="16">
        <v>2.86</v>
      </c>
      <c r="Z124" s="16">
        <v>0.09</v>
      </c>
      <c r="AA124" s="16"/>
      <c r="AB124" s="16">
        <f t="shared" si="10"/>
        <v>5.9399999999999995</v>
      </c>
      <c r="AC124" s="16"/>
    </row>
    <row r="125" spans="1:29" ht="15.75" customHeight="1">
      <c r="A125" s="87"/>
      <c r="B125" s="87"/>
      <c r="C125" s="87">
        <v>1</v>
      </c>
      <c r="D125" s="87" t="s">
        <v>87</v>
      </c>
      <c r="E125" s="98"/>
      <c r="F125" s="98"/>
      <c r="G125" s="98"/>
      <c r="H125" s="94">
        <f>SUM(36.73-19.89)</f>
        <v>16.839999999999996</v>
      </c>
      <c r="I125" s="98"/>
      <c r="J125" s="98"/>
      <c r="K125" s="94">
        <f>SUM(58.1-19.89)</f>
        <v>38.21</v>
      </c>
      <c r="L125" s="98"/>
      <c r="M125" s="94">
        <f>SUM(26.09-19.89)</f>
        <v>6.1999999999999993</v>
      </c>
      <c r="N125" s="94">
        <f>SUM(27.92-19.89)</f>
        <v>8.0300000000000011</v>
      </c>
      <c r="O125" s="94">
        <f>SUM(4.65-2.85)</f>
        <v>1.8000000000000003</v>
      </c>
      <c r="P125" s="98"/>
      <c r="Q125" s="98"/>
      <c r="R125" s="98">
        <f t="shared" si="9"/>
        <v>71.08</v>
      </c>
      <c r="S125" s="98"/>
      <c r="T125" s="98"/>
      <c r="V125" s="16" t="s">
        <v>202</v>
      </c>
      <c r="Y125" s="105"/>
      <c r="AB125" s="16">
        <f t="shared" si="10"/>
        <v>0</v>
      </c>
      <c r="AC125" s="16"/>
    </row>
    <row r="126" spans="1:29" ht="15.75" customHeight="1">
      <c r="A126" s="87"/>
      <c r="B126" s="87"/>
      <c r="C126" s="87">
        <v>1</v>
      </c>
      <c r="D126" s="87" t="s">
        <v>79</v>
      </c>
      <c r="E126" s="98"/>
      <c r="F126" s="98"/>
      <c r="G126" s="98"/>
      <c r="H126" s="94">
        <f>SUM(20.42-7.34)</f>
        <v>13.080000000000002</v>
      </c>
      <c r="I126" s="98"/>
      <c r="J126" s="98"/>
      <c r="K126" s="94">
        <f>SUM(59-19.89)</f>
        <v>39.11</v>
      </c>
      <c r="L126" s="98"/>
      <c r="M126" s="94">
        <f>SUM(12.95-7.34)</f>
        <v>5.6099999999999994</v>
      </c>
      <c r="N126" s="94">
        <f>SUM(15.51-7.34)</f>
        <v>8.17</v>
      </c>
      <c r="O126" s="94">
        <f>SUM(4.07-2.85)</f>
        <v>1.2200000000000002</v>
      </c>
      <c r="P126" s="98"/>
      <c r="Q126" s="98"/>
      <c r="R126" s="98">
        <f t="shared" si="9"/>
        <v>67.19</v>
      </c>
      <c r="S126" s="98"/>
      <c r="T126" s="98"/>
      <c r="V126" s="16" t="s">
        <v>202</v>
      </c>
      <c r="W126" s="16">
        <v>5.25</v>
      </c>
      <c r="X126" s="16"/>
      <c r="Y126" s="16">
        <v>2.23</v>
      </c>
      <c r="Z126" s="16">
        <v>0.02</v>
      </c>
      <c r="AA126" s="16"/>
      <c r="AB126" s="16">
        <f t="shared" si="10"/>
        <v>7.48</v>
      </c>
      <c r="AC126" s="16"/>
    </row>
    <row r="127" spans="1:29" ht="15.75" customHeight="1">
      <c r="A127" s="87"/>
      <c r="B127" s="87"/>
      <c r="C127" s="87">
        <v>1</v>
      </c>
      <c r="D127" s="87" t="s">
        <v>88</v>
      </c>
      <c r="E127" s="98"/>
      <c r="F127" s="98"/>
      <c r="G127" s="98"/>
      <c r="H127" s="94">
        <f>SUM(43.87-19.89)</f>
        <v>23.979999999999997</v>
      </c>
      <c r="I127" s="98"/>
      <c r="J127" s="98"/>
      <c r="K127" s="94">
        <f>SUM(49.84-19.89)</f>
        <v>29.950000000000003</v>
      </c>
      <c r="L127" s="94">
        <f>SUM(3.59-2.85)</f>
        <v>0.73999999999999977</v>
      </c>
      <c r="M127" s="98"/>
      <c r="N127" s="94">
        <f>SUM(13.42-7.34)</f>
        <v>6.08</v>
      </c>
      <c r="O127" s="94">
        <f>SUM(3.24-2.85)</f>
        <v>0.39000000000000012</v>
      </c>
      <c r="P127" s="94"/>
      <c r="Q127" s="94">
        <f>SUM(3.32-2.85)</f>
        <v>0.46999999999999975</v>
      </c>
      <c r="R127" s="98">
        <f t="shared" si="9"/>
        <v>61.14</v>
      </c>
      <c r="S127" s="98"/>
      <c r="T127" s="98"/>
      <c r="V127" s="16" t="s">
        <v>202</v>
      </c>
      <c r="W127" s="105"/>
      <c r="X127" s="105"/>
      <c r="Y127" s="105"/>
      <c r="Z127" s="105"/>
      <c r="AA127" s="105"/>
      <c r="AB127" s="16">
        <f t="shared" si="10"/>
        <v>0</v>
      </c>
      <c r="AC127" s="16">
        <f>SUM(AB123:AB127)/5</f>
        <v>4.9020000000000001</v>
      </c>
    </row>
    <row r="128" spans="1:29" ht="15.75" customHeight="1">
      <c r="A128" s="87"/>
      <c r="B128" s="87"/>
      <c r="C128" s="87">
        <v>2</v>
      </c>
      <c r="D128" s="87" t="s">
        <v>83</v>
      </c>
      <c r="E128" s="98"/>
      <c r="F128" s="98"/>
      <c r="G128" s="98"/>
      <c r="H128" s="94">
        <f>SUM(38.71-19.89)</f>
        <v>18.82</v>
      </c>
      <c r="I128" s="98"/>
      <c r="J128" s="98"/>
      <c r="K128" s="94">
        <f>SUM(51.69-19.89)</f>
        <v>31.799999999999997</v>
      </c>
      <c r="L128" s="98"/>
      <c r="M128" s="94">
        <f>SUM(10.33-7.34)</f>
        <v>2.99</v>
      </c>
      <c r="N128" s="94">
        <f>SUM(15.36-7.34)</f>
        <v>8.02</v>
      </c>
      <c r="O128" s="94">
        <f>SUM(3.25-2.85)</f>
        <v>0.39999999999999991</v>
      </c>
      <c r="P128" s="94"/>
      <c r="Q128" s="94">
        <f>SUM(4.94-2.85)</f>
        <v>2.0900000000000003</v>
      </c>
      <c r="R128" s="98">
        <f t="shared" si="9"/>
        <v>62.029999999999994</v>
      </c>
      <c r="S128" s="98">
        <f>AVERAGE(R128:R132)</f>
        <v>53.489999999999995</v>
      </c>
      <c r="T128" s="94" t="s">
        <v>92</v>
      </c>
      <c r="U128" s="16"/>
      <c r="V128" s="16" t="s">
        <v>202</v>
      </c>
      <c r="W128" s="16">
        <f>10.49-4.77</f>
        <v>5.7200000000000006</v>
      </c>
      <c r="X128" s="16"/>
      <c r="Y128" s="16">
        <v>0.62</v>
      </c>
      <c r="Z128" s="16">
        <v>2.54</v>
      </c>
      <c r="AA128" s="16"/>
      <c r="AB128" s="16">
        <f t="shared" si="10"/>
        <v>6.3400000000000007</v>
      </c>
      <c r="AC128" s="16"/>
    </row>
    <row r="129" spans="1:29" ht="15.75" customHeight="1">
      <c r="A129" s="87"/>
      <c r="B129" s="87"/>
      <c r="C129" s="87">
        <v>2</v>
      </c>
      <c r="D129" s="87" t="s">
        <v>85</v>
      </c>
      <c r="E129" s="98"/>
      <c r="F129" s="98"/>
      <c r="G129" s="98"/>
      <c r="H129" s="94">
        <f>SUM(33.73-19.89)</f>
        <v>13.839999999999996</v>
      </c>
      <c r="I129" s="98"/>
      <c r="J129" s="98"/>
      <c r="K129" s="94">
        <f>SUM(26.61-7.34)</f>
        <v>19.27</v>
      </c>
      <c r="L129" s="98"/>
      <c r="M129" s="98"/>
      <c r="N129" s="94">
        <f>SUM(11.11-7.34)</f>
        <v>3.7699999999999996</v>
      </c>
      <c r="O129" s="94">
        <f>SUM(3.21-2.85)</f>
        <v>0.35999999999999988</v>
      </c>
      <c r="P129" s="94">
        <f>SUM(3.27-2.85)</f>
        <v>0.41999999999999993</v>
      </c>
      <c r="Q129" s="94">
        <f>SUM(2.94-2.85)</f>
        <v>8.9999999999999858E-2</v>
      </c>
      <c r="R129" s="98">
        <f t="shared" si="9"/>
        <v>37.659999999999997</v>
      </c>
      <c r="S129" s="98"/>
      <c r="T129" s="98"/>
      <c r="V129" s="16" t="s">
        <v>202</v>
      </c>
      <c r="W129">
        <f>5.82-4.77</f>
        <v>1.0500000000000007</v>
      </c>
      <c r="Y129" s="16">
        <v>0.37</v>
      </c>
      <c r="Z129" s="16">
        <v>7.18</v>
      </c>
      <c r="AA129" s="16"/>
      <c r="AB129" s="16">
        <f t="shared" si="10"/>
        <v>1.4200000000000008</v>
      </c>
      <c r="AC129" s="16"/>
    </row>
    <row r="130" spans="1:29" ht="15.75" customHeight="1">
      <c r="A130" s="87"/>
      <c r="B130" s="87"/>
      <c r="C130" s="87">
        <v>2</v>
      </c>
      <c r="D130" s="87" t="s">
        <v>87</v>
      </c>
      <c r="E130" s="94">
        <f>SUM(7.86-7.34)</f>
        <v>0.52000000000000046</v>
      </c>
      <c r="F130" s="98"/>
      <c r="G130" s="98"/>
      <c r="H130" s="94">
        <f>SUM(30.22-19.89)</f>
        <v>10.329999999999998</v>
      </c>
      <c r="I130" s="98"/>
      <c r="J130" s="98"/>
      <c r="K130" s="94">
        <f>SUM(59.13-19.89)</f>
        <v>39.24</v>
      </c>
      <c r="L130" s="94">
        <f>SUM(3-2.85)</f>
        <v>0.14999999999999991</v>
      </c>
      <c r="M130" s="98"/>
      <c r="N130" s="94">
        <f>SUM(8.92-7.34)</f>
        <v>1.58</v>
      </c>
      <c r="O130" s="94">
        <f>SUM(2.08-1.74)</f>
        <v>0.34000000000000008</v>
      </c>
      <c r="P130" s="98"/>
      <c r="Q130" s="94">
        <f>SUM(1.99-1.74)</f>
        <v>0.25</v>
      </c>
      <c r="R130" s="98">
        <f t="shared" si="9"/>
        <v>52.160000000000004</v>
      </c>
      <c r="S130" s="98"/>
      <c r="T130" s="98"/>
      <c r="V130" s="16" t="s">
        <v>202</v>
      </c>
      <c r="W130">
        <f>8.85-4.77</f>
        <v>4.08</v>
      </c>
      <c r="Y130" s="16">
        <v>0.77</v>
      </c>
      <c r="Z130" s="16">
        <v>2.86</v>
      </c>
      <c r="AA130" s="16"/>
      <c r="AB130" s="16">
        <f t="shared" si="10"/>
        <v>4.8499999999999996</v>
      </c>
      <c r="AC130" s="16"/>
    </row>
    <row r="131" spans="1:29" ht="15.75" customHeight="1">
      <c r="A131" s="87"/>
      <c r="B131" s="87"/>
      <c r="C131" s="87">
        <v>2</v>
      </c>
      <c r="D131" s="87" t="s">
        <v>79</v>
      </c>
      <c r="E131" s="94">
        <f>SUM(2.97-2.85)</f>
        <v>0.12000000000000011</v>
      </c>
      <c r="F131" s="98"/>
      <c r="G131" s="98"/>
      <c r="H131" s="94">
        <f>SUM(24.9-14.38)</f>
        <v>10.519999999999998</v>
      </c>
      <c r="J131" s="94">
        <f>SUM(3.63-2.85)</f>
        <v>0.7799999999999998</v>
      </c>
      <c r="K131" s="94">
        <f>SUM(36.87-14.38)</f>
        <v>22.489999999999995</v>
      </c>
      <c r="L131" s="98"/>
      <c r="M131" s="94">
        <f>SUM(3.33-2.85)</f>
        <v>0.48</v>
      </c>
      <c r="N131" s="94">
        <f>SUM(18.02-14.38)</f>
        <v>3.6399999999999988</v>
      </c>
      <c r="O131" s="94">
        <f>SUM(4.39-2.85)</f>
        <v>1.5399999999999996</v>
      </c>
      <c r="P131" s="98"/>
      <c r="Q131" s="98"/>
      <c r="R131" s="98">
        <f t="shared" si="9"/>
        <v>39.569999999999986</v>
      </c>
      <c r="S131" s="98"/>
      <c r="T131" s="98"/>
      <c r="V131" s="16" t="s">
        <v>202</v>
      </c>
      <c r="W131">
        <f>13.91-4.77</f>
        <v>9.14</v>
      </c>
      <c r="Y131" s="16">
        <v>0.42</v>
      </c>
      <c r="Z131" s="16">
        <v>1.38</v>
      </c>
      <c r="AA131" s="16"/>
      <c r="AB131" s="16">
        <f t="shared" si="10"/>
        <v>9.56</v>
      </c>
      <c r="AC131" s="16"/>
    </row>
    <row r="132" spans="1:29" ht="15.75" customHeight="1">
      <c r="A132" s="87"/>
      <c r="B132" s="87"/>
      <c r="C132" s="87">
        <v>2</v>
      </c>
      <c r="D132" s="87" t="s">
        <v>88</v>
      </c>
      <c r="E132" s="94">
        <f>SUM(3.02-2.85)</f>
        <v>0.16999999999999993</v>
      </c>
      <c r="F132" s="98"/>
      <c r="G132" s="98"/>
      <c r="H132" s="94">
        <f>SUM(29.94-14.38)</f>
        <v>15.56</v>
      </c>
      <c r="I132" s="98"/>
      <c r="J132" s="94"/>
      <c r="K132">
        <f>SUM(72.47-19.89)</f>
        <v>52.58</v>
      </c>
      <c r="L132" s="94">
        <f>SUM(9.07-7.34)</f>
        <v>1.7300000000000004</v>
      </c>
      <c r="M132" s="94">
        <f>SUM(8.6-7.34)</f>
        <v>1.2599999999999998</v>
      </c>
      <c r="N132" s="94">
        <f>SUM(11.52-7.34)</f>
        <v>4.18</v>
      </c>
      <c r="O132" s="94">
        <f>SUM(3.4-2.85)</f>
        <v>0.54999999999999982</v>
      </c>
      <c r="P132" s="98"/>
      <c r="Q132" s="94">
        <f>SUM(3.66-2.85)</f>
        <v>0.81</v>
      </c>
      <c r="R132" s="98">
        <f t="shared" si="9"/>
        <v>76.030000000000015</v>
      </c>
      <c r="T132" s="98"/>
      <c r="V132" s="16" t="s">
        <v>202</v>
      </c>
      <c r="W132" s="125">
        <f>8.13-4.77</f>
        <v>3.3600000000000012</v>
      </c>
      <c r="X132" s="125"/>
      <c r="Y132" s="126">
        <v>1.56</v>
      </c>
      <c r="Z132" s="126">
        <v>2.13</v>
      </c>
      <c r="AA132" s="126"/>
      <c r="AB132" s="16">
        <f t="shared" si="10"/>
        <v>4.9200000000000017</v>
      </c>
      <c r="AC132" s="16">
        <f>SUM(AB128:AB132)/5</f>
        <v>5.418000000000001</v>
      </c>
    </row>
    <row r="133" spans="1:29" ht="15.75" customHeight="1">
      <c r="A133" s="87"/>
      <c r="B133" s="87"/>
      <c r="C133" s="87">
        <v>3</v>
      </c>
      <c r="D133" s="87" t="s">
        <v>83</v>
      </c>
      <c r="E133" s="98"/>
      <c r="F133" s="98"/>
      <c r="G133" s="98"/>
      <c r="H133" s="94">
        <f>SUM(56.25-19.89)</f>
        <v>36.36</v>
      </c>
      <c r="I133" s="98"/>
      <c r="J133" s="98"/>
      <c r="K133" s="94">
        <f>SUM(26.08-7.34)</f>
        <v>18.739999999999998</v>
      </c>
      <c r="L133" s="98"/>
      <c r="M133" s="98"/>
      <c r="N133" s="94">
        <f>SUM(13.94-7.34)</f>
        <v>6.6</v>
      </c>
      <c r="O133" s="98"/>
      <c r="P133" s="98"/>
      <c r="Q133" s="98"/>
      <c r="R133" s="98">
        <f t="shared" si="9"/>
        <v>61.699999999999996</v>
      </c>
      <c r="S133" s="98">
        <f>AVERAGE(R133:R137)</f>
        <v>51.512</v>
      </c>
      <c r="T133" s="94" t="s">
        <v>93</v>
      </c>
      <c r="U133" s="16"/>
      <c r="V133" s="16" t="s">
        <v>202</v>
      </c>
      <c r="W133" s="16">
        <f>11.46-4.77</f>
        <v>6.6900000000000013</v>
      </c>
      <c r="X133" s="16"/>
      <c r="Y133" s="16">
        <v>0.84</v>
      </c>
      <c r="Z133" s="16">
        <v>2.87</v>
      </c>
      <c r="AA133" s="16"/>
      <c r="AB133" s="16">
        <f t="shared" si="10"/>
        <v>7.5300000000000011</v>
      </c>
      <c r="AC133" s="16"/>
    </row>
    <row r="134" spans="1:29" ht="15.75" customHeight="1">
      <c r="A134" s="87"/>
      <c r="B134" s="87"/>
      <c r="C134" s="87">
        <v>3</v>
      </c>
      <c r="D134" s="87" t="s">
        <v>85</v>
      </c>
      <c r="E134" s="94">
        <f>SUM(3.84-2.85)</f>
        <v>0.98999999999999977</v>
      </c>
      <c r="F134" s="98"/>
      <c r="G134" s="98"/>
      <c r="H134" s="94">
        <f>SUM(17.45-7.34)</f>
        <v>10.11</v>
      </c>
      <c r="I134" s="98"/>
      <c r="J134" s="98"/>
      <c r="K134" s="94">
        <f>SUM(34.34-7.34)</f>
        <v>27.000000000000004</v>
      </c>
      <c r="L134" s="98"/>
      <c r="M134" s="94">
        <f>SUM(9.71-7.34)</f>
        <v>2.370000000000001</v>
      </c>
      <c r="N134" s="94">
        <f>SUM(26.09-7.34)</f>
        <v>18.75</v>
      </c>
      <c r="O134" s="94">
        <f>SUM(3.18-2.85)</f>
        <v>0.33000000000000007</v>
      </c>
      <c r="P134" s="98"/>
      <c r="Q134" s="94">
        <f>SUM(2.11-1.74)</f>
        <v>0.36999999999999988</v>
      </c>
      <c r="R134" s="98">
        <f t="shared" si="9"/>
        <v>59.55</v>
      </c>
      <c r="S134" s="98"/>
      <c r="T134" s="98"/>
      <c r="V134" s="16" t="s">
        <v>202</v>
      </c>
      <c r="W134" s="16">
        <v>4.05</v>
      </c>
      <c r="X134" s="16"/>
      <c r="Y134" s="16">
        <v>4.41</v>
      </c>
      <c r="Z134" s="16">
        <v>1.05</v>
      </c>
      <c r="AA134" s="16"/>
      <c r="AB134" s="16">
        <f t="shared" si="10"/>
        <v>8.4600000000000009</v>
      </c>
      <c r="AC134" s="16"/>
    </row>
    <row r="135" spans="1:29" ht="15.75" customHeight="1">
      <c r="A135" s="87"/>
      <c r="B135" s="87"/>
      <c r="C135" s="87">
        <v>3</v>
      </c>
      <c r="D135" s="87" t="s">
        <v>87</v>
      </c>
      <c r="E135" s="98"/>
      <c r="F135" s="98"/>
      <c r="G135" s="98"/>
      <c r="H135" s="94">
        <f>SUM(33.75-19.89)</f>
        <v>13.86</v>
      </c>
      <c r="J135" s="98"/>
      <c r="K135" s="94">
        <f>SUM(29.95-19.89)</f>
        <v>10.059999999999999</v>
      </c>
      <c r="L135" s="98"/>
      <c r="M135" s="98"/>
      <c r="N135" s="94">
        <f>SUM(12.22-7.34)</f>
        <v>4.8800000000000008</v>
      </c>
      <c r="O135" s="94">
        <f>SUM(2.99-2.85)</f>
        <v>0.14000000000000012</v>
      </c>
      <c r="P135" s="98"/>
      <c r="Q135" s="94">
        <f>SUM(3.38-2.85)</f>
        <v>0.5299999999999998</v>
      </c>
      <c r="R135" s="98">
        <f t="shared" si="9"/>
        <v>28.939999999999998</v>
      </c>
      <c r="S135" s="98"/>
      <c r="T135" s="98"/>
      <c r="V135" s="16" t="s">
        <v>202</v>
      </c>
      <c r="W135" s="16">
        <v>0.77</v>
      </c>
      <c r="X135" s="16"/>
      <c r="Y135" s="16">
        <v>4.2300000000000004</v>
      </c>
      <c r="Z135" s="16">
        <v>0.61</v>
      </c>
      <c r="AA135" s="16"/>
      <c r="AB135" s="16">
        <f t="shared" si="10"/>
        <v>5</v>
      </c>
      <c r="AC135" s="16"/>
    </row>
    <row r="136" spans="1:29" ht="15.75" customHeight="1">
      <c r="A136" s="87"/>
      <c r="B136" s="87"/>
      <c r="C136" s="87">
        <v>3</v>
      </c>
      <c r="D136" s="87" t="s">
        <v>79</v>
      </c>
      <c r="E136" s="98"/>
      <c r="F136" s="98"/>
      <c r="G136" s="98"/>
      <c r="H136" s="94">
        <f>SUM(25.87-7.34)</f>
        <v>18.53</v>
      </c>
      <c r="I136" s="98"/>
      <c r="J136" s="98"/>
      <c r="K136" s="94">
        <f>SUM(39.04-7.34)</f>
        <v>31.7</v>
      </c>
      <c r="L136" s="98"/>
      <c r="M136" s="94">
        <f>SUM(3.38-2.85)</f>
        <v>0.5299999999999998</v>
      </c>
      <c r="N136" s="94">
        <f>SUM(10.28-7.34)</f>
        <v>2.9399999999999995</v>
      </c>
      <c r="O136" s="94">
        <f>SUM(3.58-2.85)</f>
        <v>0.73</v>
      </c>
      <c r="P136" s="98"/>
      <c r="Q136" s="98"/>
      <c r="R136" s="98">
        <f t="shared" si="9"/>
        <v>54.43</v>
      </c>
      <c r="S136" s="98"/>
      <c r="T136" s="98"/>
      <c r="V136" s="16" t="s">
        <v>202</v>
      </c>
      <c r="W136" s="16">
        <v>12.47</v>
      </c>
      <c r="X136" s="16"/>
      <c r="Y136" s="16">
        <v>4.0199999999999996</v>
      </c>
      <c r="Z136" s="16">
        <v>0.55000000000000004</v>
      </c>
      <c r="AA136" s="16"/>
      <c r="AB136" s="16">
        <f t="shared" si="10"/>
        <v>16.490000000000002</v>
      </c>
      <c r="AC136" s="16"/>
    </row>
    <row r="137" spans="1:29" ht="15.75" customHeight="1">
      <c r="A137" s="87"/>
      <c r="B137" s="87"/>
      <c r="C137" s="87">
        <v>3</v>
      </c>
      <c r="D137" s="87" t="s">
        <v>88</v>
      </c>
      <c r="E137" s="98"/>
      <c r="F137" s="98"/>
      <c r="G137" s="98"/>
      <c r="H137" s="94">
        <f>SUM(17.2-7.34)</f>
        <v>9.86</v>
      </c>
      <c r="I137" s="98"/>
      <c r="J137" s="127"/>
      <c r="K137" s="94">
        <f>SUM(44.16-7.34)</f>
        <v>36.819999999999993</v>
      </c>
      <c r="L137" s="98"/>
      <c r="M137" s="94"/>
      <c r="N137" s="94">
        <f>SUM(13.39-7.34)</f>
        <v>6.0500000000000007</v>
      </c>
      <c r="O137" s="94">
        <f>SUM(3.06-2.85)</f>
        <v>0.20999999999999996</v>
      </c>
      <c r="P137" s="98"/>
      <c r="Q137" s="98"/>
      <c r="R137" s="98">
        <f t="shared" si="9"/>
        <v>52.939999999999991</v>
      </c>
      <c r="S137" s="98"/>
      <c r="T137" s="98"/>
      <c r="V137" s="16" t="s">
        <v>202</v>
      </c>
      <c r="W137" s="16">
        <v>2.95</v>
      </c>
      <c r="X137" s="16"/>
      <c r="Y137" s="16">
        <v>4.9000000000000004</v>
      </c>
      <c r="Z137" s="16">
        <v>0.18</v>
      </c>
      <c r="AA137" s="16"/>
      <c r="AB137" s="16">
        <f t="shared" si="10"/>
        <v>7.8500000000000005</v>
      </c>
      <c r="AC137" s="16">
        <f>SUM(AB133:AB137)/5</f>
        <v>9.0660000000000007</v>
      </c>
    </row>
    <row r="138" spans="1:29" ht="15.75" customHeight="1">
      <c r="A138" s="87"/>
      <c r="B138" s="87"/>
      <c r="C138" s="87">
        <v>4</v>
      </c>
      <c r="D138" s="87" t="s">
        <v>83</v>
      </c>
      <c r="E138" s="94">
        <f>SUM(3.57-2.85)</f>
        <v>0.71999999999999975</v>
      </c>
      <c r="F138" s="98"/>
      <c r="G138" s="98"/>
      <c r="H138" s="94">
        <f>SUM(34.98-19.89)</f>
        <v>15.089999999999996</v>
      </c>
      <c r="I138" s="98"/>
      <c r="J138" s="98"/>
      <c r="K138" s="94">
        <f>SUM(39.05-19.89)</f>
        <v>19.159999999999997</v>
      </c>
      <c r="L138" s="94">
        <f>SUM(2.99-2.85)</f>
        <v>0.14000000000000012</v>
      </c>
      <c r="M138" s="94">
        <f>SUM(3.36-2.85)</f>
        <v>0.50999999999999979</v>
      </c>
      <c r="N138" s="94">
        <f>SUM(12.63-7.34)</f>
        <v>5.2900000000000009</v>
      </c>
      <c r="O138" s="94">
        <f>SUM(3.71-2.85)</f>
        <v>0.85999999999999988</v>
      </c>
      <c r="P138" s="98"/>
      <c r="Q138" s="94">
        <f>SUM(4.01-2.85)</f>
        <v>1.1599999999999997</v>
      </c>
      <c r="R138" s="98">
        <f t="shared" si="9"/>
        <v>41.769999999999989</v>
      </c>
      <c r="S138" s="98">
        <f>AVERAGE(R138:R142)</f>
        <v>55.281999999999996</v>
      </c>
      <c r="T138" s="94" t="s">
        <v>90</v>
      </c>
      <c r="U138" s="16"/>
      <c r="V138" s="16" t="s">
        <v>202</v>
      </c>
      <c r="W138" s="16">
        <v>2.37</v>
      </c>
      <c r="X138" s="16"/>
      <c r="Y138" s="126">
        <v>4.57</v>
      </c>
      <c r="Z138" s="16">
        <v>0.5</v>
      </c>
      <c r="AA138" s="16"/>
      <c r="AB138" s="16">
        <f t="shared" si="10"/>
        <v>6.94</v>
      </c>
      <c r="AC138" s="16"/>
    </row>
    <row r="139" spans="1:29" ht="15.75" customHeight="1">
      <c r="A139" s="87"/>
      <c r="B139" s="87"/>
      <c r="C139" s="87">
        <v>4</v>
      </c>
      <c r="D139" s="87" t="s">
        <v>85</v>
      </c>
      <c r="E139" s="98"/>
      <c r="F139" s="98"/>
      <c r="G139" s="98"/>
      <c r="H139" s="94">
        <f>SUM(34.69-19.89)</f>
        <v>14.799999999999997</v>
      </c>
      <c r="I139" s="98"/>
      <c r="J139" s="98"/>
      <c r="K139" s="94">
        <f>SUM(44.23-19.89)</f>
        <v>24.339999999999996</v>
      </c>
      <c r="L139" s="94">
        <f>SUM(3.26-2.85)</f>
        <v>0.4099999999999997</v>
      </c>
      <c r="M139" s="94">
        <f>SUM(4.2-2.85)</f>
        <v>1.35</v>
      </c>
      <c r="N139" s="94">
        <f>SUM(17.36-7.34)</f>
        <v>10.02</v>
      </c>
      <c r="O139" s="94">
        <f>SUM(3.07-2.85)</f>
        <v>0.21999999999999975</v>
      </c>
      <c r="P139" s="94">
        <f>SUM(3.13-2.85)</f>
        <v>0.2799999999999998</v>
      </c>
      <c r="Q139" s="94">
        <f>SUM(3.8-2.85)</f>
        <v>0.94999999999999973</v>
      </c>
      <c r="R139" s="98">
        <f t="shared" si="9"/>
        <v>51.419999999999987</v>
      </c>
      <c r="S139" s="98"/>
      <c r="T139" s="98"/>
      <c r="V139" s="16" t="s">
        <v>202</v>
      </c>
      <c r="W139" s="16">
        <v>3.32</v>
      </c>
      <c r="X139" s="16"/>
      <c r="Y139" s="16">
        <v>7.01</v>
      </c>
      <c r="Z139" s="16">
        <v>0.1</v>
      </c>
      <c r="AA139" s="16"/>
      <c r="AB139" s="16">
        <f t="shared" si="10"/>
        <v>10.33</v>
      </c>
      <c r="AC139" s="16"/>
    </row>
    <row r="140" spans="1:29" ht="15.75" customHeight="1">
      <c r="A140" s="87"/>
      <c r="B140" s="87"/>
      <c r="C140" s="87">
        <v>4</v>
      </c>
      <c r="D140" s="87" t="s">
        <v>87</v>
      </c>
      <c r="E140" s="98"/>
      <c r="F140" s="98"/>
      <c r="G140" s="98"/>
      <c r="H140" s="94">
        <f>SUM(53.15-19.89)</f>
        <v>33.26</v>
      </c>
      <c r="J140" s="98"/>
      <c r="K140" s="94">
        <f>SUM(39.71-19.89)</f>
        <v>19.82</v>
      </c>
      <c r="L140" s="98"/>
      <c r="M140" s="98"/>
      <c r="N140" s="94">
        <f>SUM(14.08-7.34)</f>
        <v>6.74</v>
      </c>
      <c r="O140" s="94">
        <f>SUM(3.11-2.85)</f>
        <v>0.25999999999999979</v>
      </c>
      <c r="P140" s="98"/>
      <c r="Q140" s="94">
        <f>SUM(6.43-2.85)</f>
        <v>3.5799999999999996</v>
      </c>
      <c r="R140" s="98">
        <f t="shared" si="9"/>
        <v>60.08</v>
      </c>
      <c r="S140" s="98"/>
      <c r="T140" s="98"/>
      <c r="V140" s="16" t="s">
        <v>202</v>
      </c>
      <c r="W140" s="16">
        <v>0.52</v>
      </c>
      <c r="X140" s="16"/>
      <c r="Y140" s="16">
        <v>4.46</v>
      </c>
      <c r="Z140" s="16">
        <v>1.63</v>
      </c>
      <c r="AA140" s="16"/>
      <c r="AB140" s="16">
        <f t="shared" si="10"/>
        <v>4.9800000000000004</v>
      </c>
      <c r="AC140" s="16"/>
    </row>
    <row r="141" spans="1:29" ht="15.75" customHeight="1">
      <c r="A141" s="87"/>
      <c r="B141" s="87"/>
      <c r="C141" s="87">
        <v>4</v>
      </c>
      <c r="D141" s="87" t="s">
        <v>79</v>
      </c>
      <c r="E141" s="98"/>
      <c r="F141" s="94">
        <f>SUM(3.02-2.85)</f>
        <v>0.16999999999999993</v>
      </c>
      <c r="G141" s="94"/>
      <c r="H141" s="94">
        <f>SUM(45.38-19.89)</f>
        <v>25.490000000000002</v>
      </c>
      <c r="I141" s="98"/>
      <c r="J141" s="98"/>
      <c r="K141" s="94">
        <f>SUM(49.85-19.89)</f>
        <v>29.96</v>
      </c>
      <c r="L141" s="98"/>
      <c r="M141" s="98"/>
      <c r="N141" s="94">
        <f>SUM(13.29-7.34)</f>
        <v>5.9499999999999993</v>
      </c>
      <c r="O141" s="94"/>
      <c r="P141" s="98"/>
      <c r="Q141" s="94">
        <f>SUM(2.96-2.85)</f>
        <v>0.10999999999999988</v>
      </c>
      <c r="R141" s="98">
        <f t="shared" si="9"/>
        <v>61.570000000000007</v>
      </c>
      <c r="S141" s="98"/>
      <c r="T141" s="98"/>
      <c r="V141" s="16" t="s">
        <v>202</v>
      </c>
      <c r="W141" s="16">
        <v>0.28000000000000003</v>
      </c>
      <c r="X141" s="16"/>
      <c r="Y141" s="16">
        <v>1.05</v>
      </c>
      <c r="Z141" s="16">
        <v>0.06</v>
      </c>
      <c r="AA141" s="16"/>
      <c r="AB141" s="16">
        <f t="shared" si="10"/>
        <v>1.33</v>
      </c>
      <c r="AC141" s="16"/>
    </row>
    <row r="142" spans="1:29" ht="15.75" customHeight="1">
      <c r="A142" s="87"/>
      <c r="B142" s="87"/>
      <c r="C142" s="87">
        <v>4</v>
      </c>
      <c r="D142" s="87" t="s">
        <v>88</v>
      </c>
      <c r="E142" s="98"/>
      <c r="F142" s="94">
        <f>SUM(3.1-2.85)</f>
        <v>0.25</v>
      </c>
      <c r="G142" s="94"/>
      <c r="H142" s="94">
        <f>SUM(33.98-19.89)</f>
        <v>14.089999999999996</v>
      </c>
      <c r="I142" s="98"/>
      <c r="J142" s="98"/>
      <c r="K142" s="94">
        <f>SUM(58.27-19.89)</f>
        <v>38.380000000000003</v>
      </c>
      <c r="L142" s="94">
        <f>SUM(11.92-7.34)</f>
        <v>4.58</v>
      </c>
      <c r="M142" s="94">
        <f>SUM(9.95-7.34)</f>
        <v>2.6099999999999994</v>
      </c>
      <c r="N142" s="94">
        <f>SUM(8.91-7.34)</f>
        <v>1.5700000000000003</v>
      </c>
      <c r="O142" s="94">
        <f>SUM(2.94-2.85)</f>
        <v>8.9999999999999858E-2</v>
      </c>
      <c r="P142" s="98"/>
      <c r="Q142" s="94">
        <f>SUM(2.85-2.85)</f>
        <v>0</v>
      </c>
      <c r="R142" s="98">
        <f t="shared" si="9"/>
        <v>61.569999999999993</v>
      </c>
      <c r="S142" s="98"/>
      <c r="T142" s="98"/>
      <c r="V142" s="16" t="s">
        <v>202</v>
      </c>
      <c r="W142" s="125">
        <f>10.87-4.77</f>
        <v>6.1</v>
      </c>
      <c r="X142" s="125"/>
      <c r="Y142" s="16">
        <v>3.04</v>
      </c>
      <c r="Z142" s="16">
        <v>3.6</v>
      </c>
      <c r="AA142" s="16"/>
      <c r="AB142" s="16">
        <f t="shared" si="10"/>
        <v>9.14</v>
      </c>
      <c r="AC142" s="16">
        <f>SUM(AB138:AB142)/5</f>
        <v>6.5439999999999996</v>
      </c>
    </row>
    <row r="143" spans="1:29" ht="15.75" customHeight="1">
      <c r="A143" s="87" t="s">
        <v>106</v>
      </c>
      <c r="B143" s="87" t="s">
        <v>107</v>
      </c>
      <c r="C143" s="87">
        <v>1</v>
      </c>
      <c r="D143" s="87" t="s">
        <v>83</v>
      </c>
      <c r="E143" s="98"/>
      <c r="F143" s="98"/>
      <c r="G143" s="98"/>
      <c r="H143" s="98"/>
      <c r="I143" s="98"/>
      <c r="J143" s="98"/>
      <c r="K143" s="98"/>
      <c r="L143" s="98"/>
      <c r="M143" s="98"/>
      <c r="N143" s="98"/>
      <c r="O143" s="98"/>
      <c r="P143" s="98"/>
      <c r="Q143" s="98"/>
      <c r="R143" s="94">
        <f>265.1-14.8</f>
        <v>250.3</v>
      </c>
      <c r="S143" s="98"/>
      <c r="T143" s="94" t="s">
        <v>304</v>
      </c>
      <c r="U143" s="16"/>
      <c r="V143" s="16"/>
      <c r="W143" s="16"/>
      <c r="X143" s="16"/>
      <c r="Y143" s="16"/>
      <c r="Z143" s="16"/>
      <c r="AA143" s="16"/>
      <c r="AB143" s="16">
        <f t="shared" ref="AB143:AB222" si="11">W143+Y143+V143</f>
        <v>0</v>
      </c>
      <c r="AC143" s="16"/>
    </row>
    <row r="144" spans="1:29" ht="15.75" customHeight="1">
      <c r="A144" s="87"/>
      <c r="B144" s="87"/>
      <c r="C144" s="87">
        <v>1</v>
      </c>
      <c r="D144" s="87" t="s">
        <v>108</v>
      </c>
      <c r="E144" s="98"/>
      <c r="F144" s="98"/>
      <c r="G144" s="98"/>
      <c r="H144" s="98"/>
      <c r="I144" s="94"/>
      <c r="J144" s="98"/>
      <c r="K144" s="98"/>
      <c r="L144" s="98"/>
      <c r="M144" s="98"/>
      <c r="N144" s="98"/>
      <c r="O144" s="98"/>
      <c r="P144" s="98"/>
      <c r="Q144" s="98"/>
      <c r="R144" s="94">
        <f>286.3-14.8</f>
        <v>271.5</v>
      </c>
      <c r="S144" s="98"/>
      <c r="T144" s="98" t="s">
        <v>305</v>
      </c>
      <c r="Y144" s="16">
        <v>4.67</v>
      </c>
      <c r="Z144" s="16">
        <v>0.98</v>
      </c>
      <c r="AA144" s="16"/>
      <c r="AB144" s="16">
        <f t="shared" si="11"/>
        <v>4.67</v>
      </c>
      <c r="AC144" s="16"/>
    </row>
    <row r="145" spans="1:29" ht="15.75" customHeight="1">
      <c r="A145" s="87"/>
      <c r="B145" s="87"/>
      <c r="C145" s="87">
        <v>1</v>
      </c>
      <c r="D145" s="87" t="s">
        <v>109</v>
      </c>
      <c r="E145" s="98"/>
      <c r="F145" s="98"/>
      <c r="G145" s="98"/>
      <c r="H145" s="94"/>
      <c r="I145" s="98"/>
      <c r="J145" s="98"/>
      <c r="K145" s="98"/>
      <c r="L145" s="98"/>
      <c r="M145" s="98"/>
      <c r="N145" s="98"/>
      <c r="O145" s="98"/>
      <c r="P145" s="98"/>
      <c r="Q145" s="98"/>
      <c r="R145" s="94">
        <v>251.1</v>
      </c>
      <c r="S145" s="98"/>
      <c r="T145" s="16" t="s">
        <v>306</v>
      </c>
      <c r="AB145" s="16">
        <f t="shared" si="11"/>
        <v>0</v>
      </c>
      <c r="AC145" s="16"/>
    </row>
    <row r="146" spans="1:29" ht="15.75" customHeight="1">
      <c r="A146" s="87"/>
      <c r="B146" s="87"/>
      <c r="C146" s="87">
        <v>1</v>
      </c>
      <c r="D146" s="87" t="s">
        <v>87</v>
      </c>
      <c r="E146" s="98"/>
      <c r="F146" s="98"/>
      <c r="G146" s="98"/>
      <c r="H146" s="94"/>
      <c r="I146" s="98"/>
      <c r="J146" s="98"/>
      <c r="K146" s="98"/>
      <c r="L146" s="98"/>
      <c r="M146" s="98"/>
      <c r="N146" s="98"/>
      <c r="O146" s="98"/>
      <c r="P146" s="98"/>
      <c r="Q146" s="98"/>
      <c r="R146" s="94">
        <f>252.5-(2*14.8)</f>
        <v>222.9</v>
      </c>
      <c r="S146" s="98"/>
      <c r="T146" s="16" t="s">
        <v>307</v>
      </c>
      <c r="AB146" s="16">
        <f t="shared" si="11"/>
        <v>0</v>
      </c>
      <c r="AC146" s="16"/>
    </row>
    <row r="147" spans="1:29" ht="15.75" customHeight="1">
      <c r="A147" s="87"/>
      <c r="B147" s="87"/>
      <c r="C147" s="87">
        <v>1</v>
      </c>
      <c r="D147" s="87" t="s">
        <v>79</v>
      </c>
      <c r="E147" s="98"/>
      <c r="F147" s="98"/>
      <c r="G147" s="98"/>
      <c r="H147" s="94"/>
      <c r="I147" s="98"/>
      <c r="J147" s="98"/>
      <c r="K147" s="98"/>
      <c r="L147" s="98"/>
      <c r="M147" s="98"/>
      <c r="N147" s="98"/>
      <c r="O147" s="98"/>
      <c r="P147" s="98"/>
      <c r="Q147" s="98"/>
      <c r="R147" s="94">
        <f>278.2-14.8</f>
        <v>263.39999999999998</v>
      </c>
      <c r="S147" s="98"/>
      <c r="T147" s="16" t="s">
        <v>306</v>
      </c>
      <c r="AB147" s="16">
        <f t="shared" si="11"/>
        <v>0</v>
      </c>
      <c r="AC147" s="16">
        <f>SUM(AB143:AB147)/5</f>
        <v>0.93399999999999994</v>
      </c>
    </row>
    <row r="148" spans="1:29" ht="15.75" customHeight="1">
      <c r="A148" s="87"/>
      <c r="B148" s="87"/>
      <c r="C148" s="87">
        <v>2</v>
      </c>
      <c r="D148" s="87" t="s">
        <v>83</v>
      </c>
      <c r="E148" s="98"/>
      <c r="F148" s="98"/>
      <c r="G148" s="98"/>
      <c r="H148" s="94"/>
      <c r="I148" s="98"/>
      <c r="J148" s="98"/>
      <c r="K148" s="98"/>
      <c r="L148" s="98"/>
      <c r="M148" s="98"/>
      <c r="N148" s="98"/>
      <c r="O148" s="98"/>
      <c r="P148" s="98"/>
      <c r="Q148" s="98"/>
      <c r="R148" s="94">
        <f>255.6-(2*14.8)</f>
        <v>226</v>
      </c>
      <c r="S148" s="98"/>
      <c r="T148" s="94" t="s">
        <v>308</v>
      </c>
      <c r="U148" s="16"/>
      <c r="V148" s="16"/>
      <c r="W148" s="16"/>
      <c r="X148" s="16"/>
      <c r="Y148" s="16"/>
      <c r="Z148" s="16"/>
      <c r="AA148" s="16"/>
      <c r="AB148" s="16">
        <f t="shared" si="11"/>
        <v>0</v>
      </c>
      <c r="AC148" s="16"/>
    </row>
    <row r="149" spans="1:29" ht="15.75" customHeight="1">
      <c r="A149" s="87"/>
      <c r="B149" s="87"/>
      <c r="C149" s="87">
        <v>2</v>
      </c>
      <c r="D149" s="87" t="s">
        <v>108</v>
      </c>
      <c r="E149" s="98"/>
      <c r="F149" s="98"/>
      <c r="G149" s="98"/>
      <c r="H149" s="98"/>
      <c r="I149" s="98"/>
      <c r="J149" s="98"/>
      <c r="K149" s="98"/>
      <c r="L149" s="98"/>
      <c r="M149" s="98"/>
      <c r="N149" s="98"/>
      <c r="O149" s="98"/>
      <c r="P149" s="98"/>
      <c r="Q149" s="98"/>
      <c r="R149" s="94">
        <f>204-14.8</f>
        <v>189.2</v>
      </c>
      <c r="S149" s="98"/>
      <c r="T149" s="16" t="s">
        <v>306</v>
      </c>
      <c r="AB149" s="16">
        <f t="shared" si="11"/>
        <v>0</v>
      </c>
      <c r="AC149" s="16"/>
    </row>
    <row r="150" spans="1:29" ht="14.25" customHeight="1">
      <c r="A150" s="87"/>
      <c r="B150" s="87"/>
      <c r="C150" s="87">
        <v>2</v>
      </c>
      <c r="D150" s="87" t="s">
        <v>109</v>
      </c>
      <c r="E150" s="98"/>
      <c r="F150" s="98"/>
      <c r="G150" s="98"/>
      <c r="H150" s="98"/>
      <c r="I150" s="98"/>
      <c r="J150" s="98"/>
      <c r="K150" s="98"/>
      <c r="L150" s="98"/>
      <c r="M150" s="98"/>
      <c r="N150" s="98"/>
      <c r="O150" s="98"/>
      <c r="P150" s="98"/>
      <c r="Q150" s="98"/>
      <c r="R150" s="94">
        <f>243-14.8</f>
        <v>228.2</v>
      </c>
      <c r="S150" s="94" t="s">
        <v>206</v>
      </c>
      <c r="T150" s="16" t="s">
        <v>306</v>
      </c>
      <c r="AB150" s="16">
        <f t="shared" si="11"/>
        <v>0</v>
      </c>
      <c r="AC150" s="16"/>
    </row>
    <row r="151" spans="1:29" ht="15.75" customHeight="1">
      <c r="A151" s="87"/>
      <c r="B151" s="87"/>
      <c r="C151" s="87">
        <v>2</v>
      </c>
      <c r="D151" s="87" t="s">
        <v>87</v>
      </c>
      <c r="E151" s="98"/>
      <c r="F151" s="98"/>
      <c r="G151" s="98"/>
      <c r="H151" s="98"/>
      <c r="I151" s="98"/>
      <c r="J151" s="98"/>
      <c r="K151" s="98"/>
      <c r="L151" s="98"/>
      <c r="M151" s="98"/>
      <c r="N151" s="98"/>
      <c r="O151" s="98"/>
      <c r="P151" s="98"/>
      <c r="Q151" s="98"/>
      <c r="R151" s="94">
        <f>230.7-14.8</f>
        <v>215.89999999999998</v>
      </c>
      <c r="S151" s="98"/>
      <c r="T151" s="16" t="s">
        <v>306</v>
      </c>
      <c r="W151" s="16">
        <v>1.77</v>
      </c>
      <c r="X151" s="16"/>
      <c r="Y151" s="16">
        <v>3.47</v>
      </c>
      <c r="Z151" s="16">
        <v>3.94</v>
      </c>
      <c r="AA151" s="16"/>
      <c r="AB151" s="16">
        <f t="shared" si="11"/>
        <v>5.24</v>
      </c>
      <c r="AC151" s="16"/>
    </row>
    <row r="152" spans="1:29" ht="15.75" customHeight="1">
      <c r="A152" s="87"/>
      <c r="B152" s="87"/>
      <c r="C152" s="87">
        <v>2</v>
      </c>
      <c r="D152" s="87" t="s">
        <v>79</v>
      </c>
      <c r="E152" s="98"/>
      <c r="F152" s="98"/>
      <c r="G152" s="98"/>
      <c r="H152" s="98"/>
      <c r="I152" s="98"/>
      <c r="J152" s="98"/>
      <c r="K152" s="98"/>
      <c r="L152" s="98"/>
      <c r="M152" s="98"/>
      <c r="N152" s="98"/>
      <c r="O152" s="98"/>
      <c r="P152" s="98"/>
      <c r="Q152" s="98"/>
      <c r="R152" s="94">
        <f>312.6-28.1</f>
        <v>284.5</v>
      </c>
      <c r="S152" s="98"/>
      <c r="T152" s="16" t="s">
        <v>309</v>
      </c>
      <c r="W152" s="16">
        <v>1.66</v>
      </c>
      <c r="X152" s="16"/>
      <c r="Y152" s="16">
        <v>4.1900000000000004</v>
      </c>
      <c r="Z152" s="16">
        <v>2.38</v>
      </c>
      <c r="AA152" s="16"/>
      <c r="AB152" s="16">
        <f t="shared" si="11"/>
        <v>5.8500000000000005</v>
      </c>
      <c r="AC152" s="16">
        <f>SUM(AB148:AB152)/5</f>
        <v>2.218</v>
      </c>
    </row>
    <row r="153" spans="1:29" ht="15.75" customHeight="1">
      <c r="A153" s="87"/>
      <c r="B153" s="87"/>
      <c r="C153" s="87">
        <v>3</v>
      </c>
      <c r="D153" s="87" t="s">
        <v>83</v>
      </c>
      <c r="E153" s="98"/>
      <c r="F153" s="98"/>
      <c r="G153" s="98"/>
      <c r="H153" s="98"/>
      <c r="I153" s="98"/>
      <c r="J153" s="98"/>
      <c r="K153" s="98"/>
      <c r="L153" s="98"/>
      <c r="M153" s="98"/>
      <c r="N153" s="98"/>
      <c r="O153" s="98"/>
      <c r="P153" s="98"/>
      <c r="Q153" s="98"/>
      <c r="R153" s="94">
        <f>196-(2*14.8)</f>
        <v>166.4</v>
      </c>
      <c r="S153" s="98"/>
      <c r="T153" s="94" t="s">
        <v>310</v>
      </c>
      <c r="U153" s="16"/>
      <c r="V153" s="16"/>
      <c r="W153" s="16">
        <v>2.46</v>
      </c>
      <c r="X153" s="16"/>
      <c r="Y153" s="16">
        <v>4.05</v>
      </c>
      <c r="Z153" s="16">
        <v>1.0900000000000001</v>
      </c>
      <c r="AA153" s="16"/>
      <c r="AB153" s="16">
        <f t="shared" si="11"/>
        <v>6.51</v>
      </c>
      <c r="AC153" s="16"/>
    </row>
    <row r="154" spans="1:29" ht="15.75" customHeight="1">
      <c r="A154" s="87"/>
      <c r="B154" s="87"/>
      <c r="C154" s="87">
        <v>3</v>
      </c>
      <c r="D154" s="87" t="s">
        <v>108</v>
      </c>
      <c r="E154" s="98"/>
      <c r="F154" s="98"/>
      <c r="G154" s="98"/>
      <c r="H154" s="98"/>
      <c r="I154" s="98"/>
      <c r="J154" s="98"/>
      <c r="K154" s="98"/>
      <c r="L154" s="98"/>
      <c r="M154" s="98"/>
      <c r="N154" s="98"/>
      <c r="O154" s="98"/>
      <c r="P154" s="98"/>
      <c r="Q154" s="98"/>
      <c r="R154" s="94">
        <f>304.9-14.8</f>
        <v>290.09999999999997</v>
      </c>
      <c r="S154" s="98"/>
      <c r="T154" s="16" t="s">
        <v>306</v>
      </c>
      <c r="AB154" s="16">
        <f t="shared" si="11"/>
        <v>0</v>
      </c>
      <c r="AC154" s="16"/>
    </row>
    <row r="155" spans="1:29" ht="16.5" customHeight="1">
      <c r="A155" s="87"/>
      <c r="B155" s="87"/>
      <c r="C155" s="87">
        <v>3</v>
      </c>
      <c r="D155" s="87" t="s">
        <v>109</v>
      </c>
      <c r="E155" s="98"/>
      <c r="F155" s="98"/>
      <c r="G155" s="98"/>
      <c r="H155" s="98"/>
      <c r="I155" s="98"/>
      <c r="J155" s="98"/>
      <c r="K155" s="98"/>
      <c r="L155" s="98"/>
      <c r="M155" s="98"/>
      <c r="N155" s="98"/>
      <c r="O155" s="98"/>
      <c r="P155" s="98"/>
      <c r="Q155" s="98"/>
      <c r="R155" s="94">
        <f>389.7-(2*14.8)</f>
        <v>360.09999999999997</v>
      </c>
      <c r="S155" s="98"/>
      <c r="T155" s="16" t="s">
        <v>311</v>
      </c>
      <c r="AB155" s="16">
        <f t="shared" si="11"/>
        <v>0</v>
      </c>
      <c r="AC155" s="16"/>
    </row>
    <row r="156" spans="1:29" ht="15.75" customHeight="1">
      <c r="A156" s="87"/>
      <c r="B156" s="87"/>
      <c r="C156" s="87">
        <v>3</v>
      </c>
      <c r="D156" s="87" t="s">
        <v>87</v>
      </c>
      <c r="E156" s="98"/>
      <c r="F156" s="98"/>
      <c r="G156" s="98"/>
      <c r="H156" s="98"/>
      <c r="I156" s="98"/>
      <c r="J156" s="98"/>
      <c r="K156" s="98"/>
      <c r="L156" s="98"/>
      <c r="M156" s="98"/>
      <c r="N156" s="98"/>
      <c r="O156" s="98"/>
      <c r="P156" s="98"/>
      <c r="Q156" s="98"/>
      <c r="R156" s="94">
        <f>267.2-14.8</f>
        <v>252.39999999999998</v>
      </c>
      <c r="S156" s="98"/>
      <c r="T156" s="16" t="s">
        <v>306</v>
      </c>
      <c r="AB156" s="16">
        <f t="shared" si="11"/>
        <v>0</v>
      </c>
      <c r="AC156" s="16"/>
    </row>
    <row r="157" spans="1:29" ht="15.75" customHeight="1">
      <c r="A157" s="87"/>
      <c r="B157" s="87"/>
      <c r="C157" s="87">
        <v>3</v>
      </c>
      <c r="D157" s="87" t="s">
        <v>79</v>
      </c>
      <c r="E157" s="98"/>
      <c r="F157" s="98"/>
      <c r="G157" s="98"/>
      <c r="H157" s="98"/>
      <c r="I157" s="98"/>
      <c r="J157" s="98"/>
      <c r="K157" s="98"/>
      <c r="L157" s="98"/>
      <c r="M157" s="98"/>
      <c r="N157" s="98"/>
      <c r="O157" s="98"/>
      <c r="P157" s="98"/>
      <c r="Q157" s="98"/>
      <c r="R157" s="94">
        <f>292.4-14.8</f>
        <v>277.59999999999997</v>
      </c>
      <c r="S157" s="98"/>
      <c r="T157" s="16" t="s">
        <v>306</v>
      </c>
      <c r="AB157" s="16">
        <f t="shared" si="11"/>
        <v>0</v>
      </c>
      <c r="AC157" s="16">
        <f>SUM(AB153:AB157)/5</f>
        <v>1.302</v>
      </c>
    </row>
    <row r="158" spans="1:29" ht="15.75" customHeight="1">
      <c r="A158" s="87"/>
      <c r="B158" s="87"/>
      <c r="C158" s="87">
        <v>4</v>
      </c>
      <c r="D158" s="87" t="s">
        <v>83</v>
      </c>
      <c r="E158" s="98"/>
      <c r="F158" s="98"/>
      <c r="G158" s="98"/>
      <c r="H158" s="98"/>
      <c r="I158" s="98"/>
      <c r="J158" s="98"/>
      <c r="K158" s="98"/>
      <c r="L158" s="98"/>
      <c r="M158" s="98"/>
      <c r="N158" s="98"/>
      <c r="O158" s="98"/>
      <c r="P158" s="98"/>
      <c r="Q158" s="98"/>
      <c r="R158" s="94">
        <f>226.1-14.8</f>
        <v>211.29999999999998</v>
      </c>
      <c r="S158" s="98"/>
      <c r="T158" s="94" t="s">
        <v>312</v>
      </c>
      <c r="U158" s="16"/>
      <c r="V158" s="16"/>
      <c r="W158" s="16"/>
      <c r="X158" s="16"/>
      <c r="Y158" s="16"/>
      <c r="Z158" s="16"/>
      <c r="AA158" s="16"/>
      <c r="AB158" s="16">
        <f t="shared" si="11"/>
        <v>0</v>
      </c>
      <c r="AC158" s="16"/>
    </row>
    <row r="159" spans="1:29" ht="15.75" customHeight="1">
      <c r="A159" s="87"/>
      <c r="B159" s="87"/>
      <c r="C159" s="87">
        <v>4</v>
      </c>
      <c r="D159" s="87" t="s">
        <v>108</v>
      </c>
      <c r="E159" s="98"/>
      <c r="F159" s="98"/>
      <c r="G159" s="98"/>
      <c r="H159" s="98"/>
      <c r="I159" s="98"/>
      <c r="J159" s="98"/>
      <c r="K159" s="98"/>
      <c r="L159" s="98"/>
      <c r="M159" s="98"/>
      <c r="N159" s="98"/>
      <c r="O159" s="98"/>
      <c r="P159" s="98"/>
      <c r="Q159" s="98"/>
      <c r="R159" s="16">
        <f>254.2-14.8</f>
        <v>239.39999999999998</v>
      </c>
      <c r="S159" s="98"/>
      <c r="T159" s="16" t="s">
        <v>306</v>
      </c>
      <c r="V159" s="16">
        <v>0.28000000000000003</v>
      </c>
      <c r="W159">
        <f>12.23-7.34</f>
        <v>4.8900000000000006</v>
      </c>
      <c r="Y159" s="16">
        <v>4.45</v>
      </c>
      <c r="Z159" s="16">
        <v>3.73</v>
      </c>
      <c r="AA159" s="16"/>
      <c r="AB159" s="16">
        <f t="shared" si="11"/>
        <v>9.6199999999999992</v>
      </c>
      <c r="AC159" s="16"/>
    </row>
    <row r="160" spans="1:29" ht="15.75" customHeight="1">
      <c r="A160" s="87"/>
      <c r="B160" s="87"/>
      <c r="C160" s="87">
        <v>4</v>
      </c>
      <c r="D160" s="87" t="s">
        <v>109</v>
      </c>
      <c r="E160" s="98"/>
      <c r="F160" s="98"/>
      <c r="G160" s="98"/>
      <c r="H160" s="98"/>
      <c r="I160" s="98"/>
      <c r="J160" s="98"/>
      <c r="K160" s="98"/>
      <c r="L160" s="98"/>
      <c r="M160" s="98"/>
      <c r="N160" s="98"/>
      <c r="O160" s="98"/>
      <c r="P160" s="98"/>
      <c r="Q160" s="98"/>
      <c r="R160" s="94">
        <f>174.4-14.8</f>
        <v>159.6</v>
      </c>
      <c r="S160" s="98"/>
      <c r="T160" s="16" t="s">
        <v>306</v>
      </c>
      <c r="AB160" s="16">
        <f t="shared" si="11"/>
        <v>0</v>
      </c>
      <c r="AC160" s="16"/>
    </row>
    <row r="161" spans="1:29" ht="15.75" customHeight="1">
      <c r="A161" s="87"/>
      <c r="B161" s="87"/>
      <c r="C161" s="87">
        <v>4</v>
      </c>
      <c r="D161" s="87" t="s">
        <v>87</v>
      </c>
      <c r="E161" s="98"/>
      <c r="F161" s="98"/>
      <c r="G161" s="98"/>
      <c r="H161" s="98"/>
      <c r="I161" s="98"/>
      <c r="J161" s="98"/>
      <c r="K161" s="98"/>
      <c r="L161" s="98"/>
      <c r="M161" s="98"/>
      <c r="N161" s="98"/>
      <c r="O161" s="98"/>
      <c r="P161" s="98"/>
      <c r="Q161" s="98"/>
      <c r="R161" s="94">
        <f>296.3-(2*14.8)</f>
        <v>266.7</v>
      </c>
      <c r="S161" s="98"/>
      <c r="T161" s="16" t="s">
        <v>307</v>
      </c>
      <c r="Z161" s="16">
        <v>5.24</v>
      </c>
      <c r="AA161" s="16"/>
      <c r="AB161" s="16">
        <f t="shared" si="11"/>
        <v>0</v>
      </c>
      <c r="AC161" s="16"/>
    </row>
    <row r="162" spans="1:29" ht="15.75" customHeight="1">
      <c r="A162" s="87"/>
      <c r="B162" s="87"/>
      <c r="C162" s="87">
        <v>4</v>
      </c>
      <c r="D162" s="87" t="s">
        <v>79</v>
      </c>
      <c r="E162" s="98"/>
      <c r="F162" s="98"/>
      <c r="G162" s="98"/>
      <c r="H162" s="98"/>
      <c r="I162" s="98"/>
      <c r="J162" s="98"/>
      <c r="K162" s="98"/>
      <c r="L162" s="98"/>
      <c r="M162" s="98"/>
      <c r="N162" s="98"/>
      <c r="O162" s="98"/>
      <c r="P162" s="98"/>
      <c r="Q162" s="98"/>
      <c r="R162" s="94">
        <f>178.9-14.8</f>
        <v>164.1</v>
      </c>
      <c r="S162" s="98"/>
      <c r="T162" s="16" t="s">
        <v>306</v>
      </c>
      <c r="U162" s="16">
        <v>0.14000000000000001</v>
      </c>
      <c r="Z162" s="16">
        <v>2.87</v>
      </c>
      <c r="AA162" s="16"/>
      <c r="AB162" s="16">
        <f t="shared" si="11"/>
        <v>0</v>
      </c>
      <c r="AC162" s="16">
        <f>SUM(AB158:AB162)/5</f>
        <v>1.9239999999999999</v>
      </c>
    </row>
    <row r="163" spans="1:29" ht="15.75" customHeight="1">
      <c r="A163" s="87" t="s">
        <v>106</v>
      </c>
      <c r="B163" s="87" t="s">
        <v>110</v>
      </c>
      <c r="C163" s="87">
        <v>1</v>
      </c>
      <c r="D163" s="87" t="s">
        <v>83</v>
      </c>
      <c r="E163" s="94" t="s">
        <v>313</v>
      </c>
      <c r="F163" s="94" t="s">
        <v>313</v>
      </c>
      <c r="G163" s="94"/>
      <c r="H163" s="94" t="s">
        <v>313</v>
      </c>
      <c r="I163" s="94" t="s">
        <v>313</v>
      </c>
      <c r="J163" s="94" t="s">
        <v>313</v>
      </c>
      <c r="K163" s="94" t="s">
        <v>313</v>
      </c>
      <c r="L163" s="94" t="s">
        <v>313</v>
      </c>
      <c r="M163" s="94" t="s">
        <v>313</v>
      </c>
      <c r="N163" s="94" t="s">
        <v>313</v>
      </c>
      <c r="O163" s="94" t="s">
        <v>313</v>
      </c>
      <c r="P163" s="94"/>
      <c r="Q163" s="94" t="s">
        <v>313</v>
      </c>
      <c r="R163" s="128">
        <v>54.13</v>
      </c>
      <c r="S163" s="98"/>
      <c r="T163" s="94" t="s">
        <v>92</v>
      </c>
      <c r="U163" s="16"/>
      <c r="V163" s="16"/>
      <c r="W163" s="16"/>
      <c r="X163" s="16"/>
      <c r="Y163" s="16"/>
      <c r="Z163" s="16"/>
      <c r="AA163" s="16"/>
      <c r="AB163" s="16">
        <f t="shared" si="11"/>
        <v>0</v>
      </c>
      <c r="AC163" s="16"/>
    </row>
    <row r="164" spans="1:29" ht="15.75" customHeight="1">
      <c r="A164" s="87"/>
      <c r="B164" s="87"/>
      <c r="C164" s="87">
        <v>1</v>
      </c>
      <c r="D164" s="87" t="s">
        <v>85</v>
      </c>
      <c r="E164" s="94" t="s">
        <v>313</v>
      </c>
      <c r="F164" s="94" t="s">
        <v>313</v>
      </c>
      <c r="G164" s="94"/>
      <c r="H164" s="94" t="s">
        <v>313</v>
      </c>
      <c r="I164" s="94" t="s">
        <v>313</v>
      </c>
      <c r="J164" s="94" t="s">
        <v>313</v>
      </c>
      <c r="K164" s="94" t="s">
        <v>313</v>
      </c>
      <c r="L164" s="94" t="s">
        <v>313</v>
      </c>
      <c r="M164" s="94" t="s">
        <v>313</v>
      </c>
      <c r="N164" s="94" t="s">
        <v>313</v>
      </c>
      <c r="O164" s="94" t="s">
        <v>313</v>
      </c>
      <c r="P164" s="94"/>
      <c r="Q164" s="94" t="s">
        <v>313</v>
      </c>
      <c r="R164" s="128">
        <v>63.36</v>
      </c>
      <c r="S164" s="94"/>
      <c r="T164" s="94" t="s">
        <v>314</v>
      </c>
      <c r="U164" s="16"/>
      <c r="V164" s="16"/>
      <c r="W164" s="16"/>
      <c r="X164" s="16"/>
      <c r="Y164" s="16"/>
      <c r="Z164" s="16"/>
      <c r="AA164" s="16"/>
      <c r="AB164" s="16">
        <f t="shared" si="11"/>
        <v>0</v>
      </c>
      <c r="AC164" s="16"/>
    </row>
    <row r="165" spans="1:29" ht="15.75" customHeight="1">
      <c r="A165" s="87"/>
      <c r="B165" s="87"/>
      <c r="C165" s="87">
        <v>1</v>
      </c>
      <c r="D165" s="86" t="s">
        <v>87</v>
      </c>
      <c r="E165" s="94" t="s">
        <v>313</v>
      </c>
      <c r="F165" s="94" t="s">
        <v>313</v>
      </c>
      <c r="G165" s="94"/>
      <c r="H165" s="94" t="s">
        <v>313</v>
      </c>
      <c r="I165" s="94" t="s">
        <v>313</v>
      </c>
      <c r="J165" s="94" t="s">
        <v>313</v>
      </c>
      <c r="K165" s="94" t="s">
        <v>313</v>
      </c>
      <c r="L165" s="94" t="s">
        <v>313</v>
      </c>
      <c r="M165" s="94" t="s">
        <v>313</v>
      </c>
      <c r="N165" s="94" t="s">
        <v>313</v>
      </c>
      <c r="O165" s="94" t="s">
        <v>313</v>
      </c>
      <c r="P165" s="94"/>
      <c r="Q165" s="94" t="s">
        <v>313</v>
      </c>
      <c r="R165" s="128">
        <v>61.5</v>
      </c>
      <c r="S165" s="98"/>
      <c r="T165" s="98"/>
      <c r="AB165" s="16">
        <f t="shared" si="11"/>
        <v>0</v>
      </c>
      <c r="AC165" s="16"/>
    </row>
    <row r="166" spans="1:29" ht="15.75" customHeight="1">
      <c r="A166" s="87"/>
      <c r="B166" s="87"/>
      <c r="C166" s="87">
        <v>1</v>
      </c>
      <c r="D166" s="86" t="s">
        <v>79</v>
      </c>
      <c r="E166" s="94" t="s">
        <v>313</v>
      </c>
      <c r="F166" s="94" t="s">
        <v>313</v>
      </c>
      <c r="G166" s="94"/>
      <c r="H166" s="94" t="s">
        <v>313</v>
      </c>
      <c r="I166" s="94" t="s">
        <v>313</v>
      </c>
      <c r="J166" s="94" t="s">
        <v>313</v>
      </c>
      <c r="K166" s="94" t="s">
        <v>313</v>
      </c>
      <c r="L166" s="94" t="s">
        <v>313</v>
      </c>
      <c r="M166" s="94" t="s">
        <v>313</v>
      </c>
      <c r="N166" s="94" t="s">
        <v>313</v>
      </c>
      <c r="O166" s="94" t="s">
        <v>313</v>
      </c>
      <c r="P166" s="94"/>
      <c r="Q166" s="94" t="s">
        <v>313</v>
      </c>
      <c r="R166" s="128">
        <v>64.11</v>
      </c>
      <c r="S166" s="98"/>
      <c r="T166" s="98"/>
      <c r="AB166" s="16">
        <f t="shared" si="11"/>
        <v>0</v>
      </c>
      <c r="AC166" s="16"/>
    </row>
    <row r="167" spans="1:29" ht="15.75" customHeight="1">
      <c r="A167" s="87"/>
      <c r="B167" s="87"/>
      <c r="C167" s="87">
        <v>1</v>
      </c>
      <c r="D167" s="86" t="s">
        <v>88</v>
      </c>
      <c r="E167" s="94" t="s">
        <v>313</v>
      </c>
      <c r="F167" s="94" t="s">
        <v>313</v>
      </c>
      <c r="G167" s="94"/>
      <c r="H167" s="94" t="s">
        <v>313</v>
      </c>
      <c r="I167" s="94" t="s">
        <v>313</v>
      </c>
      <c r="J167" s="94" t="s">
        <v>313</v>
      </c>
      <c r="K167" s="94" t="s">
        <v>313</v>
      </c>
      <c r="L167" s="94" t="s">
        <v>313</v>
      </c>
      <c r="M167" s="94" t="s">
        <v>313</v>
      </c>
      <c r="N167" s="94" t="s">
        <v>313</v>
      </c>
      <c r="O167" s="94" t="s">
        <v>313</v>
      </c>
      <c r="P167" s="94"/>
      <c r="Q167" s="94" t="s">
        <v>313</v>
      </c>
      <c r="R167" s="128">
        <v>73.95</v>
      </c>
      <c r="S167" s="129">
        <f>AVERAGE(R163:R167)</f>
        <v>63.410000000000004</v>
      </c>
      <c r="T167" s="98"/>
      <c r="AB167" s="16">
        <f t="shared" si="11"/>
        <v>0</v>
      </c>
      <c r="AC167" s="16">
        <f>SUM(AB163:AB167)/5</f>
        <v>0</v>
      </c>
    </row>
    <row r="168" spans="1:29" ht="15.75" customHeight="1">
      <c r="A168" s="87"/>
      <c r="B168" s="87"/>
      <c r="C168" s="87">
        <v>2</v>
      </c>
      <c r="D168" s="87" t="s">
        <v>83</v>
      </c>
      <c r="E168" s="94" t="s">
        <v>313</v>
      </c>
      <c r="F168" s="94" t="s">
        <v>313</v>
      </c>
      <c r="G168" s="94"/>
      <c r="H168" s="94" t="s">
        <v>313</v>
      </c>
      <c r="I168" s="94" t="s">
        <v>313</v>
      </c>
      <c r="J168" s="94" t="s">
        <v>313</v>
      </c>
      <c r="K168" s="94" t="s">
        <v>313</v>
      </c>
      <c r="L168" s="94" t="s">
        <v>313</v>
      </c>
      <c r="M168" s="94" t="s">
        <v>313</v>
      </c>
      <c r="N168" s="94" t="s">
        <v>313</v>
      </c>
      <c r="O168" s="94" t="s">
        <v>313</v>
      </c>
      <c r="P168" s="94"/>
      <c r="Q168" s="94" t="s">
        <v>313</v>
      </c>
      <c r="R168" s="128">
        <v>69.790000000000006</v>
      </c>
      <c r="S168" s="98"/>
      <c r="T168" s="94" t="s">
        <v>93</v>
      </c>
      <c r="U168" s="16"/>
      <c r="V168" s="16"/>
      <c r="W168" s="16"/>
      <c r="X168" s="16"/>
      <c r="Y168" s="16"/>
      <c r="Z168" s="16"/>
      <c r="AA168" s="16"/>
      <c r="AB168" s="16">
        <f t="shared" si="11"/>
        <v>0</v>
      </c>
      <c r="AC168" s="16"/>
    </row>
    <row r="169" spans="1:29" ht="15.75" customHeight="1">
      <c r="A169" s="87"/>
      <c r="B169" s="87"/>
      <c r="C169" s="87">
        <v>2</v>
      </c>
      <c r="D169" s="87" t="s">
        <v>85</v>
      </c>
      <c r="E169" s="94" t="s">
        <v>313</v>
      </c>
      <c r="F169" s="94" t="s">
        <v>313</v>
      </c>
      <c r="G169" s="94"/>
      <c r="H169" s="94" t="s">
        <v>313</v>
      </c>
      <c r="I169" s="94" t="s">
        <v>313</v>
      </c>
      <c r="J169" s="94" t="s">
        <v>313</v>
      </c>
      <c r="K169" s="94" t="s">
        <v>313</v>
      </c>
      <c r="L169" s="94" t="s">
        <v>313</v>
      </c>
      <c r="M169" s="94" t="s">
        <v>313</v>
      </c>
      <c r="N169" s="94" t="s">
        <v>313</v>
      </c>
      <c r="O169" s="94" t="s">
        <v>313</v>
      </c>
      <c r="P169" s="94"/>
      <c r="Q169" s="94" t="s">
        <v>313</v>
      </c>
      <c r="R169" s="128">
        <v>65.47</v>
      </c>
      <c r="S169" s="98"/>
      <c r="T169" s="98"/>
      <c r="AB169" s="16">
        <f t="shared" si="11"/>
        <v>0</v>
      </c>
      <c r="AC169" s="16"/>
    </row>
    <row r="170" spans="1:29" ht="15.75" customHeight="1">
      <c r="A170" s="87"/>
      <c r="B170" s="87"/>
      <c r="C170" s="87">
        <v>2</v>
      </c>
      <c r="D170" s="87" t="s">
        <v>87</v>
      </c>
      <c r="E170" s="94" t="s">
        <v>313</v>
      </c>
      <c r="F170" s="94" t="s">
        <v>313</v>
      </c>
      <c r="G170" s="94"/>
      <c r="H170" s="94" t="s">
        <v>313</v>
      </c>
      <c r="I170" s="94" t="s">
        <v>313</v>
      </c>
      <c r="J170" s="94" t="s">
        <v>313</v>
      </c>
      <c r="K170" s="94" t="s">
        <v>313</v>
      </c>
      <c r="L170" s="94" t="s">
        <v>313</v>
      </c>
      <c r="M170" s="94" t="s">
        <v>313</v>
      </c>
      <c r="N170" s="94" t="s">
        <v>313</v>
      </c>
      <c r="O170" s="94" t="s">
        <v>313</v>
      </c>
      <c r="P170" s="94"/>
      <c r="Q170" s="94" t="s">
        <v>313</v>
      </c>
      <c r="R170" s="128">
        <v>89.5</v>
      </c>
      <c r="S170" s="98"/>
      <c r="T170" s="98"/>
      <c r="AB170" s="16">
        <f t="shared" si="11"/>
        <v>0</v>
      </c>
      <c r="AC170" s="16"/>
    </row>
    <row r="171" spans="1:29" ht="15.75" customHeight="1">
      <c r="A171" s="87"/>
      <c r="B171" s="87"/>
      <c r="C171" s="87">
        <v>2</v>
      </c>
      <c r="D171" s="87" t="s">
        <v>79</v>
      </c>
      <c r="E171" s="94" t="s">
        <v>313</v>
      </c>
      <c r="F171" s="94" t="s">
        <v>313</v>
      </c>
      <c r="G171" s="94"/>
      <c r="H171" s="94" t="s">
        <v>313</v>
      </c>
      <c r="I171" s="94" t="s">
        <v>313</v>
      </c>
      <c r="J171" s="94" t="s">
        <v>313</v>
      </c>
      <c r="K171" s="94" t="s">
        <v>313</v>
      </c>
      <c r="L171" s="94" t="s">
        <v>313</v>
      </c>
      <c r="M171" s="94" t="s">
        <v>313</v>
      </c>
      <c r="N171" s="94" t="s">
        <v>313</v>
      </c>
      <c r="O171" s="94" t="s">
        <v>313</v>
      </c>
      <c r="P171" s="94"/>
      <c r="Q171" s="94" t="s">
        <v>313</v>
      </c>
      <c r="R171" s="128">
        <v>76.099999999999994</v>
      </c>
      <c r="S171" s="98"/>
      <c r="T171" s="98"/>
      <c r="AB171" s="16">
        <f t="shared" si="11"/>
        <v>0</v>
      </c>
      <c r="AC171" s="16"/>
    </row>
    <row r="172" spans="1:29" ht="15.75" customHeight="1">
      <c r="A172" s="87"/>
      <c r="B172" s="87"/>
      <c r="C172" s="87">
        <v>2</v>
      </c>
      <c r="D172" s="87" t="s">
        <v>88</v>
      </c>
      <c r="E172" s="94" t="s">
        <v>313</v>
      </c>
      <c r="F172" s="94" t="s">
        <v>313</v>
      </c>
      <c r="G172" s="94"/>
      <c r="H172" s="94" t="s">
        <v>313</v>
      </c>
      <c r="I172" s="94" t="s">
        <v>313</v>
      </c>
      <c r="J172" s="94" t="s">
        <v>313</v>
      </c>
      <c r="K172" s="94" t="s">
        <v>313</v>
      </c>
      <c r="L172" s="94" t="s">
        <v>313</v>
      </c>
      <c r="M172" s="94" t="s">
        <v>313</v>
      </c>
      <c r="N172" s="94" t="s">
        <v>313</v>
      </c>
      <c r="O172" s="94" t="s">
        <v>313</v>
      </c>
      <c r="P172" s="94"/>
      <c r="Q172" s="94" t="s">
        <v>313</v>
      </c>
      <c r="R172" s="128">
        <v>86.17</v>
      </c>
      <c r="S172" s="129">
        <f>AVERAGE(R168:R172)</f>
        <v>77.406000000000006</v>
      </c>
      <c r="T172" s="98"/>
      <c r="AB172" s="16">
        <f t="shared" si="11"/>
        <v>0</v>
      </c>
      <c r="AC172" s="16">
        <f>SUM(AB168:AB172)/5</f>
        <v>0</v>
      </c>
    </row>
    <row r="173" spans="1:29" ht="15.75" customHeight="1">
      <c r="A173" s="87"/>
      <c r="B173" s="87"/>
      <c r="C173" s="87">
        <v>3</v>
      </c>
      <c r="D173" s="87" t="s">
        <v>83</v>
      </c>
      <c r="E173" s="94" t="s">
        <v>313</v>
      </c>
      <c r="F173" s="94" t="s">
        <v>313</v>
      </c>
      <c r="G173" s="94"/>
      <c r="H173" s="94" t="s">
        <v>313</v>
      </c>
      <c r="I173" s="94" t="s">
        <v>313</v>
      </c>
      <c r="J173" s="94" t="s">
        <v>313</v>
      </c>
      <c r="K173" s="94" t="s">
        <v>313</v>
      </c>
      <c r="L173" s="94" t="s">
        <v>313</v>
      </c>
      <c r="M173" s="94" t="s">
        <v>313</v>
      </c>
      <c r="N173" s="94" t="s">
        <v>313</v>
      </c>
      <c r="O173" s="94" t="s">
        <v>313</v>
      </c>
      <c r="P173" s="94"/>
      <c r="Q173" s="94" t="s">
        <v>313</v>
      </c>
      <c r="R173" s="128">
        <v>85.59</v>
      </c>
      <c r="S173" s="98"/>
      <c r="T173" s="94" t="s">
        <v>90</v>
      </c>
      <c r="U173" s="16"/>
      <c r="V173" s="16"/>
      <c r="W173" s="16"/>
      <c r="X173" s="16"/>
      <c r="Y173" s="16"/>
      <c r="Z173" s="16"/>
      <c r="AA173" s="16"/>
      <c r="AB173" s="16">
        <f t="shared" si="11"/>
        <v>0</v>
      </c>
      <c r="AC173" s="16"/>
    </row>
    <row r="174" spans="1:29" ht="15.75" customHeight="1">
      <c r="A174" s="87"/>
      <c r="B174" s="87"/>
      <c r="C174" s="87">
        <v>3</v>
      </c>
      <c r="D174" s="87" t="s">
        <v>85</v>
      </c>
      <c r="E174" s="94" t="s">
        <v>313</v>
      </c>
      <c r="F174" s="94" t="s">
        <v>313</v>
      </c>
      <c r="G174" s="94"/>
      <c r="H174" s="94" t="s">
        <v>313</v>
      </c>
      <c r="I174" s="94" t="s">
        <v>313</v>
      </c>
      <c r="J174" s="94" t="s">
        <v>313</v>
      </c>
      <c r="K174" s="94" t="s">
        <v>313</v>
      </c>
      <c r="L174" s="94" t="s">
        <v>313</v>
      </c>
      <c r="M174" s="94" t="s">
        <v>313</v>
      </c>
      <c r="N174" s="94" t="s">
        <v>313</v>
      </c>
      <c r="O174" s="94" t="s">
        <v>313</v>
      </c>
      <c r="P174" s="94"/>
      <c r="Q174" s="94" t="s">
        <v>313</v>
      </c>
      <c r="R174" s="128">
        <v>78.209999999999994</v>
      </c>
      <c r="S174" s="98"/>
      <c r="T174" s="98"/>
      <c r="AB174" s="16">
        <f t="shared" si="11"/>
        <v>0</v>
      </c>
      <c r="AC174" s="16"/>
    </row>
    <row r="175" spans="1:29" ht="15.75" customHeight="1">
      <c r="A175" s="87"/>
      <c r="B175" s="87"/>
      <c r="C175" s="87">
        <v>3</v>
      </c>
      <c r="D175" s="86" t="s">
        <v>87</v>
      </c>
      <c r="E175" s="94" t="s">
        <v>313</v>
      </c>
      <c r="F175" s="94" t="s">
        <v>313</v>
      </c>
      <c r="G175" s="94"/>
      <c r="H175" s="94" t="s">
        <v>313</v>
      </c>
      <c r="I175" s="94" t="s">
        <v>313</v>
      </c>
      <c r="J175" s="94" t="s">
        <v>313</v>
      </c>
      <c r="K175" s="94" t="s">
        <v>313</v>
      </c>
      <c r="L175" s="94" t="s">
        <v>313</v>
      </c>
      <c r="M175" s="94" t="s">
        <v>313</v>
      </c>
      <c r="N175" s="94" t="s">
        <v>313</v>
      </c>
      <c r="O175" s="94" t="s">
        <v>313</v>
      </c>
      <c r="P175" s="94"/>
      <c r="Q175" s="94" t="s">
        <v>313</v>
      </c>
      <c r="R175" s="128">
        <v>80.180000000000007</v>
      </c>
      <c r="S175" s="98"/>
      <c r="T175" s="98"/>
      <c r="AB175" s="16">
        <f t="shared" si="11"/>
        <v>0</v>
      </c>
      <c r="AC175" s="16"/>
    </row>
    <row r="176" spans="1:29" ht="15.75" customHeight="1">
      <c r="A176" s="87"/>
      <c r="B176" s="87"/>
      <c r="C176" s="87">
        <v>3</v>
      </c>
      <c r="D176" s="87" t="s">
        <v>79</v>
      </c>
      <c r="E176" s="94" t="s">
        <v>313</v>
      </c>
      <c r="F176" s="94" t="s">
        <v>313</v>
      </c>
      <c r="G176" s="94"/>
      <c r="H176" s="94" t="s">
        <v>313</v>
      </c>
      <c r="I176" s="94" t="s">
        <v>313</v>
      </c>
      <c r="J176" s="94" t="s">
        <v>313</v>
      </c>
      <c r="K176" s="94" t="s">
        <v>313</v>
      </c>
      <c r="L176" s="94" t="s">
        <v>313</v>
      </c>
      <c r="M176" s="94" t="s">
        <v>313</v>
      </c>
      <c r="N176" s="94" t="s">
        <v>313</v>
      </c>
      <c r="O176" s="94" t="s">
        <v>313</v>
      </c>
      <c r="P176" s="94"/>
      <c r="Q176" s="94" t="s">
        <v>313</v>
      </c>
      <c r="R176" s="128">
        <v>92.26</v>
      </c>
      <c r="S176" s="98"/>
      <c r="T176" s="98"/>
      <c r="AB176" s="16">
        <f t="shared" si="11"/>
        <v>0</v>
      </c>
      <c r="AC176" s="16"/>
    </row>
    <row r="177" spans="1:29" ht="15.75" customHeight="1">
      <c r="A177" s="87"/>
      <c r="B177" s="87"/>
      <c r="C177" s="87">
        <v>3</v>
      </c>
      <c r="D177" s="87" t="s">
        <v>88</v>
      </c>
      <c r="E177" s="94" t="s">
        <v>313</v>
      </c>
      <c r="F177" s="94" t="s">
        <v>313</v>
      </c>
      <c r="G177" s="94"/>
      <c r="H177" s="94" t="s">
        <v>313</v>
      </c>
      <c r="I177" s="94" t="s">
        <v>313</v>
      </c>
      <c r="J177" s="94" t="s">
        <v>313</v>
      </c>
      <c r="K177" s="94" t="s">
        <v>313</v>
      </c>
      <c r="L177" s="94" t="s">
        <v>313</v>
      </c>
      <c r="M177" s="94" t="s">
        <v>313</v>
      </c>
      <c r="N177" s="94" t="s">
        <v>313</v>
      </c>
      <c r="O177" s="94" t="s">
        <v>313</v>
      </c>
      <c r="P177" s="94"/>
      <c r="Q177" s="94" t="s">
        <v>313</v>
      </c>
      <c r="R177" s="128">
        <v>67.510000000000005</v>
      </c>
      <c r="S177" s="129">
        <f>AVERAGE(R173:R177)</f>
        <v>80.75</v>
      </c>
      <c r="T177" s="98"/>
      <c r="AB177" s="16">
        <f t="shared" si="11"/>
        <v>0</v>
      </c>
      <c r="AC177" s="16">
        <f>SUM(AB173:AB177)/5</f>
        <v>0</v>
      </c>
    </row>
    <row r="178" spans="1:29" ht="15.75" customHeight="1">
      <c r="A178" s="87"/>
      <c r="B178" s="87"/>
      <c r="C178" s="87">
        <v>4</v>
      </c>
      <c r="D178" s="87" t="s">
        <v>83</v>
      </c>
      <c r="E178" s="94" t="s">
        <v>313</v>
      </c>
      <c r="F178" s="94" t="s">
        <v>313</v>
      </c>
      <c r="G178" s="94"/>
      <c r="H178" s="94" t="s">
        <v>313</v>
      </c>
      <c r="I178" s="94" t="s">
        <v>313</v>
      </c>
      <c r="J178" s="94" t="s">
        <v>313</v>
      </c>
      <c r="K178" s="94" t="s">
        <v>313</v>
      </c>
      <c r="L178" s="94" t="s">
        <v>313</v>
      </c>
      <c r="M178" s="94" t="s">
        <v>313</v>
      </c>
      <c r="N178" s="94" t="s">
        <v>313</v>
      </c>
      <c r="O178" s="94" t="s">
        <v>313</v>
      </c>
      <c r="P178" s="94"/>
      <c r="Q178" s="94" t="s">
        <v>313</v>
      </c>
      <c r="R178" s="128">
        <v>69.349999999999994</v>
      </c>
      <c r="S178" s="98"/>
      <c r="T178" s="94" t="s">
        <v>142</v>
      </c>
      <c r="U178" s="16"/>
      <c r="V178" s="16"/>
      <c r="W178" s="16"/>
      <c r="X178" s="16"/>
      <c r="Y178" s="16"/>
      <c r="Z178" s="16"/>
      <c r="AA178" s="16"/>
      <c r="AB178" s="16">
        <f t="shared" si="11"/>
        <v>0</v>
      </c>
      <c r="AC178" s="16"/>
    </row>
    <row r="179" spans="1:29" ht="15.75" customHeight="1">
      <c r="A179" s="87"/>
      <c r="B179" s="87"/>
      <c r="C179" s="87">
        <v>4</v>
      </c>
      <c r="D179" s="87" t="s">
        <v>85</v>
      </c>
      <c r="E179" s="94" t="s">
        <v>313</v>
      </c>
      <c r="F179" s="94" t="s">
        <v>313</v>
      </c>
      <c r="G179" s="94"/>
      <c r="H179" s="94" t="s">
        <v>313</v>
      </c>
      <c r="I179" s="94" t="s">
        <v>313</v>
      </c>
      <c r="J179" s="94" t="s">
        <v>313</v>
      </c>
      <c r="K179" s="94" t="s">
        <v>313</v>
      </c>
      <c r="L179" s="94" t="s">
        <v>313</v>
      </c>
      <c r="M179" s="94" t="s">
        <v>313</v>
      </c>
      <c r="N179" s="94" t="s">
        <v>313</v>
      </c>
      <c r="O179" s="94" t="s">
        <v>313</v>
      </c>
      <c r="P179" s="94"/>
      <c r="Q179" s="94" t="s">
        <v>313</v>
      </c>
      <c r="R179" s="128">
        <v>65.930000000000007</v>
      </c>
      <c r="S179" s="98"/>
      <c r="T179" s="98"/>
      <c r="AB179" s="16">
        <f t="shared" si="11"/>
        <v>0</v>
      </c>
      <c r="AC179" s="16"/>
    </row>
    <row r="180" spans="1:29" ht="15.75" customHeight="1">
      <c r="A180" s="87"/>
      <c r="B180" s="87"/>
      <c r="C180" s="87">
        <v>4</v>
      </c>
      <c r="D180" s="87" t="s">
        <v>87</v>
      </c>
      <c r="E180" s="94" t="s">
        <v>313</v>
      </c>
      <c r="F180" s="94" t="s">
        <v>313</v>
      </c>
      <c r="G180" s="94"/>
      <c r="H180" s="94" t="s">
        <v>313</v>
      </c>
      <c r="I180" s="94" t="s">
        <v>313</v>
      </c>
      <c r="J180" s="94" t="s">
        <v>313</v>
      </c>
      <c r="K180" s="94" t="s">
        <v>313</v>
      </c>
      <c r="L180" s="94" t="s">
        <v>313</v>
      </c>
      <c r="M180" s="94" t="s">
        <v>313</v>
      </c>
      <c r="N180" s="94" t="s">
        <v>313</v>
      </c>
      <c r="O180" s="94" t="s">
        <v>313</v>
      </c>
      <c r="P180" s="94"/>
      <c r="Q180" s="94" t="s">
        <v>313</v>
      </c>
      <c r="R180" s="128">
        <v>66.760000000000005</v>
      </c>
      <c r="S180" s="98"/>
      <c r="T180" s="98"/>
      <c r="Y180" s="16">
        <v>7.77</v>
      </c>
      <c r="AB180" s="16">
        <f t="shared" si="11"/>
        <v>7.77</v>
      </c>
      <c r="AC180" s="16"/>
    </row>
    <row r="181" spans="1:29" ht="15.75" customHeight="1">
      <c r="A181" s="87"/>
      <c r="B181" s="87"/>
      <c r="C181" s="87">
        <v>4</v>
      </c>
      <c r="D181" s="87" t="s">
        <v>79</v>
      </c>
      <c r="E181" s="94" t="s">
        <v>313</v>
      </c>
      <c r="F181" s="94" t="s">
        <v>313</v>
      </c>
      <c r="G181" s="94"/>
      <c r="H181" s="94" t="s">
        <v>313</v>
      </c>
      <c r="I181" s="94" t="s">
        <v>313</v>
      </c>
      <c r="J181" s="94" t="s">
        <v>313</v>
      </c>
      <c r="K181" s="94" t="s">
        <v>313</v>
      </c>
      <c r="L181" s="94" t="s">
        <v>313</v>
      </c>
      <c r="M181" s="94" t="s">
        <v>313</v>
      </c>
      <c r="N181" s="94" t="s">
        <v>313</v>
      </c>
      <c r="O181" s="94" t="s">
        <v>313</v>
      </c>
      <c r="P181" s="94"/>
      <c r="Q181" s="94" t="s">
        <v>313</v>
      </c>
      <c r="R181" s="128">
        <v>91.72</v>
      </c>
      <c r="S181" s="98"/>
      <c r="T181" s="98"/>
      <c r="AB181" s="16">
        <f t="shared" si="11"/>
        <v>0</v>
      </c>
      <c r="AC181" s="16"/>
    </row>
    <row r="182" spans="1:29" ht="15.75" customHeight="1">
      <c r="A182" s="87"/>
      <c r="B182" s="87"/>
      <c r="C182" s="87">
        <v>4</v>
      </c>
      <c r="D182" s="86" t="s">
        <v>315</v>
      </c>
      <c r="E182" s="94" t="s">
        <v>313</v>
      </c>
      <c r="F182" s="94" t="s">
        <v>313</v>
      </c>
      <c r="G182" s="94"/>
      <c r="H182" s="94" t="s">
        <v>313</v>
      </c>
      <c r="I182" s="94" t="s">
        <v>313</v>
      </c>
      <c r="J182" s="94" t="s">
        <v>313</v>
      </c>
      <c r="K182" s="94" t="s">
        <v>313</v>
      </c>
      <c r="L182" s="94" t="s">
        <v>313</v>
      </c>
      <c r="M182" s="94" t="s">
        <v>313</v>
      </c>
      <c r="N182" s="94" t="s">
        <v>313</v>
      </c>
      <c r="O182" s="94" t="s">
        <v>313</v>
      </c>
      <c r="P182" s="94"/>
      <c r="Q182" s="94" t="s">
        <v>313</v>
      </c>
      <c r="R182" s="128">
        <v>65.17</v>
      </c>
      <c r="S182" s="129">
        <f>AVERAGE(R178:R182)</f>
        <v>71.786000000000001</v>
      </c>
      <c r="T182" s="98"/>
      <c r="AB182" s="16">
        <f t="shared" si="11"/>
        <v>0</v>
      </c>
      <c r="AC182" s="16">
        <f>SUM(AB178:AB182)/5</f>
        <v>1.5539999999999998</v>
      </c>
    </row>
    <row r="183" spans="1:29" ht="15.75" customHeight="1">
      <c r="A183" s="87" t="s">
        <v>112</v>
      </c>
      <c r="B183" s="87" t="s">
        <v>113</v>
      </c>
      <c r="C183" s="87">
        <v>1</v>
      </c>
      <c r="D183" s="87" t="s">
        <v>83</v>
      </c>
      <c r="E183" s="94" t="s">
        <v>313</v>
      </c>
      <c r="F183" s="94" t="s">
        <v>313</v>
      </c>
      <c r="G183" s="94"/>
      <c r="H183" s="94" t="s">
        <v>313</v>
      </c>
      <c r="I183" s="94" t="s">
        <v>313</v>
      </c>
      <c r="J183" s="94" t="s">
        <v>313</v>
      </c>
      <c r="K183" s="94" t="s">
        <v>313</v>
      </c>
      <c r="L183" s="94" t="s">
        <v>313</v>
      </c>
      <c r="M183" s="94" t="s">
        <v>313</v>
      </c>
      <c r="N183" s="94" t="s">
        <v>313</v>
      </c>
      <c r="O183" s="94" t="s">
        <v>313</v>
      </c>
      <c r="P183" s="94"/>
      <c r="Q183" s="94" t="s">
        <v>313</v>
      </c>
      <c r="R183" s="128">
        <v>63.45</v>
      </c>
      <c r="S183" s="98"/>
      <c r="T183" s="94" t="s">
        <v>90</v>
      </c>
      <c r="U183" s="16"/>
      <c r="V183" s="16">
        <v>0.25</v>
      </c>
      <c r="W183" s="16"/>
      <c r="X183" s="16"/>
      <c r="Y183" s="16">
        <v>1.08</v>
      </c>
      <c r="Z183" s="16">
        <v>0.38</v>
      </c>
      <c r="AA183" s="16"/>
      <c r="AB183" s="16">
        <f t="shared" si="11"/>
        <v>1.33</v>
      </c>
      <c r="AC183" s="16"/>
    </row>
    <row r="184" spans="1:29" ht="15.75" customHeight="1">
      <c r="A184" s="87"/>
      <c r="B184" s="87"/>
      <c r="C184" s="87">
        <v>1</v>
      </c>
      <c r="D184" s="87" t="s">
        <v>108</v>
      </c>
      <c r="E184" s="94" t="s">
        <v>313</v>
      </c>
      <c r="F184" s="94" t="s">
        <v>313</v>
      </c>
      <c r="G184" s="94"/>
      <c r="H184" s="94" t="s">
        <v>313</v>
      </c>
      <c r="I184" s="94" t="s">
        <v>313</v>
      </c>
      <c r="J184" s="94" t="s">
        <v>313</v>
      </c>
      <c r="K184" s="94" t="s">
        <v>313</v>
      </c>
      <c r="L184" s="94" t="s">
        <v>313</v>
      </c>
      <c r="M184" s="94" t="s">
        <v>313</v>
      </c>
      <c r="N184" s="94" t="s">
        <v>313</v>
      </c>
      <c r="O184" s="94" t="s">
        <v>313</v>
      </c>
      <c r="P184" s="94"/>
      <c r="Q184" s="94" t="s">
        <v>313</v>
      </c>
      <c r="R184" s="128">
        <v>65.959999999999994</v>
      </c>
      <c r="S184" s="98"/>
      <c r="T184" s="98"/>
      <c r="AB184" s="16">
        <f t="shared" si="11"/>
        <v>0</v>
      </c>
      <c r="AC184" s="16"/>
    </row>
    <row r="185" spans="1:29" ht="15.75" customHeight="1">
      <c r="A185" s="87"/>
      <c r="B185" s="87"/>
      <c r="C185" s="87">
        <v>1</v>
      </c>
      <c r="D185" s="87" t="s">
        <v>109</v>
      </c>
      <c r="E185" s="94" t="s">
        <v>313</v>
      </c>
      <c r="F185" s="94" t="s">
        <v>313</v>
      </c>
      <c r="G185" s="94"/>
      <c r="H185" s="94" t="s">
        <v>313</v>
      </c>
      <c r="I185" s="94" t="s">
        <v>313</v>
      </c>
      <c r="J185" s="94" t="s">
        <v>313</v>
      </c>
      <c r="K185" s="94" t="s">
        <v>313</v>
      </c>
      <c r="L185" s="94" t="s">
        <v>313</v>
      </c>
      <c r="M185" s="94" t="s">
        <v>313</v>
      </c>
      <c r="N185" s="94" t="s">
        <v>313</v>
      </c>
      <c r="O185" s="94" t="s">
        <v>313</v>
      </c>
      <c r="P185" s="94"/>
      <c r="Q185" s="94" t="s">
        <v>313</v>
      </c>
      <c r="R185" s="128">
        <v>56.42</v>
      </c>
      <c r="S185" s="98"/>
      <c r="T185" s="98"/>
      <c r="V185" s="16">
        <v>0.21</v>
      </c>
      <c r="Y185" s="16">
        <v>1.63</v>
      </c>
      <c r="Z185" s="16">
        <v>2.13</v>
      </c>
      <c r="AA185" s="16"/>
      <c r="AB185" s="16">
        <f t="shared" si="11"/>
        <v>1.8399999999999999</v>
      </c>
      <c r="AC185" s="16"/>
    </row>
    <row r="186" spans="1:29" ht="15.75" customHeight="1">
      <c r="A186" s="87"/>
      <c r="B186" s="87"/>
      <c r="C186" s="87">
        <v>1</v>
      </c>
      <c r="D186" s="87" t="s">
        <v>87</v>
      </c>
      <c r="E186" s="94" t="s">
        <v>313</v>
      </c>
      <c r="F186" s="94" t="s">
        <v>313</v>
      </c>
      <c r="G186" s="94"/>
      <c r="H186" s="94" t="s">
        <v>313</v>
      </c>
      <c r="I186" s="94" t="s">
        <v>313</v>
      </c>
      <c r="J186" s="94" t="s">
        <v>313</v>
      </c>
      <c r="K186" s="94" t="s">
        <v>313</v>
      </c>
      <c r="L186" s="94" t="s">
        <v>313</v>
      </c>
      <c r="M186" s="94" t="s">
        <v>313</v>
      </c>
      <c r="N186" s="94" t="s">
        <v>313</v>
      </c>
      <c r="O186" s="94" t="s">
        <v>313</v>
      </c>
      <c r="P186" s="94"/>
      <c r="Q186" s="94" t="s">
        <v>313</v>
      </c>
      <c r="R186" s="128">
        <v>58.01</v>
      </c>
      <c r="S186" s="98"/>
      <c r="T186" s="98"/>
      <c r="Y186" s="16">
        <v>1.4</v>
      </c>
      <c r="Z186" s="16">
        <v>0.85</v>
      </c>
      <c r="AA186" s="16"/>
      <c r="AB186" s="16">
        <f t="shared" si="11"/>
        <v>1.4</v>
      </c>
      <c r="AC186" s="16"/>
    </row>
    <row r="187" spans="1:29" ht="15.75" customHeight="1">
      <c r="A187" s="87"/>
      <c r="B187" s="87"/>
      <c r="C187" s="87">
        <v>1</v>
      </c>
      <c r="D187" s="86" t="s">
        <v>287</v>
      </c>
      <c r="E187" s="94" t="s">
        <v>313</v>
      </c>
      <c r="F187" s="94" t="s">
        <v>313</v>
      </c>
      <c r="G187" s="94"/>
      <c r="H187" s="94" t="s">
        <v>313</v>
      </c>
      <c r="I187" s="94" t="s">
        <v>313</v>
      </c>
      <c r="J187" s="94" t="s">
        <v>313</v>
      </c>
      <c r="K187" s="94" t="s">
        <v>313</v>
      </c>
      <c r="L187" s="94" t="s">
        <v>313</v>
      </c>
      <c r="M187" s="94" t="s">
        <v>313</v>
      </c>
      <c r="N187" s="94" t="s">
        <v>313</v>
      </c>
      <c r="O187" s="94" t="s">
        <v>313</v>
      </c>
      <c r="P187" s="94"/>
      <c r="Q187" s="94" t="s">
        <v>313</v>
      </c>
      <c r="R187" s="128">
        <v>67.45</v>
      </c>
      <c r="S187" s="129">
        <f>AVERAGE(R183:R187)</f>
        <v>62.257999999999996</v>
      </c>
      <c r="T187" s="98"/>
      <c r="AB187" s="16">
        <f t="shared" si="11"/>
        <v>0</v>
      </c>
      <c r="AC187" s="16">
        <f>SUM(AB183:AB187)/5</f>
        <v>0.91400000000000003</v>
      </c>
    </row>
    <row r="188" spans="1:29" ht="15.75" customHeight="1">
      <c r="A188" s="87"/>
      <c r="B188" s="87"/>
      <c r="C188" s="87">
        <v>2</v>
      </c>
      <c r="D188" s="87" t="s">
        <v>83</v>
      </c>
      <c r="E188" s="94" t="s">
        <v>313</v>
      </c>
      <c r="F188" s="94" t="s">
        <v>313</v>
      </c>
      <c r="G188" s="94"/>
      <c r="H188" s="94" t="s">
        <v>313</v>
      </c>
      <c r="I188" s="94" t="s">
        <v>313</v>
      </c>
      <c r="J188" s="94" t="s">
        <v>313</v>
      </c>
      <c r="K188" s="94" t="s">
        <v>313</v>
      </c>
      <c r="L188" s="94" t="s">
        <v>313</v>
      </c>
      <c r="M188" s="94" t="s">
        <v>313</v>
      </c>
      <c r="N188" s="94" t="s">
        <v>313</v>
      </c>
      <c r="O188" s="94" t="s">
        <v>313</v>
      </c>
      <c r="P188" s="94"/>
      <c r="Q188" s="94" t="s">
        <v>313</v>
      </c>
      <c r="R188" s="128">
        <v>66.88</v>
      </c>
      <c r="S188" s="98"/>
      <c r="T188" s="94" t="s">
        <v>93</v>
      </c>
      <c r="U188" s="16"/>
      <c r="V188" s="16"/>
      <c r="W188" s="16">
        <v>0.15</v>
      </c>
      <c r="X188" s="16"/>
      <c r="Y188" s="16">
        <v>4.03</v>
      </c>
      <c r="Z188" s="16">
        <v>0.99</v>
      </c>
      <c r="AA188" s="16"/>
      <c r="AB188" s="16">
        <f t="shared" si="11"/>
        <v>4.1800000000000006</v>
      </c>
      <c r="AC188" s="16"/>
    </row>
    <row r="189" spans="1:29" ht="15.75" customHeight="1">
      <c r="A189" s="87"/>
      <c r="B189" s="87"/>
      <c r="C189" s="87">
        <v>2</v>
      </c>
      <c r="D189" s="87" t="s">
        <v>108</v>
      </c>
      <c r="E189" s="94" t="s">
        <v>313</v>
      </c>
      <c r="F189" s="94" t="s">
        <v>313</v>
      </c>
      <c r="G189" s="94"/>
      <c r="H189" s="94" t="s">
        <v>313</v>
      </c>
      <c r="I189" s="94" t="s">
        <v>313</v>
      </c>
      <c r="J189" s="94" t="s">
        <v>313</v>
      </c>
      <c r="K189" s="94" t="s">
        <v>313</v>
      </c>
      <c r="L189" s="94" t="s">
        <v>313</v>
      </c>
      <c r="M189" s="94" t="s">
        <v>313</v>
      </c>
      <c r="N189" s="94" t="s">
        <v>313</v>
      </c>
      <c r="O189" s="94" t="s">
        <v>313</v>
      </c>
      <c r="P189" s="94"/>
      <c r="Q189" s="94" t="s">
        <v>313</v>
      </c>
      <c r="R189" s="128">
        <v>60.29</v>
      </c>
      <c r="S189" s="98"/>
      <c r="T189" s="98"/>
      <c r="AB189" s="16">
        <f t="shared" si="11"/>
        <v>0</v>
      </c>
      <c r="AC189" s="16"/>
    </row>
    <row r="190" spans="1:29" ht="15.75" customHeight="1">
      <c r="A190" s="87"/>
      <c r="B190" s="87"/>
      <c r="C190" s="87">
        <v>2</v>
      </c>
      <c r="D190" s="87" t="s">
        <v>109</v>
      </c>
      <c r="E190" s="94" t="s">
        <v>313</v>
      </c>
      <c r="F190" s="94" t="s">
        <v>313</v>
      </c>
      <c r="G190" s="94"/>
      <c r="H190" s="94" t="s">
        <v>313</v>
      </c>
      <c r="I190" s="94" t="s">
        <v>313</v>
      </c>
      <c r="J190" s="94" t="s">
        <v>313</v>
      </c>
      <c r="K190" s="94" t="s">
        <v>313</v>
      </c>
      <c r="L190" s="94" t="s">
        <v>313</v>
      </c>
      <c r="M190" s="94" t="s">
        <v>313</v>
      </c>
      <c r="N190" s="94" t="s">
        <v>313</v>
      </c>
      <c r="O190" s="94" t="s">
        <v>313</v>
      </c>
      <c r="P190" s="94"/>
      <c r="Q190" s="94" t="s">
        <v>313</v>
      </c>
      <c r="R190" s="128">
        <v>56.42</v>
      </c>
      <c r="S190" s="98"/>
      <c r="T190" s="94" t="s">
        <v>316</v>
      </c>
      <c r="U190" s="16"/>
      <c r="V190" s="16"/>
      <c r="W190" s="16"/>
      <c r="X190" s="16"/>
      <c r="Y190" s="16">
        <v>0.59</v>
      </c>
      <c r="Z190" s="16">
        <v>0.86</v>
      </c>
      <c r="AA190" s="16"/>
      <c r="AB190" s="16">
        <f t="shared" si="11"/>
        <v>0.59</v>
      </c>
      <c r="AC190" s="16"/>
    </row>
    <row r="191" spans="1:29" ht="15.75" customHeight="1">
      <c r="A191" s="87"/>
      <c r="B191" s="87"/>
      <c r="C191" s="87">
        <v>2</v>
      </c>
      <c r="D191" s="87" t="s">
        <v>87</v>
      </c>
      <c r="E191" s="94" t="s">
        <v>313</v>
      </c>
      <c r="F191" s="94" t="s">
        <v>313</v>
      </c>
      <c r="G191" s="94"/>
      <c r="H191" s="94" t="s">
        <v>313</v>
      </c>
      <c r="I191" s="94" t="s">
        <v>313</v>
      </c>
      <c r="J191" s="94" t="s">
        <v>313</v>
      </c>
      <c r="K191" s="94" t="s">
        <v>313</v>
      </c>
      <c r="L191" s="94" t="s">
        <v>313</v>
      </c>
      <c r="M191" s="94" t="s">
        <v>313</v>
      </c>
      <c r="N191" s="94" t="s">
        <v>313</v>
      </c>
      <c r="O191" s="94" t="s">
        <v>313</v>
      </c>
      <c r="P191" s="94"/>
      <c r="Q191" s="94" t="s">
        <v>313</v>
      </c>
      <c r="R191" s="128">
        <v>70.819999999999993</v>
      </c>
      <c r="S191" s="98"/>
      <c r="T191" s="98"/>
      <c r="AB191" s="16">
        <f t="shared" si="11"/>
        <v>0</v>
      </c>
      <c r="AC191" s="16"/>
    </row>
    <row r="192" spans="1:29" ht="15.75" customHeight="1">
      <c r="A192" s="87"/>
      <c r="B192" s="87"/>
      <c r="C192" s="87">
        <v>2</v>
      </c>
      <c r="D192" s="86" t="s">
        <v>287</v>
      </c>
      <c r="E192" s="94" t="s">
        <v>313</v>
      </c>
      <c r="F192" s="94" t="s">
        <v>313</v>
      </c>
      <c r="G192" s="94"/>
      <c r="H192" s="94" t="s">
        <v>313</v>
      </c>
      <c r="I192" s="94" t="s">
        <v>313</v>
      </c>
      <c r="J192" s="94" t="s">
        <v>313</v>
      </c>
      <c r="K192" s="94" t="s">
        <v>313</v>
      </c>
      <c r="L192" s="94" t="s">
        <v>313</v>
      </c>
      <c r="M192" s="94" t="s">
        <v>313</v>
      </c>
      <c r="N192" s="94" t="s">
        <v>313</v>
      </c>
      <c r="O192" s="94" t="s">
        <v>313</v>
      </c>
      <c r="P192" s="94"/>
      <c r="Q192" s="94" t="s">
        <v>313</v>
      </c>
      <c r="R192" s="128">
        <v>51.17</v>
      </c>
      <c r="S192" s="129">
        <f>AVERAGE(R188:R192)</f>
        <v>61.116</v>
      </c>
      <c r="T192" s="98"/>
      <c r="AB192" s="16">
        <f t="shared" si="11"/>
        <v>0</v>
      </c>
      <c r="AC192" s="16">
        <f>SUM(AB188:AB192)/5</f>
        <v>0.95400000000000007</v>
      </c>
    </row>
    <row r="193" spans="1:29" ht="15.75" customHeight="1">
      <c r="A193" s="87"/>
      <c r="B193" s="87"/>
      <c r="C193" s="87">
        <v>3</v>
      </c>
      <c r="D193" s="87" t="s">
        <v>83</v>
      </c>
      <c r="E193" s="94" t="s">
        <v>313</v>
      </c>
      <c r="F193" s="94" t="s">
        <v>313</v>
      </c>
      <c r="G193" s="94"/>
      <c r="H193" s="94" t="s">
        <v>313</v>
      </c>
      <c r="I193" s="94" t="s">
        <v>313</v>
      </c>
      <c r="J193" s="94" t="s">
        <v>313</v>
      </c>
      <c r="K193" s="94" t="s">
        <v>313</v>
      </c>
      <c r="L193" s="94" t="s">
        <v>313</v>
      </c>
      <c r="M193" s="94" t="s">
        <v>313</v>
      </c>
      <c r="N193" s="94" t="s">
        <v>313</v>
      </c>
      <c r="O193" s="94" t="s">
        <v>313</v>
      </c>
      <c r="P193" s="94"/>
      <c r="Q193" s="94" t="s">
        <v>313</v>
      </c>
      <c r="R193" s="128">
        <v>61.47</v>
      </c>
      <c r="S193" s="98"/>
      <c r="T193" s="94" t="s">
        <v>142</v>
      </c>
      <c r="U193" s="16"/>
      <c r="V193" s="16">
        <v>0.73</v>
      </c>
      <c r="W193" s="16"/>
      <c r="X193" s="16"/>
      <c r="Y193" s="16"/>
      <c r="Z193" s="16">
        <v>1.42</v>
      </c>
      <c r="AA193" s="16"/>
      <c r="AB193" s="16">
        <f t="shared" si="11"/>
        <v>0.73</v>
      </c>
      <c r="AC193" s="16"/>
    </row>
    <row r="194" spans="1:29" ht="15.75" customHeight="1">
      <c r="A194" s="87"/>
      <c r="B194" s="87"/>
      <c r="C194" s="87">
        <v>3</v>
      </c>
      <c r="D194" s="87" t="s">
        <v>108</v>
      </c>
      <c r="E194" s="94" t="s">
        <v>313</v>
      </c>
      <c r="F194" s="94" t="s">
        <v>313</v>
      </c>
      <c r="G194" s="94"/>
      <c r="H194" s="94" t="s">
        <v>313</v>
      </c>
      <c r="I194" s="94" t="s">
        <v>313</v>
      </c>
      <c r="J194" s="94" t="s">
        <v>313</v>
      </c>
      <c r="K194" s="94" t="s">
        <v>313</v>
      </c>
      <c r="L194" s="94" t="s">
        <v>313</v>
      </c>
      <c r="M194" s="94" t="s">
        <v>313</v>
      </c>
      <c r="N194" s="94" t="s">
        <v>313</v>
      </c>
      <c r="O194" s="94" t="s">
        <v>313</v>
      </c>
      <c r="P194" s="94"/>
      <c r="Q194" s="94" t="s">
        <v>313</v>
      </c>
      <c r="R194" s="128">
        <v>83.36</v>
      </c>
      <c r="S194" s="98"/>
      <c r="T194" s="98"/>
      <c r="Y194" s="16">
        <v>0.88</v>
      </c>
      <c r="Z194" s="16">
        <v>1.32</v>
      </c>
      <c r="AA194" s="16"/>
      <c r="AB194" s="16">
        <f t="shared" si="11"/>
        <v>0.88</v>
      </c>
      <c r="AC194" s="16"/>
    </row>
    <row r="195" spans="1:29" ht="15.75" customHeight="1">
      <c r="A195" s="87"/>
      <c r="B195" s="87"/>
      <c r="C195" s="87">
        <v>3</v>
      </c>
      <c r="D195" s="87" t="s">
        <v>109</v>
      </c>
      <c r="E195" s="94" t="s">
        <v>313</v>
      </c>
      <c r="F195" s="94" t="s">
        <v>313</v>
      </c>
      <c r="G195" s="94"/>
      <c r="H195" s="94" t="s">
        <v>313</v>
      </c>
      <c r="I195" s="94" t="s">
        <v>313</v>
      </c>
      <c r="J195" s="94" t="s">
        <v>313</v>
      </c>
      <c r="K195" s="94" t="s">
        <v>313</v>
      </c>
      <c r="L195" s="94" t="s">
        <v>313</v>
      </c>
      <c r="M195" s="94" t="s">
        <v>313</v>
      </c>
      <c r="N195" s="94" t="s">
        <v>313</v>
      </c>
      <c r="O195" s="94" t="s">
        <v>313</v>
      </c>
      <c r="P195" s="94"/>
      <c r="Q195" s="94" t="s">
        <v>313</v>
      </c>
      <c r="R195" s="128">
        <v>51.09</v>
      </c>
      <c r="S195" s="98"/>
      <c r="T195" s="98"/>
      <c r="AB195" s="16">
        <f t="shared" si="11"/>
        <v>0</v>
      </c>
      <c r="AC195" s="16"/>
    </row>
    <row r="196" spans="1:29" ht="15.75" customHeight="1">
      <c r="A196" s="87"/>
      <c r="B196" s="87"/>
      <c r="C196" s="87">
        <v>3</v>
      </c>
      <c r="D196" s="87" t="s">
        <v>87</v>
      </c>
      <c r="E196" s="94" t="s">
        <v>313</v>
      </c>
      <c r="F196" s="94" t="s">
        <v>313</v>
      </c>
      <c r="G196" s="94"/>
      <c r="H196" s="94" t="s">
        <v>313</v>
      </c>
      <c r="I196" s="94" t="s">
        <v>313</v>
      </c>
      <c r="J196" s="94" t="s">
        <v>313</v>
      </c>
      <c r="K196" s="94" t="s">
        <v>313</v>
      </c>
      <c r="L196" s="94" t="s">
        <v>313</v>
      </c>
      <c r="M196" s="94" t="s">
        <v>313</v>
      </c>
      <c r="N196" s="94" t="s">
        <v>313</v>
      </c>
      <c r="O196" s="94" t="s">
        <v>313</v>
      </c>
      <c r="P196" s="94"/>
      <c r="Q196" s="94" t="s">
        <v>313</v>
      </c>
      <c r="R196" s="128">
        <v>83.04</v>
      </c>
      <c r="S196" s="98"/>
      <c r="T196" s="98"/>
      <c r="AB196" s="16">
        <f t="shared" si="11"/>
        <v>0</v>
      </c>
      <c r="AC196" s="16"/>
    </row>
    <row r="197" spans="1:29" ht="15.75" customHeight="1">
      <c r="A197" s="87"/>
      <c r="B197" s="87"/>
      <c r="C197" s="87">
        <v>3</v>
      </c>
      <c r="D197" s="86" t="s">
        <v>287</v>
      </c>
      <c r="E197" s="94" t="s">
        <v>313</v>
      </c>
      <c r="F197" s="94" t="s">
        <v>313</v>
      </c>
      <c r="G197" s="94"/>
      <c r="H197" s="94" t="s">
        <v>313</v>
      </c>
      <c r="I197" s="94" t="s">
        <v>313</v>
      </c>
      <c r="J197" s="94" t="s">
        <v>313</v>
      </c>
      <c r="K197" s="94" t="s">
        <v>313</v>
      </c>
      <c r="L197" s="94" t="s">
        <v>313</v>
      </c>
      <c r="M197" s="94" t="s">
        <v>313</v>
      </c>
      <c r="N197" s="94" t="s">
        <v>313</v>
      </c>
      <c r="O197" s="94" t="s">
        <v>313</v>
      </c>
      <c r="P197" s="94"/>
      <c r="Q197" s="94" t="s">
        <v>313</v>
      </c>
      <c r="R197" s="128">
        <v>73.540000000000006</v>
      </c>
      <c r="S197" s="129">
        <f>AVERAGE(R193:R197)</f>
        <v>70.5</v>
      </c>
      <c r="T197" s="98"/>
      <c r="AB197" s="16">
        <f t="shared" si="11"/>
        <v>0</v>
      </c>
      <c r="AC197" s="16">
        <f>SUM(AB193:AB197)/5</f>
        <v>0.32199999999999995</v>
      </c>
    </row>
    <row r="198" spans="1:29" ht="15.75" customHeight="1">
      <c r="A198" s="87"/>
      <c r="B198" s="87"/>
      <c r="C198" s="87">
        <v>4</v>
      </c>
      <c r="D198" s="87" t="s">
        <v>83</v>
      </c>
      <c r="E198" s="94" t="s">
        <v>313</v>
      </c>
      <c r="F198" s="94" t="s">
        <v>313</v>
      </c>
      <c r="G198" s="94"/>
      <c r="H198" s="94" t="s">
        <v>313</v>
      </c>
      <c r="I198" s="94" t="s">
        <v>313</v>
      </c>
      <c r="J198" s="94" t="s">
        <v>313</v>
      </c>
      <c r="K198" s="94" t="s">
        <v>313</v>
      </c>
      <c r="L198" s="94" t="s">
        <v>313</v>
      </c>
      <c r="M198" s="94" t="s">
        <v>313</v>
      </c>
      <c r="N198" s="94" t="s">
        <v>313</v>
      </c>
      <c r="O198" s="94" t="s">
        <v>313</v>
      </c>
      <c r="P198" s="94"/>
      <c r="Q198" s="94" t="s">
        <v>313</v>
      </c>
      <c r="R198" s="128">
        <v>64.28</v>
      </c>
      <c r="S198" s="98"/>
      <c r="T198" s="94" t="s">
        <v>92</v>
      </c>
      <c r="U198" s="16"/>
      <c r="V198" s="16">
        <v>0.09</v>
      </c>
      <c r="W198" s="16"/>
      <c r="X198" s="16"/>
      <c r="Y198" s="16"/>
      <c r="Z198" s="16">
        <v>1.08</v>
      </c>
      <c r="AA198" s="16"/>
      <c r="AB198" s="16">
        <f t="shared" si="11"/>
        <v>0.09</v>
      </c>
      <c r="AC198" s="16"/>
    </row>
    <row r="199" spans="1:29" ht="15.75" customHeight="1">
      <c r="A199" s="87"/>
      <c r="B199" s="87"/>
      <c r="C199" s="87">
        <v>4</v>
      </c>
      <c r="D199" s="87" t="s">
        <v>108</v>
      </c>
      <c r="E199" s="94" t="s">
        <v>313</v>
      </c>
      <c r="F199" s="94" t="s">
        <v>313</v>
      </c>
      <c r="G199" s="94"/>
      <c r="H199" s="94" t="s">
        <v>313</v>
      </c>
      <c r="I199" s="94" t="s">
        <v>313</v>
      </c>
      <c r="J199" s="94" t="s">
        <v>313</v>
      </c>
      <c r="K199" s="94" t="s">
        <v>313</v>
      </c>
      <c r="L199" s="94" t="s">
        <v>313</v>
      </c>
      <c r="M199" s="94" t="s">
        <v>313</v>
      </c>
      <c r="N199" s="94" t="s">
        <v>313</v>
      </c>
      <c r="O199" s="94" t="s">
        <v>313</v>
      </c>
      <c r="P199" s="94"/>
      <c r="Q199" s="94" t="s">
        <v>313</v>
      </c>
      <c r="R199" s="128">
        <v>58.61</v>
      </c>
      <c r="S199" s="98"/>
      <c r="T199" s="98"/>
      <c r="AB199" s="16">
        <f t="shared" si="11"/>
        <v>0</v>
      </c>
      <c r="AC199" s="16"/>
    </row>
    <row r="200" spans="1:29" ht="15.75" customHeight="1">
      <c r="A200" s="87"/>
      <c r="B200" s="87"/>
      <c r="C200" s="87">
        <v>4</v>
      </c>
      <c r="D200" s="87" t="s">
        <v>109</v>
      </c>
      <c r="E200" s="94" t="s">
        <v>313</v>
      </c>
      <c r="F200" s="94" t="s">
        <v>313</v>
      </c>
      <c r="G200" s="94"/>
      <c r="H200" s="94" t="s">
        <v>313</v>
      </c>
      <c r="I200" s="94" t="s">
        <v>313</v>
      </c>
      <c r="J200" s="94" t="s">
        <v>313</v>
      </c>
      <c r="K200" s="94" t="s">
        <v>313</v>
      </c>
      <c r="L200" s="94" t="s">
        <v>313</v>
      </c>
      <c r="M200" s="94" t="s">
        <v>313</v>
      </c>
      <c r="N200" s="94" t="s">
        <v>313</v>
      </c>
      <c r="O200" s="94" t="s">
        <v>313</v>
      </c>
      <c r="P200" s="94"/>
      <c r="Q200" s="94" t="s">
        <v>313</v>
      </c>
      <c r="R200" s="128">
        <v>57.88</v>
      </c>
      <c r="S200" s="98"/>
      <c r="T200" s="98"/>
      <c r="V200" s="16">
        <v>0.97</v>
      </c>
      <c r="Y200" s="16">
        <v>3.26</v>
      </c>
      <c r="Z200" s="16">
        <v>0.52</v>
      </c>
      <c r="AA200" s="16"/>
      <c r="AB200" s="16">
        <f t="shared" si="11"/>
        <v>4.2299999999999995</v>
      </c>
      <c r="AC200" s="16"/>
    </row>
    <row r="201" spans="1:29" ht="15.75" customHeight="1">
      <c r="A201" s="121"/>
      <c r="B201" s="121"/>
      <c r="C201" s="121">
        <v>4</v>
      </c>
      <c r="D201" s="121" t="s">
        <v>87</v>
      </c>
      <c r="E201" s="94" t="s">
        <v>313</v>
      </c>
      <c r="F201" s="94" t="s">
        <v>313</v>
      </c>
      <c r="G201" s="94"/>
      <c r="H201" s="94" t="s">
        <v>313</v>
      </c>
      <c r="I201" s="94" t="s">
        <v>313</v>
      </c>
      <c r="J201" s="94" t="s">
        <v>313</v>
      </c>
      <c r="K201" s="94" t="s">
        <v>313</v>
      </c>
      <c r="L201" s="94" t="s">
        <v>313</v>
      </c>
      <c r="M201" s="94" t="s">
        <v>313</v>
      </c>
      <c r="N201" s="94" t="s">
        <v>313</v>
      </c>
      <c r="O201" s="94" t="s">
        <v>313</v>
      </c>
      <c r="P201" s="94"/>
      <c r="Q201" s="94" t="s">
        <v>313</v>
      </c>
      <c r="R201" s="128">
        <v>63.5</v>
      </c>
      <c r="S201" s="98"/>
      <c r="T201" s="98"/>
      <c r="V201" s="16">
        <v>0.26</v>
      </c>
      <c r="Y201" s="16">
        <v>2.1</v>
      </c>
      <c r="Z201" s="16">
        <v>3.41</v>
      </c>
      <c r="AA201" s="16"/>
      <c r="AB201" s="16">
        <f t="shared" si="11"/>
        <v>2.3600000000000003</v>
      </c>
      <c r="AC201" s="16"/>
    </row>
    <row r="202" spans="1:29" ht="15.75" customHeight="1">
      <c r="A202" s="87"/>
      <c r="B202" s="87"/>
      <c r="C202" s="87">
        <v>4</v>
      </c>
      <c r="D202" s="86" t="s">
        <v>287</v>
      </c>
      <c r="E202" s="94" t="s">
        <v>313</v>
      </c>
      <c r="F202" s="94" t="s">
        <v>313</v>
      </c>
      <c r="G202" s="94"/>
      <c r="H202" s="94" t="s">
        <v>313</v>
      </c>
      <c r="I202" s="94" t="s">
        <v>313</v>
      </c>
      <c r="J202" s="94" t="s">
        <v>313</v>
      </c>
      <c r="K202" s="94" t="s">
        <v>313</v>
      </c>
      <c r="L202" s="94" t="s">
        <v>313</v>
      </c>
      <c r="M202" s="94" t="s">
        <v>313</v>
      </c>
      <c r="N202" s="94" t="s">
        <v>313</v>
      </c>
      <c r="O202" s="94" t="s">
        <v>313</v>
      </c>
      <c r="P202" s="94"/>
      <c r="Q202" s="94" t="s">
        <v>313</v>
      </c>
      <c r="R202" s="128">
        <v>66.41</v>
      </c>
      <c r="S202" s="129">
        <f>AVERAGE(R198:R202)</f>
        <v>62.136000000000003</v>
      </c>
      <c r="T202" s="130"/>
      <c r="U202" s="130"/>
      <c r="V202" s="130"/>
      <c r="W202" s="130"/>
      <c r="X202" s="130"/>
      <c r="Y202" s="130"/>
      <c r="Z202" s="130"/>
      <c r="AA202" s="130"/>
      <c r="AB202" s="16">
        <f t="shared" si="11"/>
        <v>0</v>
      </c>
      <c r="AC202" s="16">
        <f>SUM(AB198:AB202)/5</f>
        <v>1.3359999999999999</v>
      </c>
    </row>
    <row r="203" spans="1:29" ht="15.75" customHeight="1">
      <c r="A203" s="87" t="s">
        <v>112</v>
      </c>
      <c r="B203" s="87" t="s">
        <v>115</v>
      </c>
      <c r="C203" s="87">
        <v>1</v>
      </c>
      <c r="D203" s="87" t="s">
        <v>83</v>
      </c>
      <c r="E203" s="94" t="s">
        <v>313</v>
      </c>
      <c r="F203" s="94" t="s">
        <v>313</v>
      </c>
      <c r="G203" s="94"/>
      <c r="H203" s="94" t="s">
        <v>313</v>
      </c>
      <c r="I203" s="94" t="s">
        <v>313</v>
      </c>
      <c r="J203" s="94" t="s">
        <v>313</v>
      </c>
      <c r="K203" s="94" t="s">
        <v>313</v>
      </c>
      <c r="L203" s="94" t="s">
        <v>313</v>
      </c>
      <c r="M203" s="94" t="s">
        <v>313</v>
      </c>
      <c r="N203" s="94" t="s">
        <v>313</v>
      </c>
      <c r="O203" s="94" t="s">
        <v>313</v>
      </c>
      <c r="P203" s="94"/>
      <c r="Q203" s="94" t="s">
        <v>313</v>
      </c>
      <c r="R203" s="128">
        <v>59.84</v>
      </c>
      <c r="S203" s="98"/>
      <c r="T203" s="94" t="s">
        <v>90</v>
      </c>
      <c r="U203" s="16"/>
      <c r="V203" s="16"/>
      <c r="W203" s="16"/>
      <c r="X203" s="16"/>
      <c r="Y203" s="16"/>
      <c r="Z203" s="16"/>
      <c r="AA203" s="16"/>
      <c r="AB203" s="16">
        <f t="shared" si="11"/>
        <v>0</v>
      </c>
      <c r="AC203" s="16"/>
    </row>
    <row r="204" spans="1:29" ht="15.75" customHeight="1">
      <c r="A204" s="87"/>
      <c r="B204" s="87"/>
      <c r="C204" s="87">
        <v>1</v>
      </c>
      <c r="D204" s="87" t="s">
        <v>85</v>
      </c>
      <c r="E204" s="94" t="s">
        <v>313</v>
      </c>
      <c r="F204" s="94" t="s">
        <v>313</v>
      </c>
      <c r="G204" s="94"/>
      <c r="H204" s="94" t="s">
        <v>313</v>
      </c>
      <c r="I204" s="94" t="s">
        <v>313</v>
      </c>
      <c r="J204" s="94" t="s">
        <v>313</v>
      </c>
      <c r="K204" s="94" t="s">
        <v>313</v>
      </c>
      <c r="L204" s="94" t="s">
        <v>313</v>
      </c>
      <c r="M204" s="94" t="s">
        <v>313</v>
      </c>
      <c r="N204" s="94" t="s">
        <v>313</v>
      </c>
      <c r="O204" s="94" t="s">
        <v>313</v>
      </c>
      <c r="P204" s="94"/>
      <c r="Q204" s="94" t="s">
        <v>313</v>
      </c>
      <c r="R204" s="128">
        <v>81.72</v>
      </c>
      <c r="S204" s="98"/>
      <c r="T204" s="98"/>
      <c r="AB204" s="16">
        <f t="shared" si="11"/>
        <v>0</v>
      </c>
      <c r="AC204" s="16"/>
    </row>
    <row r="205" spans="1:29" ht="15.75" customHeight="1">
      <c r="A205" s="87"/>
      <c r="B205" s="87"/>
      <c r="C205" s="87">
        <v>1</v>
      </c>
      <c r="D205" s="87" t="s">
        <v>87</v>
      </c>
      <c r="E205" s="94" t="s">
        <v>313</v>
      </c>
      <c r="F205" s="94" t="s">
        <v>313</v>
      </c>
      <c r="G205" s="94"/>
      <c r="H205" s="94" t="s">
        <v>313</v>
      </c>
      <c r="I205" s="94" t="s">
        <v>313</v>
      </c>
      <c r="J205" s="94" t="s">
        <v>313</v>
      </c>
      <c r="K205" s="94" t="s">
        <v>313</v>
      </c>
      <c r="L205" s="94" t="s">
        <v>313</v>
      </c>
      <c r="M205" s="94" t="s">
        <v>313</v>
      </c>
      <c r="N205" s="94" t="s">
        <v>313</v>
      </c>
      <c r="O205" s="94" t="s">
        <v>313</v>
      </c>
      <c r="P205" s="94"/>
      <c r="Q205" s="94" t="s">
        <v>313</v>
      </c>
      <c r="R205" s="128">
        <v>64.400000000000006</v>
      </c>
      <c r="S205" s="98"/>
      <c r="T205" s="98"/>
      <c r="V205" s="16">
        <v>1.93</v>
      </c>
      <c r="W205" s="16">
        <v>1.25</v>
      </c>
      <c r="X205" s="16"/>
      <c r="Y205" s="16">
        <v>6.58</v>
      </c>
      <c r="Z205" s="16">
        <v>2.16</v>
      </c>
      <c r="AA205" s="16"/>
      <c r="AB205" s="16">
        <f t="shared" si="11"/>
        <v>9.76</v>
      </c>
      <c r="AC205" s="16"/>
    </row>
    <row r="206" spans="1:29" ht="15.75" customHeight="1">
      <c r="A206" s="87"/>
      <c r="B206" s="87"/>
      <c r="C206" s="87">
        <v>1</v>
      </c>
      <c r="D206" s="87" t="s">
        <v>79</v>
      </c>
      <c r="E206" s="94" t="s">
        <v>313</v>
      </c>
      <c r="F206" s="94" t="s">
        <v>313</v>
      </c>
      <c r="G206" s="94"/>
      <c r="H206" s="94" t="s">
        <v>313</v>
      </c>
      <c r="I206" s="94" t="s">
        <v>313</v>
      </c>
      <c r="J206" s="94" t="s">
        <v>313</v>
      </c>
      <c r="K206" s="94" t="s">
        <v>313</v>
      </c>
      <c r="L206" s="94" t="s">
        <v>313</v>
      </c>
      <c r="M206" s="94" t="s">
        <v>313</v>
      </c>
      <c r="N206" s="94" t="s">
        <v>313</v>
      </c>
      <c r="O206" s="94" t="s">
        <v>313</v>
      </c>
      <c r="P206" s="94"/>
      <c r="Q206" s="94" t="s">
        <v>313</v>
      </c>
      <c r="R206" s="128">
        <v>74.78</v>
      </c>
      <c r="S206" s="98"/>
      <c r="T206" s="98"/>
      <c r="V206" s="16">
        <v>0.31</v>
      </c>
      <c r="W206" s="16">
        <v>0.14000000000000001</v>
      </c>
      <c r="X206" s="16"/>
      <c r="Y206" s="16">
        <v>2.81</v>
      </c>
      <c r="Z206" s="16">
        <v>1.96</v>
      </c>
      <c r="AA206" s="16"/>
      <c r="AB206" s="16">
        <f t="shared" si="11"/>
        <v>3.2600000000000002</v>
      </c>
      <c r="AC206" s="16"/>
    </row>
    <row r="207" spans="1:29" ht="15.75" customHeight="1">
      <c r="A207" s="87"/>
      <c r="B207" s="87"/>
      <c r="C207" s="87">
        <v>1</v>
      </c>
      <c r="D207" s="87" t="s">
        <v>88</v>
      </c>
      <c r="E207" s="94" t="s">
        <v>313</v>
      </c>
      <c r="F207" s="94" t="s">
        <v>313</v>
      </c>
      <c r="G207" s="94"/>
      <c r="H207" s="94" t="s">
        <v>313</v>
      </c>
      <c r="I207" s="94" t="s">
        <v>313</v>
      </c>
      <c r="J207" s="94" t="s">
        <v>313</v>
      </c>
      <c r="K207" s="94" t="s">
        <v>313</v>
      </c>
      <c r="L207" s="94" t="s">
        <v>313</v>
      </c>
      <c r="M207" s="94" t="s">
        <v>313</v>
      </c>
      <c r="N207" s="94" t="s">
        <v>313</v>
      </c>
      <c r="O207" s="94" t="s">
        <v>313</v>
      </c>
      <c r="P207" s="94"/>
      <c r="Q207" s="94" t="s">
        <v>313</v>
      </c>
      <c r="R207" s="128">
        <v>75.42</v>
      </c>
      <c r="S207" s="129">
        <f>AVERAGE(R203:R207)</f>
        <v>71.231999999999999</v>
      </c>
      <c r="T207" s="98"/>
      <c r="V207">
        <f>14.39-7.34</f>
        <v>7.0500000000000007</v>
      </c>
      <c r="W207">
        <f>9.18-7.34</f>
        <v>1.8399999999999999</v>
      </c>
      <c r="Y207" s="16">
        <v>5.57</v>
      </c>
      <c r="Z207" s="16">
        <v>4.1900000000000004</v>
      </c>
      <c r="AA207" s="16"/>
      <c r="AB207" s="16">
        <f t="shared" si="11"/>
        <v>14.46</v>
      </c>
      <c r="AC207" s="16">
        <f>SUM(AB203:AB207)/5</f>
        <v>5.4960000000000004</v>
      </c>
    </row>
    <row r="208" spans="1:29" ht="15.75" customHeight="1">
      <c r="A208" s="87"/>
      <c r="B208" s="87"/>
      <c r="C208" s="87">
        <v>2</v>
      </c>
      <c r="D208" s="87" t="s">
        <v>83</v>
      </c>
      <c r="E208" s="94" t="s">
        <v>313</v>
      </c>
      <c r="F208" s="94" t="s">
        <v>313</v>
      </c>
      <c r="G208" s="94"/>
      <c r="H208" s="94" t="s">
        <v>313</v>
      </c>
      <c r="I208" s="94" t="s">
        <v>313</v>
      </c>
      <c r="J208" s="94" t="s">
        <v>313</v>
      </c>
      <c r="K208" s="94" t="s">
        <v>313</v>
      </c>
      <c r="L208" s="94" t="s">
        <v>313</v>
      </c>
      <c r="M208" s="94" t="s">
        <v>313</v>
      </c>
      <c r="N208" s="94" t="s">
        <v>313</v>
      </c>
      <c r="O208" s="94" t="s">
        <v>313</v>
      </c>
      <c r="P208" s="94"/>
      <c r="Q208" s="94" t="s">
        <v>313</v>
      </c>
      <c r="R208" s="128">
        <v>69.67</v>
      </c>
      <c r="S208" s="98"/>
      <c r="T208" s="94" t="s">
        <v>92</v>
      </c>
      <c r="U208" s="16"/>
      <c r="V208" s="16"/>
      <c r="W208" s="16"/>
      <c r="X208" s="16"/>
      <c r="Y208" s="16"/>
      <c r="Z208" s="16"/>
      <c r="AA208" s="16"/>
      <c r="AB208" s="16">
        <f t="shared" si="11"/>
        <v>0</v>
      </c>
      <c r="AC208" s="16"/>
    </row>
    <row r="209" spans="1:29" ht="15.75" customHeight="1">
      <c r="A209" s="87"/>
      <c r="B209" s="87"/>
      <c r="C209" s="87">
        <v>2</v>
      </c>
      <c r="D209" s="87" t="s">
        <v>85</v>
      </c>
      <c r="E209" s="94" t="s">
        <v>313</v>
      </c>
      <c r="F209" s="94" t="s">
        <v>313</v>
      </c>
      <c r="G209" s="94"/>
      <c r="H209" s="94" t="s">
        <v>313</v>
      </c>
      <c r="I209" s="94" t="s">
        <v>313</v>
      </c>
      <c r="J209" s="94" t="s">
        <v>313</v>
      </c>
      <c r="K209" s="94" t="s">
        <v>313</v>
      </c>
      <c r="L209" s="94" t="s">
        <v>313</v>
      </c>
      <c r="M209" s="94" t="s">
        <v>313</v>
      </c>
      <c r="N209" s="94" t="s">
        <v>313</v>
      </c>
      <c r="O209" s="94" t="s">
        <v>313</v>
      </c>
      <c r="P209" s="94"/>
      <c r="Q209" s="94" t="s">
        <v>313</v>
      </c>
      <c r="R209" s="128">
        <v>73.819999999999993</v>
      </c>
      <c r="S209" s="98"/>
      <c r="T209" s="98"/>
      <c r="AB209" s="16">
        <f t="shared" si="11"/>
        <v>0</v>
      </c>
      <c r="AC209" s="16"/>
    </row>
    <row r="210" spans="1:29" ht="15.75" customHeight="1">
      <c r="A210" s="87"/>
      <c r="B210" s="87"/>
      <c r="C210" s="87">
        <v>2</v>
      </c>
      <c r="D210" s="87" t="s">
        <v>87</v>
      </c>
      <c r="E210" s="94" t="s">
        <v>313</v>
      </c>
      <c r="F210" s="94" t="s">
        <v>313</v>
      </c>
      <c r="G210" s="94"/>
      <c r="H210" s="94" t="s">
        <v>313</v>
      </c>
      <c r="I210" s="94" t="s">
        <v>313</v>
      </c>
      <c r="J210" s="94" t="s">
        <v>313</v>
      </c>
      <c r="K210" s="94" t="s">
        <v>313</v>
      </c>
      <c r="L210" s="94" t="s">
        <v>313</v>
      </c>
      <c r="M210" s="94" t="s">
        <v>313</v>
      </c>
      <c r="N210" s="94" t="s">
        <v>313</v>
      </c>
      <c r="O210" s="94" t="s">
        <v>313</v>
      </c>
      <c r="P210" s="94"/>
      <c r="Q210" s="94" t="s">
        <v>313</v>
      </c>
      <c r="R210" s="128">
        <v>71.540000000000006</v>
      </c>
      <c r="S210" s="98"/>
      <c r="T210" s="98"/>
      <c r="AB210" s="16">
        <f t="shared" si="11"/>
        <v>0</v>
      </c>
      <c r="AC210" s="16"/>
    </row>
    <row r="211" spans="1:29" ht="15.75" customHeight="1">
      <c r="A211" s="87"/>
      <c r="B211" s="87"/>
      <c r="C211" s="87">
        <v>2</v>
      </c>
      <c r="D211" s="87" t="s">
        <v>79</v>
      </c>
      <c r="E211" s="94" t="s">
        <v>313</v>
      </c>
      <c r="F211" s="94" t="s">
        <v>313</v>
      </c>
      <c r="G211" s="94"/>
      <c r="H211" s="94" t="s">
        <v>313</v>
      </c>
      <c r="I211" s="94" t="s">
        <v>313</v>
      </c>
      <c r="J211" s="94" t="s">
        <v>313</v>
      </c>
      <c r="K211" s="94" t="s">
        <v>313</v>
      </c>
      <c r="L211" s="94" t="s">
        <v>313</v>
      </c>
      <c r="M211" s="94" t="s">
        <v>313</v>
      </c>
      <c r="N211" s="94" t="s">
        <v>313</v>
      </c>
      <c r="O211" s="94" t="s">
        <v>313</v>
      </c>
      <c r="P211" s="94"/>
      <c r="Q211" s="94" t="s">
        <v>313</v>
      </c>
      <c r="R211" s="128">
        <v>68.64</v>
      </c>
      <c r="S211" s="98"/>
      <c r="T211" s="98"/>
      <c r="V211" s="16">
        <v>1.45</v>
      </c>
      <c r="W211" s="16">
        <v>0.39</v>
      </c>
      <c r="X211" s="16"/>
      <c r="Y211" s="16">
        <v>3.9</v>
      </c>
      <c r="Z211" s="16">
        <v>1.44</v>
      </c>
      <c r="AA211" s="16"/>
      <c r="AB211" s="16">
        <f t="shared" si="11"/>
        <v>5.74</v>
      </c>
      <c r="AC211" s="16"/>
    </row>
    <row r="212" spans="1:29" ht="15.75" customHeight="1">
      <c r="A212" s="87"/>
      <c r="B212" s="87"/>
      <c r="C212" s="87">
        <v>2</v>
      </c>
      <c r="D212" s="87" t="s">
        <v>88</v>
      </c>
      <c r="E212" s="94" t="s">
        <v>313</v>
      </c>
      <c r="F212" s="94" t="s">
        <v>313</v>
      </c>
      <c r="G212" s="94"/>
      <c r="H212" s="94" t="s">
        <v>313</v>
      </c>
      <c r="I212" s="94" t="s">
        <v>313</v>
      </c>
      <c r="J212" s="94" t="s">
        <v>313</v>
      </c>
      <c r="K212" s="94" t="s">
        <v>313</v>
      </c>
      <c r="L212" s="94" t="s">
        <v>313</v>
      </c>
      <c r="M212" s="94" t="s">
        <v>313</v>
      </c>
      <c r="N212" s="94" t="s">
        <v>313</v>
      </c>
      <c r="O212" s="94" t="s">
        <v>313</v>
      </c>
      <c r="P212" s="94"/>
      <c r="Q212" s="94" t="s">
        <v>313</v>
      </c>
      <c r="R212" s="128">
        <v>76.66</v>
      </c>
      <c r="S212" s="129">
        <f>AVERAGE(R208:R212)</f>
        <v>72.066000000000003</v>
      </c>
      <c r="T212" s="98"/>
      <c r="AB212" s="16">
        <f t="shared" si="11"/>
        <v>0</v>
      </c>
      <c r="AC212" s="16">
        <f>SUM(AB208:AB212)/5</f>
        <v>1.1480000000000001</v>
      </c>
    </row>
    <row r="213" spans="1:29" ht="15.75" customHeight="1">
      <c r="A213" s="87"/>
      <c r="B213" s="87"/>
      <c r="C213" s="87">
        <v>3</v>
      </c>
      <c r="D213" s="87" t="s">
        <v>83</v>
      </c>
      <c r="E213" s="94" t="s">
        <v>313</v>
      </c>
      <c r="F213" s="94" t="s">
        <v>313</v>
      </c>
      <c r="G213" s="94"/>
      <c r="H213" s="94" t="s">
        <v>313</v>
      </c>
      <c r="I213" s="94" t="s">
        <v>313</v>
      </c>
      <c r="J213" s="94" t="s">
        <v>313</v>
      </c>
      <c r="K213" s="94" t="s">
        <v>313</v>
      </c>
      <c r="L213" s="94" t="s">
        <v>313</v>
      </c>
      <c r="M213" s="94" t="s">
        <v>313</v>
      </c>
      <c r="N213" s="94" t="s">
        <v>313</v>
      </c>
      <c r="O213" s="94" t="s">
        <v>313</v>
      </c>
      <c r="P213" s="94"/>
      <c r="Q213" s="94" t="s">
        <v>313</v>
      </c>
      <c r="R213" s="128">
        <v>73.75</v>
      </c>
      <c r="S213" s="98"/>
      <c r="T213" s="94" t="s">
        <v>317</v>
      </c>
      <c r="U213" s="16"/>
      <c r="V213" s="16">
        <v>0.23</v>
      </c>
      <c r="W213" s="16">
        <v>1.73</v>
      </c>
      <c r="X213" s="16"/>
      <c r="Y213" s="16">
        <v>3.19</v>
      </c>
      <c r="Z213" s="16"/>
      <c r="AA213" s="16"/>
      <c r="AB213" s="16">
        <f t="shared" si="11"/>
        <v>5.15</v>
      </c>
      <c r="AC213" s="16"/>
    </row>
    <row r="214" spans="1:29" ht="15.75" customHeight="1">
      <c r="A214" s="87"/>
      <c r="B214" s="87"/>
      <c r="C214" s="87">
        <v>3</v>
      </c>
      <c r="D214" s="87" t="s">
        <v>85</v>
      </c>
      <c r="E214" s="94" t="s">
        <v>313</v>
      </c>
      <c r="F214" s="94" t="s">
        <v>313</v>
      </c>
      <c r="G214" s="94"/>
      <c r="H214" s="94" t="s">
        <v>313</v>
      </c>
      <c r="I214" s="94" t="s">
        <v>313</v>
      </c>
      <c r="J214" s="94" t="s">
        <v>313</v>
      </c>
      <c r="K214" s="94" t="s">
        <v>313</v>
      </c>
      <c r="L214" s="94" t="s">
        <v>313</v>
      </c>
      <c r="M214" s="94" t="s">
        <v>313</v>
      </c>
      <c r="N214" s="94" t="s">
        <v>313</v>
      </c>
      <c r="O214" s="94" t="s">
        <v>313</v>
      </c>
      <c r="P214" s="94"/>
      <c r="Q214" s="94" t="s">
        <v>313</v>
      </c>
      <c r="R214" s="128">
        <v>77.38</v>
      </c>
      <c r="S214" s="98"/>
      <c r="T214" s="98"/>
      <c r="AB214" s="16">
        <f t="shared" si="11"/>
        <v>0</v>
      </c>
      <c r="AC214" s="16"/>
    </row>
    <row r="215" spans="1:29" ht="15.75" customHeight="1">
      <c r="A215" s="87"/>
      <c r="B215" s="87"/>
      <c r="C215" s="87">
        <v>3</v>
      </c>
      <c r="D215" s="87" t="s">
        <v>87</v>
      </c>
      <c r="E215" s="94" t="s">
        <v>313</v>
      </c>
      <c r="F215" s="94" t="s">
        <v>313</v>
      </c>
      <c r="G215" s="94"/>
      <c r="H215" s="94" t="s">
        <v>313</v>
      </c>
      <c r="I215" s="94" t="s">
        <v>313</v>
      </c>
      <c r="J215" s="94" t="s">
        <v>313</v>
      </c>
      <c r="K215" s="94" t="s">
        <v>313</v>
      </c>
      <c r="L215" s="94" t="s">
        <v>313</v>
      </c>
      <c r="M215" s="94" t="s">
        <v>313</v>
      </c>
      <c r="N215" s="94" t="s">
        <v>313</v>
      </c>
      <c r="O215" s="94" t="s">
        <v>313</v>
      </c>
      <c r="P215" s="94"/>
      <c r="Q215" s="94" t="s">
        <v>313</v>
      </c>
      <c r="R215" s="128">
        <v>86.11</v>
      </c>
      <c r="S215" s="98"/>
      <c r="T215" s="98"/>
      <c r="AB215" s="16">
        <f t="shared" si="11"/>
        <v>0</v>
      </c>
      <c r="AC215" s="16"/>
    </row>
    <row r="216" spans="1:29" ht="15.75" customHeight="1">
      <c r="A216" s="87"/>
      <c r="B216" s="87"/>
      <c r="C216" s="87">
        <v>3</v>
      </c>
      <c r="D216" s="87" t="s">
        <v>79</v>
      </c>
      <c r="E216" s="94" t="s">
        <v>313</v>
      </c>
      <c r="F216" s="94" t="s">
        <v>313</v>
      </c>
      <c r="G216" s="94"/>
      <c r="H216" s="94" t="s">
        <v>313</v>
      </c>
      <c r="I216" s="94" t="s">
        <v>313</v>
      </c>
      <c r="J216" s="94" t="s">
        <v>313</v>
      </c>
      <c r="K216" s="94" t="s">
        <v>313</v>
      </c>
      <c r="L216" s="94" t="s">
        <v>313</v>
      </c>
      <c r="M216" s="94" t="s">
        <v>313</v>
      </c>
      <c r="N216" s="94" t="s">
        <v>313</v>
      </c>
      <c r="O216" s="94" t="s">
        <v>313</v>
      </c>
      <c r="P216" s="94"/>
      <c r="Q216" s="94" t="s">
        <v>313</v>
      </c>
      <c r="R216" s="129"/>
      <c r="S216" s="98"/>
      <c r="T216" s="94" t="s">
        <v>319</v>
      </c>
      <c r="U216" s="16"/>
      <c r="V216" s="16"/>
      <c r="W216" s="16"/>
      <c r="X216" s="16"/>
      <c r="Y216" s="16"/>
      <c r="Z216" s="16"/>
      <c r="AA216" s="16"/>
      <c r="AB216" s="16">
        <f t="shared" si="11"/>
        <v>0</v>
      </c>
      <c r="AC216" s="16"/>
    </row>
    <row r="217" spans="1:29" ht="15.75" customHeight="1">
      <c r="A217" s="87"/>
      <c r="B217" s="87"/>
      <c r="C217" s="87">
        <v>3</v>
      </c>
      <c r="D217" s="87" t="s">
        <v>88</v>
      </c>
      <c r="E217" s="94" t="s">
        <v>313</v>
      </c>
      <c r="F217" s="94" t="s">
        <v>313</v>
      </c>
      <c r="G217" s="94"/>
      <c r="H217" s="94" t="s">
        <v>313</v>
      </c>
      <c r="I217" s="94" t="s">
        <v>313</v>
      </c>
      <c r="J217" s="94" t="s">
        <v>313</v>
      </c>
      <c r="K217" s="94" t="s">
        <v>313</v>
      </c>
      <c r="L217" s="94" t="s">
        <v>313</v>
      </c>
      <c r="M217" s="94" t="s">
        <v>313</v>
      </c>
      <c r="N217" s="94" t="s">
        <v>313</v>
      </c>
      <c r="O217" s="94" t="s">
        <v>313</v>
      </c>
      <c r="P217" s="94"/>
      <c r="Q217" s="94" t="s">
        <v>313</v>
      </c>
      <c r="R217" s="128">
        <v>84.27</v>
      </c>
      <c r="S217" s="129">
        <f>AVERAGE(R213:R215,R217)</f>
        <v>80.377499999999998</v>
      </c>
      <c r="T217" s="98"/>
      <c r="AB217" s="16">
        <f t="shared" si="11"/>
        <v>0</v>
      </c>
      <c r="AC217" s="16">
        <f>SUM(AB213:AB217)/5</f>
        <v>1.03</v>
      </c>
    </row>
    <row r="218" spans="1:29" ht="15.75" customHeight="1">
      <c r="A218" s="87"/>
      <c r="B218" s="87"/>
      <c r="C218" s="87">
        <v>4</v>
      </c>
      <c r="D218" s="87" t="s">
        <v>83</v>
      </c>
      <c r="E218" s="94" t="s">
        <v>313</v>
      </c>
      <c r="F218" s="94" t="s">
        <v>313</v>
      </c>
      <c r="G218" s="94"/>
      <c r="H218" s="94" t="s">
        <v>313</v>
      </c>
      <c r="I218" s="94" t="s">
        <v>313</v>
      </c>
      <c r="J218" s="94" t="s">
        <v>313</v>
      </c>
      <c r="K218" s="94" t="s">
        <v>313</v>
      </c>
      <c r="L218" s="94" t="s">
        <v>313</v>
      </c>
      <c r="M218" s="94" t="s">
        <v>313</v>
      </c>
      <c r="N218" s="94" t="s">
        <v>313</v>
      </c>
      <c r="O218" s="94" t="s">
        <v>313</v>
      </c>
      <c r="P218" s="94"/>
      <c r="Q218" s="94" t="s">
        <v>313</v>
      </c>
      <c r="R218" s="128">
        <v>65.97</v>
      </c>
      <c r="S218" s="98"/>
      <c r="T218" s="94" t="s">
        <v>142</v>
      </c>
      <c r="U218" s="16"/>
      <c r="V218" s="16"/>
      <c r="W218" s="16"/>
      <c r="X218" s="16"/>
      <c r="Y218" s="16"/>
      <c r="Z218" s="16"/>
      <c r="AA218" s="16"/>
      <c r="AB218" s="16">
        <f t="shared" si="11"/>
        <v>0</v>
      </c>
      <c r="AC218" s="16"/>
    </row>
    <row r="219" spans="1:29" ht="15.75" customHeight="1">
      <c r="A219" s="87"/>
      <c r="B219" s="87"/>
      <c r="C219" s="87">
        <v>4</v>
      </c>
      <c r="D219" s="87" t="s">
        <v>85</v>
      </c>
      <c r="E219" s="94" t="s">
        <v>313</v>
      </c>
      <c r="F219" s="94" t="s">
        <v>313</v>
      </c>
      <c r="G219" s="94"/>
      <c r="H219" s="94" t="s">
        <v>313</v>
      </c>
      <c r="I219" s="94" t="s">
        <v>313</v>
      </c>
      <c r="J219" s="94" t="s">
        <v>313</v>
      </c>
      <c r="K219" s="94" t="s">
        <v>313</v>
      </c>
      <c r="L219" s="94" t="s">
        <v>313</v>
      </c>
      <c r="M219" s="94" t="s">
        <v>313</v>
      </c>
      <c r="N219" s="94" t="s">
        <v>313</v>
      </c>
      <c r="O219" s="94" t="s">
        <v>313</v>
      </c>
      <c r="P219" s="94"/>
      <c r="Q219" s="94" t="s">
        <v>313</v>
      </c>
      <c r="R219" s="128">
        <v>64.48</v>
      </c>
      <c r="S219" s="98"/>
      <c r="T219" s="98"/>
      <c r="AB219" s="16">
        <f t="shared" si="11"/>
        <v>0</v>
      </c>
      <c r="AC219" s="16"/>
    </row>
    <row r="220" spans="1:29" ht="15.75" customHeight="1">
      <c r="A220" s="87"/>
      <c r="B220" s="87"/>
      <c r="C220" s="87">
        <v>4</v>
      </c>
      <c r="D220" s="87" t="s">
        <v>87</v>
      </c>
      <c r="E220" s="94" t="s">
        <v>313</v>
      </c>
      <c r="F220" s="94" t="s">
        <v>313</v>
      </c>
      <c r="G220" s="94"/>
      <c r="H220" s="94" t="s">
        <v>313</v>
      </c>
      <c r="I220" s="94" t="s">
        <v>313</v>
      </c>
      <c r="J220" s="94" t="s">
        <v>313</v>
      </c>
      <c r="K220" s="94" t="s">
        <v>313</v>
      </c>
      <c r="L220" s="94" t="s">
        <v>313</v>
      </c>
      <c r="M220" s="94" t="s">
        <v>313</v>
      </c>
      <c r="N220" s="94" t="s">
        <v>313</v>
      </c>
      <c r="O220" s="94" t="s">
        <v>313</v>
      </c>
      <c r="P220" s="94"/>
      <c r="Q220" s="94" t="s">
        <v>313</v>
      </c>
      <c r="R220" s="128">
        <v>69.3</v>
      </c>
      <c r="S220" s="98"/>
      <c r="T220" s="98"/>
      <c r="V220">
        <f>10.79-7.34</f>
        <v>3.4499999999999993</v>
      </c>
      <c r="W220" s="16">
        <v>0.09</v>
      </c>
      <c r="X220" s="16"/>
      <c r="Y220" s="131" t="s">
        <v>322</v>
      </c>
      <c r="Z220" s="16">
        <v>1.96</v>
      </c>
      <c r="AA220" s="16"/>
      <c r="AB220" s="16" t="e">
        <f t="shared" si="11"/>
        <v>#VALUE!</v>
      </c>
      <c r="AC220" s="16"/>
    </row>
    <row r="221" spans="1:29" ht="15.75" customHeight="1">
      <c r="A221" s="87"/>
      <c r="B221" s="87"/>
      <c r="C221" s="87">
        <v>4</v>
      </c>
      <c r="D221" s="87" t="s">
        <v>79</v>
      </c>
      <c r="E221" s="94" t="s">
        <v>313</v>
      </c>
      <c r="F221" s="94" t="s">
        <v>313</v>
      </c>
      <c r="G221" s="94"/>
      <c r="H221" s="94" t="s">
        <v>313</v>
      </c>
      <c r="I221" s="94" t="s">
        <v>313</v>
      </c>
      <c r="J221" s="94" t="s">
        <v>313</v>
      </c>
      <c r="K221" s="94" t="s">
        <v>313</v>
      </c>
      <c r="L221" s="94" t="s">
        <v>313</v>
      </c>
      <c r="M221" s="94" t="s">
        <v>313</v>
      </c>
      <c r="N221" s="94" t="s">
        <v>313</v>
      </c>
      <c r="O221" s="94" t="s">
        <v>313</v>
      </c>
      <c r="P221" s="94"/>
      <c r="Q221" s="94" t="s">
        <v>313</v>
      </c>
      <c r="R221" s="128">
        <v>58.98</v>
      </c>
      <c r="S221" s="98"/>
      <c r="T221" s="98"/>
      <c r="V221">
        <f>11.47-7.34</f>
        <v>4.1300000000000008</v>
      </c>
      <c r="W221" s="16">
        <v>0.4</v>
      </c>
      <c r="X221" s="16"/>
      <c r="Y221" s="16">
        <v>3.71</v>
      </c>
      <c r="Z221" s="16">
        <v>2.87</v>
      </c>
      <c r="AA221" s="16"/>
      <c r="AB221" s="16">
        <f t="shared" si="11"/>
        <v>8.240000000000002</v>
      </c>
      <c r="AC221" s="16"/>
    </row>
    <row r="222" spans="1:29" ht="15.75" customHeight="1">
      <c r="A222" s="87"/>
      <c r="B222" s="87"/>
      <c r="C222" s="87">
        <v>4</v>
      </c>
      <c r="D222" s="87" t="s">
        <v>88</v>
      </c>
      <c r="E222" s="94" t="s">
        <v>313</v>
      </c>
      <c r="F222" s="94" t="s">
        <v>313</v>
      </c>
      <c r="G222" s="94"/>
      <c r="H222" s="94" t="s">
        <v>313</v>
      </c>
      <c r="I222" s="94" t="s">
        <v>313</v>
      </c>
      <c r="J222" s="94" t="s">
        <v>313</v>
      </c>
      <c r="K222" s="94" t="s">
        <v>313</v>
      </c>
      <c r="L222" s="94" t="s">
        <v>313</v>
      </c>
      <c r="M222" s="94" t="s">
        <v>313</v>
      </c>
      <c r="N222" s="94" t="s">
        <v>313</v>
      </c>
      <c r="O222" s="94" t="s">
        <v>313</v>
      </c>
      <c r="P222" s="94"/>
      <c r="Q222" s="94" t="s">
        <v>313</v>
      </c>
      <c r="R222" s="128">
        <v>69.5</v>
      </c>
      <c r="S222" s="129">
        <f>AVERAGE(R218:R222)</f>
        <v>65.646000000000001</v>
      </c>
      <c r="T222" s="98"/>
      <c r="V222" s="16">
        <v>1.24</v>
      </c>
      <c r="W222" s="16">
        <v>0.64</v>
      </c>
      <c r="X222" s="16"/>
      <c r="Y222" s="16">
        <v>3.11</v>
      </c>
      <c r="Z222" s="16">
        <v>0.81</v>
      </c>
      <c r="AA222" s="16"/>
      <c r="AB222" s="16">
        <f t="shared" si="11"/>
        <v>4.99</v>
      </c>
      <c r="AC222" s="16" t="e">
        <f>SUM(AB218:AB222)/5</f>
        <v>#VALUE!</v>
      </c>
    </row>
    <row r="223" spans="1:29" ht="15.75" customHeight="1">
      <c r="A223" s="2"/>
      <c r="B223" s="2"/>
      <c r="C223" s="2"/>
      <c r="D223" s="2"/>
      <c r="E223" s="16"/>
      <c r="F223" s="16"/>
      <c r="G223" s="16"/>
      <c r="H223" s="16"/>
      <c r="I223" s="16"/>
      <c r="J223" s="16"/>
      <c r="K223" s="16"/>
      <c r="L223" s="16"/>
      <c r="M223" s="16"/>
      <c r="N223" s="16"/>
      <c r="O223" s="16"/>
      <c r="P223" s="16"/>
      <c r="Q223" s="16"/>
      <c r="R223" s="132"/>
    </row>
    <row r="224" spans="1:29" ht="15.75" customHeight="1">
      <c r="A224" s="21" t="s">
        <v>323</v>
      </c>
      <c r="B224" s="21" t="s">
        <v>298</v>
      </c>
      <c r="C224" s="21" t="s">
        <v>296</v>
      </c>
      <c r="D224" s="21" t="s">
        <v>324</v>
      </c>
      <c r="E224" s="16" t="s">
        <v>325</v>
      </c>
      <c r="F224" s="16" t="s">
        <v>326</v>
      </c>
      <c r="G224" s="16"/>
      <c r="H224" s="16"/>
      <c r="I224" s="16"/>
      <c r="J224" s="16"/>
      <c r="K224" s="16"/>
      <c r="L224" s="16"/>
      <c r="M224" s="16"/>
      <c r="N224" s="16"/>
      <c r="O224" s="16"/>
      <c r="P224" s="16"/>
      <c r="Q224" s="16"/>
      <c r="R224" s="132"/>
    </row>
    <row r="225" spans="1:18" ht="15.75" customHeight="1">
      <c r="A225" s="2"/>
      <c r="B225" s="21">
        <v>1.74</v>
      </c>
      <c r="C225" s="21">
        <v>2.85</v>
      </c>
      <c r="D225" s="21">
        <v>7.34</v>
      </c>
      <c r="E225" s="16">
        <v>14.38</v>
      </c>
      <c r="F225" s="16">
        <v>19.89</v>
      </c>
      <c r="G225" s="16"/>
      <c r="H225" s="16"/>
      <c r="I225" s="16"/>
      <c r="J225" s="16"/>
      <c r="K225" s="16"/>
      <c r="L225" s="16"/>
      <c r="M225" s="16"/>
      <c r="N225" s="16"/>
      <c r="O225" s="16"/>
      <c r="P225" s="16"/>
      <c r="Q225" s="16"/>
      <c r="R225" s="132"/>
    </row>
    <row r="226" spans="1:18" ht="15.75" customHeight="1">
      <c r="A226" s="2"/>
      <c r="B226" s="2"/>
      <c r="C226" s="2"/>
      <c r="D226" s="2"/>
      <c r="E226" s="16"/>
      <c r="F226" s="16"/>
      <c r="G226" s="16"/>
      <c r="H226" s="16"/>
      <c r="I226" s="16"/>
      <c r="J226" s="16"/>
      <c r="K226" s="16"/>
      <c r="L226" s="16"/>
      <c r="M226" s="16"/>
      <c r="N226" s="16"/>
      <c r="O226" s="16"/>
      <c r="P226" s="16"/>
      <c r="Q226" s="16"/>
      <c r="R226" s="132"/>
    </row>
    <row r="227" spans="1:18" ht="15.75" customHeight="1">
      <c r="A227" s="2"/>
      <c r="B227" s="2"/>
      <c r="C227" s="21" t="s">
        <v>327</v>
      </c>
      <c r="D227" s="21" t="s">
        <v>328</v>
      </c>
      <c r="E227" s="16"/>
      <c r="F227" s="16"/>
      <c r="G227" s="16"/>
      <c r="H227" s="16">
        <v>59</v>
      </c>
      <c r="I227" s="16">
        <f>SUM(H227-VLOOKUP(C228,C228:D232,2))</f>
        <v>39.11</v>
      </c>
      <c r="J227" s="16"/>
      <c r="K227" s="16"/>
      <c r="L227" s="16"/>
      <c r="M227" s="16"/>
      <c r="N227" s="16"/>
      <c r="O227" s="16"/>
      <c r="P227" s="16"/>
      <c r="Q227" s="16"/>
      <c r="R227" s="132"/>
    </row>
    <row r="228" spans="1:18" ht="15.75" customHeight="1">
      <c r="A228" s="2"/>
      <c r="B228" s="21" t="s">
        <v>276</v>
      </c>
      <c r="C228" s="21" t="s">
        <v>326</v>
      </c>
      <c r="D228" s="21">
        <v>19.89</v>
      </c>
      <c r="E228" s="16"/>
      <c r="F228" s="16"/>
      <c r="G228" s="16"/>
      <c r="H228" s="16"/>
      <c r="I228" s="16"/>
      <c r="J228" s="16"/>
      <c r="K228" s="16"/>
      <c r="L228" s="16"/>
      <c r="M228" s="16"/>
      <c r="N228" s="16"/>
      <c r="O228" s="16"/>
      <c r="P228" s="16"/>
      <c r="Q228" s="16"/>
      <c r="R228" s="132"/>
    </row>
    <row r="229" spans="1:18" ht="15.75" customHeight="1">
      <c r="A229" s="2"/>
      <c r="B229" s="2"/>
      <c r="C229" s="21" t="s">
        <v>296</v>
      </c>
      <c r="D229" s="21">
        <v>2.85</v>
      </c>
      <c r="E229" s="16"/>
      <c r="F229" s="16"/>
      <c r="G229" s="16"/>
      <c r="H229" s="16"/>
      <c r="I229" s="16"/>
      <c r="J229" s="16"/>
      <c r="K229" s="16"/>
      <c r="L229" s="16"/>
      <c r="M229" s="16"/>
      <c r="N229" s="16"/>
      <c r="O229" s="16"/>
      <c r="P229" s="16"/>
      <c r="Q229" s="16"/>
      <c r="R229" s="132"/>
    </row>
    <row r="230" spans="1:18" ht="15.75" customHeight="1">
      <c r="A230" s="2"/>
      <c r="B230" s="21" t="s">
        <v>294</v>
      </c>
      <c r="C230" s="21" t="s">
        <v>325</v>
      </c>
      <c r="D230" s="21">
        <v>14.38</v>
      </c>
      <c r="E230" s="16"/>
      <c r="F230" s="16"/>
      <c r="G230" s="16"/>
      <c r="H230" s="16"/>
      <c r="I230" s="16"/>
      <c r="J230" s="16"/>
      <c r="K230" s="16"/>
      <c r="L230" s="16"/>
      <c r="M230" s="16"/>
      <c r="N230" s="16"/>
      <c r="O230" s="16"/>
      <c r="P230" s="16"/>
      <c r="Q230" s="16"/>
      <c r="R230" s="132"/>
    </row>
    <row r="231" spans="1:18" ht="15.75" customHeight="1">
      <c r="A231" s="2"/>
      <c r="B231" s="21" t="s">
        <v>295</v>
      </c>
      <c r="C231" s="21" t="s">
        <v>324</v>
      </c>
      <c r="D231" s="21">
        <v>7.34</v>
      </c>
      <c r="E231" s="16"/>
      <c r="F231" s="16"/>
      <c r="G231" s="16"/>
      <c r="H231" s="16"/>
      <c r="I231" s="16"/>
      <c r="J231" s="16"/>
      <c r="K231" s="16"/>
      <c r="L231" s="16"/>
      <c r="M231" s="16"/>
      <c r="N231" s="16"/>
      <c r="O231" s="16"/>
      <c r="P231" s="16"/>
      <c r="Q231" s="16"/>
      <c r="R231" s="132"/>
    </row>
    <row r="232" spans="1:18" ht="15.75" customHeight="1">
      <c r="A232" s="2"/>
      <c r="B232" s="2"/>
      <c r="C232" s="21" t="s">
        <v>298</v>
      </c>
      <c r="D232" s="21">
        <v>1.74</v>
      </c>
      <c r="E232" s="16"/>
      <c r="F232" s="16"/>
      <c r="G232" s="16"/>
      <c r="H232" s="16"/>
      <c r="I232" s="16"/>
      <c r="J232" s="16"/>
      <c r="K232" s="16"/>
      <c r="L232" s="16"/>
      <c r="M232" s="16"/>
      <c r="N232" s="16"/>
      <c r="O232" s="16"/>
      <c r="P232" s="16"/>
      <c r="Q232" s="16"/>
      <c r="R232" s="132"/>
    </row>
  </sheetData>
  <mergeCells count="2">
    <mergeCell ref="E1:T1"/>
    <mergeCell ref="W1:AB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Metadata</vt:lpstr>
      <vt:lpstr>Notes</vt:lpstr>
      <vt:lpstr>Litterfall mass 2009</vt:lpstr>
      <vt:lpstr>Litterfall mass 2010</vt:lpstr>
      <vt:lpstr>Litterfall mass 2011</vt:lpstr>
      <vt:lpstr>raw 2012 literfall</vt:lpstr>
      <vt:lpstr>Litterfall mass 2012</vt:lpstr>
      <vt:lpstr>Litter springsummer mass 2014</vt:lpstr>
      <vt:lpstr>Litterfall Mass 2014</vt:lpstr>
      <vt:lpstr>litterfall mass summer 2015</vt:lpstr>
      <vt:lpstr>Litterfall Mass 2015</vt:lpstr>
      <vt:lpstr>Sheet16</vt:lpstr>
      <vt:lpstr>Bag weights</vt:lpstr>
      <vt:lpstr>Sheet12</vt:lpstr>
      <vt:lpstr>Spring 2016 (Found on Spring 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Forest Ecology</dc:creator>
  <cp:lastModifiedBy>Mary Hagemann</cp:lastModifiedBy>
  <dcterms:created xsi:type="dcterms:W3CDTF">2019-03-25T15:46:34Z</dcterms:created>
  <dcterms:modified xsi:type="dcterms:W3CDTF">2019-03-25T15:46:35Z</dcterms:modified>
</cp:coreProperties>
</file>