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10" windowWidth="16935" windowHeight="11190"/>
  </bookViews>
  <sheets>
    <sheet name="Metadata" sheetId="1" r:id="rId1"/>
    <sheet name="Notes" sheetId="2" r:id="rId2"/>
    <sheet name="Litterfall mass 2009" sheetId="3" r:id="rId3"/>
    <sheet name="Litterfall mass 2010" sheetId="4" r:id="rId4"/>
    <sheet name="Litterfall mass 2011" sheetId="5" r:id="rId5"/>
    <sheet name="raw 2012 literfall" sheetId="6" r:id="rId6"/>
    <sheet name="Litterfall mass 2012" sheetId="7" r:id="rId7"/>
    <sheet name="Litterfall mass 2013" sheetId="8" r:id="rId8"/>
    <sheet name="Litterfall Mass 2014" sheetId="9" r:id="rId9"/>
    <sheet name="litterfall mass summer 2015" sheetId="10" r:id="rId10"/>
    <sheet name="Litterfall Mass 2015" sheetId="11" r:id="rId11"/>
    <sheet name="Bag weights" sheetId="12" r:id="rId12"/>
    <sheet name="Sheet12" sheetId="13" r:id="rId13"/>
    <sheet name="Spring 2016 (Found on Spring 20" sheetId="14" r:id="rId14"/>
  </sheets>
  <calcPr calcId="145621"/>
</workbook>
</file>

<file path=xl/calcChain.xml><?xml version="1.0" encoding="utf-8"?>
<calcChain xmlns="http://schemas.openxmlformats.org/spreadsheetml/2006/main">
  <c r="C35" i="14" l="1"/>
  <c r="C34" i="14"/>
  <c r="C33" i="14"/>
  <c r="C32" i="14"/>
  <c r="C31" i="14"/>
  <c r="C30" i="14"/>
  <c r="C29" i="14"/>
  <c r="C28" i="14"/>
  <c r="C27" i="14"/>
  <c r="C26" i="14"/>
  <c r="C25" i="14"/>
  <c r="C24" i="14"/>
  <c r="C23" i="14"/>
  <c r="C22" i="14"/>
  <c r="C21" i="14"/>
  <c r="C20" i="14"/>
  <c r="C19" i="14"/>
  <c r="C18" i="14"/>
  <c r="C17" i="14"/>
  <c r="C16" i="14"/>
  <c r="D9" i="14"/>
  <c r="D8" i="14"/>
  <c r="D7" i="14"/>
  <c r="D6" i="14"/>
  <c r="D5" i="14"/>
  <c r="D4" i="14"/>
  <c r="D3" i="14"/>
  <c r="AV232" i="11"/>
  <c r="AP232" i="11"/>
  <c r="AW232" i="11" s="1"/>
  <c r="AM232" i="11"/>
  <c r="AD232" i="11"/>
  <c r="V232" i="11"/>
  <c r="U232" i="11"/>
  <c r="L232" i="11"/>
  <c r="AV231" i="11"/>
  <c r="AM231" i="11"/>
  <c r="AW231" i="11" s="1"/>
  <c r="AD231" i="11"/>
  <c r="V231" i="11"/>
  <c r="U231" i="11"/>
  <c r="L231" i="11"/>
  <c r="AV230" i="11"/>
  <c r="AP230" i="11"/>
  <c r="AW230" i="11" s="1"/>
  <c r="AM230" i="11"/>
  <c r="AD230" i="11"/>
  <c r="V230" i="11"/>
  <c r="U230" i="11"/>
  <c r="L230" i="11"/>
  <c r="AV229" i="11"/>
  <c r="AM229" i="11"/>
  <c r="AW229" i="11" s="1"/>
  <c r="AG229" i="11"/>
  <c r="AD229" i="11"/>
  <c r="V229" i="11"/>
  <c r="U229" i="11"/>
  <c r="L229" i="11"/>
  <c r="AV228" i="11"/>
  <c r="AM228" i="11"/>
  <c r="AW228" i="11" s="1"/>
  <c r="AD228" i="11"/>
  <c r="V228" i="11"/>
  <c r="U228" i="11"/>
  <c r="L228" i="11"/>
  <c r="AV227" i="11"/>
  <c r="AM227" i="11"/>
  <c r="AW227" i="11" s="1"/>
  <c r="AD227" i="11"/>
  <c r="V227" i="11"/>
  <c r="U227" i="11"/>
  <c r="L227" i="11"/>
  <c r="AV226" i="11"/>
  <c r="AP226" i="11"/>
  <c r="AW226" i="11" s="1"/>
  <c r="AM226" i="11"/>
  <c r="AG226" i="11"/>
  <c r="AD226" i="11"/>
  <c r="V226" i="11"/>
  <c r="U226" i="11"/>
  <c r="L226" i="11"/>
  <c r="AV225" i="11"/>
  <c r="AP225" i="11"/>
  <c r="AW225" i="11" s="1"/>
  <c r="AM225" i="11"/>
  <c r="AG225" i="11"/>
  <c r="AD225" i="11"/>
  <c r="V225" i="11"/>
  <c r="U225" i="11"/>
  <c r="L225" i="11"/>
  <c r="AV224" i="11"/>
  <c r="AM224" i="11"/>
  <c r="AW224" i="11" s="1"/>
  <c r="AG224" i="11"/>
  <c r="AD224" i="11"/>
  <c r="V224" i="11"/>
  <c r="U224" i="11"/>
  <c r="L224" i="11"/>
  <c r="AV223" i="11"/>
  <c r="AP223" i="11"/>
  <c r="AW223" i="11" s="1"/>
  <c r="AM223" i="11"/>
  <c r="AD223" i="11"/>
  <c r="V223" i="11"/>
  <c r="U223" i="11"/>
  <c r="L223" i="11"/>
  <c r="AV222" i="11"/>
  <c r="AP222" i="11"/>
  <c r="AW222" i="11" s="1"/>
  <c r="AM222" i="11"/>
  <c r="AD222" i="11"/>
  <c r="V222" i="11"/>
  <c r="U222" i="11"/>
  <c r="L222" i="11"/>
  <c r="AV221" i="11"/>
  <c r="AP221" i="11"/>
  <c r="AW221" i="11" s="1"/>
  <c r="AM221" i="11"/>
  <c r="AG221" i="11"/>
  <c r="AD221" i="11"/>
  <c r="V221" i="11"/>
  <c r="S221" i="11"/>
  <c r="L221" i="11"/>
  <c r="AV220" i="11"/>
  <c r="AP220" i="11"/>
  <c r="AW220" i="11" s="1"/>
  <c r="AM220" i="11"/>
  <c r="AG220" i="11"/>
  <c r="AD220" i="11"/>
  <c r="AA220" i="11"/>
  <c r="V220" i="11"/>
  <c r="U220" i="11"/>
  <c r="L220" i="11"/>
  <c r="AV219" i="11"/>
  <c r="AP219" i="11"/>
  <c r="AW219" i="11" s="1"/>
  <c r="AM219" i="11"/>
  <c r="AD219" i="11"/>
  <c r="V219" i="11"/>
  <c r="U219" i="11"/>
  <c r="L219" i="11"/>
  <c r="AV218" i="11"/>
  <c r="AP218" i="11"/>
  <c r="AW218" i="11" s="1"/>
  <c r="AM218" i="11"/>
  <c r="AJ218" i="11"/>
  <c r="AG218" i="11"/>
  <c r="AD218" i="11"/>
  <c r="V218" i="11"/>
  <c r="U218" i="11"/>
  <c r="L218" i="11"/>
  <c r="AV217" i="11"/>
  <c r="AM217" i="11"/>
  <c r="AW217" i="11" s="1"/>
  <c r="AD217" i="11"/>
  <c r="V217" i="11"/>
  <c r="U217" i="11"/>
  <c r="L217" i="11"/>
  <c r="AV216" i="11"/>
  <c r="AS216" i="11"/>
  <c r="AW216" i="11" s="1"/>
  <c r="AP216" i="11"/>
  <c r="AM216" i="11"/>
  <c r="AJ216" i="11"/>
  <c r="AG216" i="11"/>
  <c r="AD216" i="11"/>
  <c r="U216" i="11"/>
  <c r="L216" i="11"/>
  <c r="AV215" i="11"/>
  <c r="AM215" i="11"/>
  <c r="AW215" i="11" s="1"/>
  <c r="AG215" i="11"/>
  <c r="AD215" i="11"/>
  <c r="V215" i="11"/>
  <c r="Y219" i="11" s="1"/>
  <c r="Y221" i="11" s="1"/>
  <c r="Y222" i="11" s="1"/>
  <c r="Y223" i="11" s="1"/>
  <c r="Y224" i="11" s="1"/>
  <c r="U215" i="11"/>
  <c r="L215" i="11"/>
  <c r="AV214" i="11"/>
  <c r="AP214" i="11"/>
  <c r="AW214" i="11" s="1"/>
  <c r="AM214" i="11"/>
  <c r="AJ214" i="11"/>
  <c r="AG214" i="11"/>
  <c r="AD214" i="11"/>
  <c r="Y214" i="11"/>
  <c r="V214" i="11"/>
  <c r="Y218" i="11" s="1"/>
  <c r="U214" i="11"/>
  <c r="L214" i="11"/>
  <c r="AV213" i="11"/>
  <c r="AM213" i="11"/>
  <c r="AW213" i="11" s="1"/>
  <c r="AJ213" i="11"/>
  <c r="AD213" i="11"/>
  <c r="V213" i="11"/>
  <c r="Y213" i="11" s="1"/>
  <c r="U213" i="11"/>
  <c r="L213" i="11"/>
  <c r="AV212" i="11"/>
  <c r="AM212" i="11"/>
  <c r="AW212" i="11" s="1"/>
  <c r="AJ212" i="11"/>
  <c r="AG212" i="11"/>
  <c r="AD212" i="11"/>
  <c r="X212" i="11"/>
  <c r="U212" i="11"/>
  <c r="O212" i="11"/>
  <c r="L212" i="11"/>
  <c r="AV211" i="11"/>
  <c r="AP211" i="11"/>
  <c r="AW211" i="11" s="1"/>
  <c r="AM211" i="11"/>
  <c r="AJ211" i="11"/>
  <c r="AG211" i="11"/>
  <c r="AD211" i="11"/>
  <c r="U211" i="11"/>
  <c r="O211" i="11"/>
  <c r="L211" i="11"/>
  <c r="AV210" i="11"/>
  <c r="AM210" i="11"/>
  <c r="AW210" i="11" s="1"/>
  <c r="AJ210" i="11"/>
  <c r="AG210" i="11"/>
  <c r="AD210" i="11"/>
  <c r="U210" i="11"/>
  <c r="O210" i="11"/>
  <c r="L210" i="11"/>
  <c r="AV209" i="11"/>
  <c r="AP209" i="11"/>
  <c r="AW209" i="11" s="1"/>
  <c r="AM209" i="11"/>
  <c r="AJ209" i="11"/>
  <c r="AG209" i="11"/>
  <c r="AD209" i="11"/>
  <c r="X209" i="11"/>
  <c r="U209" i="11"/>
  <c r="O209" i="11"/>
  <c r="L209" i="11"/>
  <c r="AP208" i="11"/>
  <c r="AW208" i="11" s="1"/>
  <c r="AM208" i="11"/>
  <c r="AJ208" i="11"/>
  <c r="AG208" i="11"/>
  <c r="AD208" i="11"/>
  <c r="X208" i="11"/>
  <c r="U208" i="11"/>
  <c r="O208" i="11"/>
  <c r="L208" i="11"/>
  <c r="AV207" i="11"/>
  <c r="AP207" i="11"/>
  <c r="AW207" i="11" s="1"/>
  <c r="AM207" i="11"/>
  <c r="AJ207" i="11"/>
  <c r="AD207" i="11"/>
  <c r="U207" i="11"/>
  <c r="O207" i="11"/>
  <c r="L207" i="11"/>
  <c r="AP206" i="11"/>
  <c r="AM206" i="11"/>
  <c r="AW206" i="11" s="1"/>
  <c r="AJ206" i="11"/>
  <c r="AG206" i="11"/>
  <c r="AD206" i="11"/>
  <c r="U206" i="11"/>
  <c r="O206" i="11"/>
  <c r="L206" i="11"/>
  <c r="AV205" i="11"/>
  <c r="AP205" i="11"/>
  <c r="AW205" i="11" s="1"/>
  <c r="AM205" i="11"/>
  <c r="AJ205" i="11"/>
  <c r="AD205" i="11"/>
  <c r="U205" i="11"/>
  <c r="O205" i="11"/>
  <c r="L205" i="11"/>
  <c r="AV204" i="11"/>
  <c r="AP204" i="11"/>
  <c r="AW204" i="11" s="1"/>
  <c r="AM204" i="11"/>
  <c r="AJ204" i="11"/>
  <c r="AD204" i="11"/>
  <c r="X204" i="11"/>
  <c r="U204" i="11"/>
  <c r="O204" i="11"/>
  <c r="L204" i="11"/>
  <c r="AV203" i="11"/>
  <c r="AM203" i="11"/>
  <c r="AW203" i="11" s="1"/>
  <c r="AJ203" i="11"/>
  <c r="AD203" i="11"/>
  <c r="X203" i="11"/>
  <c r="U203" i="11"/>
  <c r="O203" i="11"/>
  <c r="L203" i="11"/>
  <c r="AW202" i="11"/>
  <c r="L202" i="11"/>
  <c r="AV201" i="11"/>
  <c r="AP201" i="11"/>
  <c r="AW201" i="11" s="1"/>
  <c r="AM201" i="11"/>
  <c r="AJ201" i="11"/>
  <c r="AG201" i="11"/>
  <c r="AD201" i="11"/>
  <c r="X201" i="11"/>
  <c r="U201" i="11"/>
  <c r="O201" i="11"/>
  <c r="L201" i="11"/>
  <c r="AV200" i="11"/>
  <c r="AP200" i="11"/>
  <c r="AW200" i="11" s="1"/>
  <c r="AM200" i="11"/>
  <c r="AJ200" i="11"/>
  <c r="AG200" i="11"/>
  <c r="AD200" i="11"/>
  <c r="U200" i="11"/>
  <c r="O200" i="11"/>
  <c r="L200" i="11"/>
  <c r="AV199" i="11"/>
  <c r="AP199" i="11"/>
  <c r="AW199" i="11" s="1"/>
  <c r="AM199" i="11"/>
  <c r="AJ199" i="11"/>
  <c r="AG199" i="11"/>
  <c r="AD199" i="11"/>
  <c r="X199" i="11"/>
  <c r="U199" i="11"/>
  <c r="O199" i="11"/>
  <c r="L199" i="11"/>
  <c r="AW198" i="11"/>
  <c r="L198" i="11"/>
  <c r="AV197" i="11"/>
  <c r="AP197" i="11"/>
  <c r="AW197" i="11" s="1"/>
  <c r="AM197" i="11"/>
  <c r="AJ197" i="11"/>
  <c r="AG197" i="11"/>
  <c r="AD197" i="11"/>
  <c r="U197" i="11"/>
  <c r="O197" i="11"/>
  <c r="L197" i="11"/>
  <c r="AP196" i="11"/>
  <c r="AM196" i="11"/>
  <c r="AW196" i="11" s="1"/>
  <c r="AJ196" i="11"/>
  <c r="AG196" i="11"/>
  <c r="AD196" i="11"/>
  <c r="U196" i="11"/>
  <c r="O196" i="11"/>
  <c r="L196" i="11"/>
  <c r="AV195" i="11"/>
  <c r="AP195" i="11"/>
  <c r="AW195" i="11" s="1"/>
  <c r="AM195" i="11"/>
  <c r="AJ195" i="11"/>
  <c r="AG195" i="11"/>
  <c r="AD195" i="11"/>
  <c r="X195" i="11"/>
  <c r="U195" i="11"/>
  <c r="O195" i="11"/>
  <c r="L195" i="11"/>
  <c r="AP194" i="11"/>
  <c r="AM194" i="11"/>
  <c r="AW194" i="11" s="1"/>
  <c r="AJ194" i="11"/>
  <c r="AD194" i="11"/>
  <c r="AA194" i="11"/>
  <c r="U194" i="11"/>
  <c r="O194" i="11"/>
  <c r="L194" i="11"/>
  <c r="AV193" i="11"/>
  <c r="AP193" i="11"/>
  <c r="AW193" i="11" s="1"/>
  <c r="AM193" i="11"/>
  <c r="AJ193" i="11"/>
  <c r="AD193" i="11"/>
  <c r="X193" i="11"/>
  <c r="U193" i="11"/>
  <c r="O193" i="11"/>
  <c r="L193" i="11"/>
  <c r="AV192" i="11"/>
  <c r="AS192" i="11"/>
  <c r="AW192" i="11" s="1"/>
  <c r="AP192" i="11"/>
  <c r="AM192" i="11"/>
  <c r="AJ192" i="11"/>
  <c r="AG192" i="11"/>
  <c r="AD192" i="11"/>
  <c r="AA192" i="11"/>
  <c r="X192" i="11"/>
  <c r="U192" i="11"/>
  <c r="R192" i="11"/>
  <c r="O192" i="11"/>
  <c r="L192" i="11"/>
  <c r="I192" i="11"/>
  <c r="AV190" i="11"/>
  <c r="AS190" i="11"/>
  <c r="AW190" i="11" s="1"/>
  <c r="AP190" i="11"/>
  <c r="AM190" i="11"/>
  <c r="AJ190" i="11"/>
  <c r="AG190" i="11"/>
  <c r="AD190" i="11"/>
  <c r="AA190" i="11"/>
  <c r="X190" i="11"/>
  <c r="U190" i="11"/>
  <c r="R190" i="11"/>
  <c r="O190" i="11"/>
  <c r="L190" i="11"/>
  <c r="I190" i="11"/>
  <c r="AV189" i="11"/>
  <c r="AS189" i="11"/>
  <c r="AW189" i="11" s="1"/>
  <c r="AP189" i="11"/>
  <c r="AM189" i="11"/>
  <c r="AJ189" i="11"/>
  <c r="AG189" i="11"/>
  <c r="AD189" i="11"/>
  <c r="AA189" i="11"/>
  <c r="X189" i="11"/>
  <c r="U189" i="11"/>
  <c r="R189" i="11"/>
  <c r="O189" i="11"/>
  <c r="L189" i="11"/>
  <c r="I189" i="11"/>
  <c r="AV188" i="11"/>
  <c r="AS188" i="11"/>
  <c r="AW188" i="11" s="1"/>
  <c r="AP188" i="11"/>
  <c r="AM188" i="11"/>
  <c r="AJ188" i="11"/>
  <c r="AG188" i="11"/>
  <c r="AD188" i="11"/>
  <c r="AA188" i="11"/>
  <c r="X188" i="11"/>
  <c r="U188" i="11"/>
  <c r="R188" i="11"/>
  <c r="O188" i="11"/>
  <c r="L188" i="11"/>
  <c r="I188" i="11"/>
  <c r="AV187" i="11"/>
  <c r="AS187" i="11"/>
  <c r="AW187" i="11" s="1"/>
  <c r="AP187" i="11"/>
  <c r="AM187" i="11"/>
  <c r="AJ187" i="11"/>
  <c r="AG187" i="11"/>
  <c r="AD187" i="11"/>
  <c r="AA187" i="11"/>
  <c r="X187" i="11"/>
  <c r="U187" i="11"/>
  <c r="R187" i="11"/>
  <c r="O187" i="11"/>
  <c r="L187" i="11"/>
  <c r="I187" i="11"/>
  <c r="AV186" i="11"/>
  <c r="AS186" i="11"/>
  <c r="AW186" i="11" s="1"/>
  <c r="AP186" i="11"/>
  <c r="AM186" i="11"/>
  <c r="AJ186" i="11"/>
  <c r="AG186" i="11"/>
  <c r="AD186" i="11"/>
  <c r="AA186" i="11"/>
  <c r="X186" i="11"/>
  <c r="U186" i="11"/>
  <c r="R186" i="11"/>
  <c r="O186" i="11"/>
  <c r="L186" i="11"/>
  <c r="I186" i="11"/>
  <c r="AV185" i="11"/>
  <c r="AS185" i="11"/>
  <c r="AW185" i="11" s="1"/>
  <c r="AP185" i="11"/>
  <c r="AM185" i="11"/>
  <c r="AJ185" i="11"/>
  <c r="AG185" i="11"/>
  <c r="AD185" i="11"/>
  <c r="AA185" i="11"/>
  <c r="X185" i="11"/>
  <c r="U185" i="11"/>
  <c r="R185" i="11"/>
  <c r="O185" i="11"/>
  <c r="L185" i="11"/>
  <c r="I185" i="11"/>
  <c r="AV184" i="11"/>
  <c r="AS184" i="11"/>
  <c r="AW184" i="11" s="1"/>
  <c r="AP184" i="11"/>
  <c r="AM184" i="11"/>
  <c r="AJ184" i="11"/>
  <c r="AG184" i="11"/>
  <c r="AD184" i="11"/>
  <c r="AA184" i="11"/>
  <c r="X184" i="11"/>
  <c r="U184" i="11"/>
  <c r="R184" i="11"/>
  <c r="O184" i="11"/>
  <c r="L184" i="11"/>
  <c r="I184" i="11"/>
  <c r="AV183" i="11"/>
  <c r="AS183" i="11"/>
  <c r="AW183" i="11" s="1"/>
  <c r="AP183" i="11"/>
  <c r="AM183" i="11"/>
  <c r="AJ183" i="11"/>
  <c r="AG183" i="11"/>
  <c r="AD183" i="11"/>
  <c r="AA183" i="11"/>
  <c r="X183" i="11"/>
  <c r="U183" i="11"/>
  <c r="R183" i="11"/>
  <c r="O183" i="11"/>
  <c r="L183" i="11"/>
  <c r="I183" i="11"/>
  <c r="AV182" i="11"/>
  <c r="AS182" i="11"/>
  <c r="AW182" i="11" s="1"/>
  <c r="AP182" i="11"/>
  <c r="AM182" i="11"/>
  <c r="AJ182" i="11"/>
  <c r="AG182" i="11"/>
  <c r="AD182" i="11"/>
  <c r="AA182" i="11"/>
  <c r="X182" i="11"/>
  <c r="U182" i="11"/>
  <c r="R182" i="11"/>
  <c r="O182" i="11"/>
  <c r="L182" i="11"/>
  <c r="I182" i="11"/>
  <c r="AV181" i="11"/>
  <c r="AS181" i="11"/>
  <c r="AW181" i="11" s="1"/>
  <c r="AP181" i="11"/>
  <c r="AM181" i="11"/>
  <c r="AJ181" i="11"/>
  <c r="AG181" i="11"/>
  <c r="AD181" i="11"/>
  <c r="AA181" i="11"/>
  <c r="X181" i="11"/>
  <c r="U181" i="11"/>
  <c r="R181" i="11"/>
  <c r="O181" i="11"/>
  <c r="L181" i="11"/>
  <c r="I181" i="11"/>
  <c r="AV180" i="11"/>
  <c r="AS180" i="11"/>
  <c r="AW180" i="11" s="1"/>
  <c r="AP180" i="11"/>
  <c r="AM180" i="11"/>
  <c r="AJ180" i="11"/>
  <c r="AG180" i="11"/>
  <c r="AD180" i="11"/>
  <c r="AA180" i="11"/>
  <c r="X180" i="11"/>
  <c r="U180" i="11"/>
  <c r="R180" i="11"/>
  <c r="O180" i="11"/>
  <c r="L180" i="11"/>
  <c r="I180" i="11"/>
  <c r="AV179" i="11"/>
  <c r="AS179" i="11"/>
  <c r="AW179" i="11" s="1"/>
  <c r="AP179" i="11"/>
  <c r="AM179" i="11"/>
  <c r="AJ179" i="11"/>
  <c r="AG179" i="11"/>
  <c r="AD179" i="11"/>
  <c r="AA179" i="11"/>
  <c r="X179" i="11"/>
  <c r="U179" i="11"/>
  <c r="R179" i="11"/>
  <c r="O179" i="11"/>
  <c r="L179" i="11"/>
  <c r="I179" i="11"/>
  <c r="AV178" i="11"/>
  <c r="AS178" i="11"/>
  <c r="AW178" i="11" s="1"/>
  <c r="AP178" i="11"/>
  <c r="AM178" i="11"/>
  <c r="AJ178" i="11"/>
  <c r="AG178" i="11"/>
  <c r="AD178" i="11"/>
  <c r="AA178" i="11"/>
  <c r="X178" i="11"/>
  <c r="U178" i="11"/>
  <c r="R178" i="11"/>
  <c r="O178" i="11"/>
  <c r="L178" i="11"/>
  <c r="I178" i="11"/>
  <c r="AV177" i="11"/>
  <c r="AS177" i="11"/>
  <c r="AW177" i="11" s="1"/>
  <c r="AP177" i="11"/>
  <c r="AM177" i="11"/>
  <c r="AJ177" i="11"/>
  <c r="AG177" i="11"/>
  <c r="AD177" i="11"/>
  <c r="AA177" i="11"/>
  <c r="X177" i="11"/>
  <c r="U177" i="11"/>
  <c r="R177" i="11"/>
  <c r="O177" i="11"/>
  <c r="L177" i="11"/>
  <c r="I177" i="11"/>
  <c r="AV176" i="11"/>
  <c r="AS176" i="11"/>
  <c r="AW176" i="11" s="1"/>
  <c r="AP176" i="11"/>
  <c r="AM176" i="11"/>
  <c r="AJ176" i="11"/>
  <c r="AG176" i="11"/>
  <c r="AD176" i="11"/>
  <c r="AA176" i="11"/>
  <c r="X176" i="11"/>
  <c r="U176" i="11"/>
  <c r="R176" i="11"/>
  <c r="O176" i="11"/>
  <c r="L176" i="11"/>
  <c r="I176" i="11"/>
  <c r="AV175" i="11"/>
  <c r="AS175" i="11"/>
  <c r="AW175" i="11" s="1"/>
  <c r="AP175" i="11"/>
  <c r="AM175" i="11"/>
  <c r="AJ175" i="11"/>
  <c r="AG175" i="11"/>
  <c r="AD175" i="11"/>
  <c r="AA175" i="11"/>
  <c r="X175" i="11"/>
  <c r="U175" i="11"/>
  <c r="R175" i="11"/>
  <c r="O175" i="11"/>
  <c r="L175" i="11"/>
  <c r="I175" i="11"/>
  <c r="AV174" i="11"/>
  <c r="AS174" i="11"/>
  <c r="AW174" i="11" s="1"/>
  <c r="AP174" i="11"/>
  <c r="AM174" i="11"/>
  <c r="AJ174" i="11"/>
  <c r="AG174" i="11"/>
  <c r="AD174" i="11"/>
  <c r="AA174" i="11"/>
  <c r="X174" i="11"/>
  <c r="U174" i="11"/>
  <c r="R174" i="11"/>
  <c r="O174" i="11"/>
  <c r="L174" i="11"/>
  <c r="I174" i="11"/>
  <c r="AV173" i="11"/>
  <c r="AS173" i="11"/>
  <c r="AW173" i="11" s="1"/>
  <c r="AP173" i="11"/>
  <c r="AM173" i="11"/>
  <c r="AJ173" i="11"/>
  <c r="AG173" i="11"/>
  <c r="AD173" i="11"/>
  <c r="X173" i="11"/>
  <c r="U173" i="11"/>
  <c r="R173" i="11"/>
  <c r="O173" i="11"/>
  <c r="L173" i="11"/>
  <c r="I173" i="11"/>
  <c r="AV172" i="11"/>
  <c r="AS172" i="11"/>
  <c r="AW172" i="11" s="1"/>
  <c r="AP172" i="11"/>
  <c r="AM172" i="11"/>
  <c r="AJ172" i="11"/>
  <c r="AG172" i="11"/>
  <c r="AD172" i="11"/>
  <c r="AA172" i="11"/>
  <c r="X172" i="11"/>
  <c r="U172" i="11"/>
  <c r="R172" i="11"/>
  <c r="O172" i="11"/>
  <c r="L172" i="11"/>
  <c r="I172" i="11"/>
  <c r="AV171" i="11"/>
  <c r="AS171" i="11"/>
  <c r="AW171" i="11" s="1"/>
  <c r="AP171" i="11"/>
  <c r="AM171" i="11"/>
  <c r="AJ171" i="11"/>
  <c r="AG171" i="11"/>
  <c r="AD171" i="11"/>
  <c r="AA171" i="11"/>
  <c r="X171" i="11"/>
  <c r="U171" i="11"/>
  <c r="R171" i="11"/>
  <c r="O171" i="11"/>
  <c r="L171" i="11"/>
  <c r="I171" i="11"/>
  <c r="AV170" i="11"/>
  <c r="AS170" i="11"/>
  <c r="AW170" i="11" s="1"/>
  <c r="AP170" i="11"/>
  <c r="AM170" i="11"/>
  <c r="AJ170" i="11"/>
  <c r="AG170" i="11"/>
  <c r="AD170" i="11"/>
  <c r="AA170" i="11"/>
  <c r="X170" i="11"/>
  <c r="U170" i="11"/>
  <c r="R170" i="11"/>
  <c r="O170" i="11"/>
  <c r="L170" i="11"/>
  <c r="I170" i="11"/>
  <c r="AV169" i="11"/>
  <c r="AS169" i="11"/>
  <c r="AW169" i="11" s="1"/>
  <c r="AP169" i="11"/>
  <c r="AM169" i="11"/>
  <c r="AJ169" i="11"/>
  <c r="AG169" i="11"/>
  <c r="AD169" i="11"/>
  <c r="AA169" i="11"/>
  <c r="X169" i="11"/>
  <c r="U169" i="11"/>
  <c r="R169" i="11"/>
  <c r="O169" i="11"/>
  <c r="L169" i="11"/>
  <c r="I169" i="11"/>
  <c r="AV168" i="11"/>
  <c r="AS168" i="11"/>
  <c r="AW168" i="11" s="1"/>
  <c r="AP168" i="11"/>
  <c r="AM168" i="11"/>
  <c r="AJ168" i="11"/>
  <c r="AG168" i="11"/>
  <c r="AD168" i="11"/>
  <c r="AA168" i="11"/>
  <c r="X168" i="11"/>
  <c r="U168" i="11"/>
  <c r="R168" i="11"/>
  <c r="O168" i="11"/>
  <c r="L168" i="11"/>
  <c r="I168" i="11"/>
  <c r="AV167" i="11"/>
  <c r="AS167" i="11"/>
  <c r="AW167" i="11" s="1"/>
  <c r="AP167" i="11"/>
  <c r="AM167" i="11"/>
  <c r="AJ167" i="11"/>
  <c r="AG167" i="11"/>
  <c r="AD167" i="11"/>
  <c r="AA167" i="11"/>
  <c r="X167" i="11"/>
  <c r="U167" i="11"/>
  <c r="R167" i="11"/>
  <c r="O167" i="11"/>
  <c r="L167" i="11"/>
  <c r="I167" i="11"/>
  <c r="AV166" i="11"/>
  <c r="AS166" i="11"/>
  <c r="AW166" i="11" s="1"/>
  <c r="AP166" i="11"/>
  <c r="AM166" i="11"/>
  <c r="AJ166" i="11"/>
  <c r="AG166" i="11"/>
  <c r="AD166" i="11"/>
  <c r="AA166" i="11"/>
  <c r="X166" i="11"/>
  <c r="U166" i="11"/>
  <c r="R166" i="11"/>
  <c r="O166" i="11"/>
  <c r="L166" i="11"/>
  <c r="I166" i="11"/>
  <c r="AV165" i="11"/>
  <c r="AS165" i="11"/>
  <c r="AW165" i="11" s="1"/>
  <c r="AP165" i="11"/>
  <c r="AM165" i="11"/>
  <c r="AJ165" i="11"/>
  <c r="AG165" i="11"/>
  <c r="AD165" i="11"/>
  <c r="AA165" i="11"/>
  <c r="X165" i="11"/>
  <c r="U165" i="11"/>
  <c r="R165" i="11"/>
  <c r="O165" i="11"/>
  <c r="L165" i="11"/>
  <c r="I165" i="11"/>
  <c r="AV164" i="11"/>
  <c r="AS164" i="11"/>
  <c r="AW164" i="11" s="1"/>
  <c r="AP164" i="11"/>
  <c r="AM164" i="11"/>
  <c r="AJ164" i="11"/>
  <c r="AG164" i="11"/>
  <c r="AD164" i="11"/>
  <c r="AA164" i="11"/>
  <c r="X164" i="11"/>
  <c r="U164" i="11"/>
  <c r="R164" i="11"/>
  <c r="O164" i="11"/>
  <c r="L164" i="11"/>
  <c r="I164" i="11"/>
  <c r="AV163" i="11"/>
  <c r="AS163" i="11"/>
  <c r="AW163" i="11" s="1"/>
  <c r="AP163" i="11"/>
  <c r="AM163" i="11"/>
  <c r="AJ163" i="11"/>
  <c r="AG163" i="11"/>
  <c r="AD163" i="11"/>
  <c r="AA163" i="11"/>
  <c r="X163" i="11"/>
  <c r="U163" i="11"/>
  <c r="R163" i="11"/>
  <c r="O163" i="11"/>
  <c r="L163" i="11"/>
  <c r="I163" i="11"/>
  <c r="AV162" i="11"/>
  <c r="AS162" i="11"/>
  <c r="AW162" i="11" s="1"/>
  <c r="AP162" i="11"/>
  <c r="AM162" i="11"/>
  <c r="AJ162" i="11"/>
  <c r="AG162" i="11"/>
  <c r="AD162" i="11"/>
  <c r="AA162" i="11"/>
  <c r="X162" i="11"/>
  <c r="U162" i="11"/>
  <c r="R162" i="11"/>
  <c r="O162" i="11"/>
  <c r="L162" i="11"/>
  <c r="I162" i="11"/>
  <c r="AV161" i="11"/>
  <c r="AS161" i="11"/>
  <c r="AW161" i="11" s="1"/>
  <c r="AP161" i="11"/>
  <c r="AM161" i="11"/>
  <c r="AJ161" i="11"/>
  <c r="AG161" i="11"/>
  <c r="AD161" i="11"/>
  <c r="AA161" i="11"/>
  <c r="X161" i="11"/>
  <c r="U161" i="11"/>
  <c r="R161" i="11"/>
  <c r="O161" i="11"/>
  <c r="L161" i="11"/>
  <c r="I161" i="11"/>
  <c r="AV160" i="11"/>
  <c r="AS160" i="11"/>
  <c r="AW160" i="11" s="1"/>
  <c r="AP160" i="11"/>
  <c r="AM160" i="11"/>
  <c r="AJ160" i="11"/>
  <c r="AG160" i="11"/>
  <c r="AD160" i="11"/>
  <c r="AA160" i="11"/>
  <c r="X160" i="11"/>
  <c r="U160" i="11"/>
  <c r="R160" i="11"/>
  <c r="O160" i="11"/>
  <c r="L160" i="11"/>
  <c r="I160" i="11"/>
  <c r="AV159" i="11"/>
  <c r="AS159" i="11"/>
  <c r="AW159" i="11" s="1"/>
  <c r="AP159" i="11"/>
  <c r="AM159" i="11"/>
  <c r="AJ159" i="11"/>
  <c r="AG159" i="11"/>
  <c r="AD159" i="11"/>
  <c r="AA159" i="11"/>
  <c r="X159" i="11"/>
  <c r="U159" i="11"/>
  <c r="R159" i="11"/>
  <c r="O159" i="11"/>
  <c r="L159" i="11"/>
  <c r="I159" i="11"/>
  <c r="AV158" i="11"/>
  <c r="AS158" i="11"/>
  <c r="AW158" i="11" s="1"/>
  <c r="AP158" i="11"/>
  <c r="AM158" i="11"/>
  <c r="AJ158" i="11"/>
  <c r="AG158" i="11"/>
  <c r="AD158" i="11"/>
  <c r="AA158" i="11"/>
  <c r="X158" i="11"/>
  <c r="U158" i="11"/>
  <c r="R158" i="11"/>
  <c r="O158" i="11"/>
  <c r="L158" i="11"/>
  <c r="I158" i="11"/>
  <c r="AV157" i="11"/>
  <c r="AS157" i="11"/>
  <c r="AW157" i="11" s="1"/>
  <c r="AP157" i="11"/>
  <c r="AM157" i="11"/>
  <c r="AJ157" i="11"/>
  <c r="AG157" i="11"/>
  <c r="AD157" i="11"/>
  <c r="AA157" i="11"/>
  <c r="X157" i="11"/>
  <c r="U157" i="11"/>
  <c r="R157" i="11"/>
  <c r="O157" i="11"/>
  <c r="L157" i="11"/>
  <c r="I157" i="11"/>
  <c r="AV156" i="11"/>
  <c r="AS156" i="11"/>
  <c r="AW156" i="11" s="1"/>
  <c r="AP156" i="11"/>
  <c r="AM156" i="11"/>
  <c r="AJ156" i="11"/>
  <c r="AG156" i="11"/>
  <c r="AD156" i="11"/>
  <c r="AA156" i="11"/>
  <c r="X156" i="11"/>
  <c r="U156" i="11"/>
  <c r="R156" i="11"/>
  <c r="O156" i="11"/>
  <c r="L156" i="11"/>
  <c r="I156" i="11"/>
  <c r="AV155" i="11"/>
  <c r="AS155" i="11"/>
  <c r="AW155" i="11" s="1"/>
  <c r="AP155" i="11"/>
  <c r="AM155" i="11"/>
  <c r="AJ155" i="11"/>
  <c r="AG155" i="11"/>
  <c r="AD155" i="11"/>
  <c r="AA155" i="11"/>
  <c r="X155" i="11"/>
  <c r="U155" i="11"/>
  <c r="R155" i="11"/>
  <c r="O155" i="11"/>
  <c r="L155" i="11"/>
  <c r="I155" i="11"/>
  <c r="AV154" i="11"/>
  <c r="AS154" i="11"/>
  <c r="AW154" i="11" s="1"/>
  <c r="AP154" i="11"/>
  <c r="AM154" i="11"/>
  <c r="AJ154" i="11"/>
  <c r="AG154" i="11"/>
  <c r="AD154" i="11"/>
  <c r="AA154" i="11"/>
  <c r="X154" i="11"/>
  <c r="U154" i="11"/>
  <c r="R154" i="11"/>
  <c r="O154" i="11"/>
  <c r="L154" i="11"/>
  <c r="I154" i="11"/>
  <c r="AV153" i="11"/>
  <c r="AS153" i="11"/>
  <c r="AW153" i="11" s="1"/>
  <c r="AP153" i="11"/>
  <c r="AM153" i="11"/>
  <c r="AJ153" i="11"/>
  <c r="AG153" i="11"/>
  <c r="AD153" i="11"/>
  <c r="AA153" i="11"/>
  <c r="X153" i="11"/>
  <c r="U153" i="11"/>
  <c r="R153" i="11"/>
  <c r="O153" i="11"/>
  <c r="L153" i="11"/>
  <c r="I153" i="11"/>
  <c r="AV152" i="11"/>
  <c r="AS152" i="11"/>
  <c r="AW152" i="11" s="1"/>
  <c r="AP152" i="11"/>
  <c r="AM152" i="11"/>
  <c r="AJ152" i="11"/>
  <c r="AG152" i="11"/>
  <c r="AD152" i="11"/>
  <c r="AA152" i="11"/>
  <c r="X152" i="11"/>
  <c r="U152" i="11"/>
  <c r="R152" i="11"/>
  <c r="O152" i="11"/>
  <c r="L152" i="11"/>
  <c r="I152" i="11"/>
  <c r="AV151" i="11"/>
  <c r="AS151" i="11"/>
  <c r="AW151" i="11" s="1"/>
  <c r="AP151" i="11"/>
  <c r="AM151" i="11"/>
  <c r="AJ151" i="11"/>
  <c r="AG151" i="11"/>
  <c r="AD151" i="11"/>
  <c r="AA151" i="11"/>
  <c r="X151" i="11"/>
  <c r="U151" i="11"/>
  <c r="R151" i="11"/>
  <c r="O151" i="11"/>
  <c r="L151" i="11"/>
  <c r="I151" i="11"/>
  <c r="AV150" i="11"/>
  <c r="AS150" i="11"/>
  <c r="AW150" i="11" s="1"/>
  <c r="AP150" i="11"/>
  <c r="AM150" i="11"/>
  <c r="AJ150" i="11"/>
  <c r="AG150" i="11"/>
  <c r="AD150" i="11"/>
  <c r="AA150" i="11"/>
  <c r="X150" i="11"/>
  <c r="U150" i="11"/>
  <c r="R150" i="11"/>
  <c r="O150" i="11"/>
  <c r="L150" i="11"/>
  <c r="I150" i="11"/>
  <c r="AV149" i="11"/>
  <c r="AS149" i="11"/>
  <c r="AW149" i="11" s="1"/>
  <c r="AP149" i="11"/>
  <c r="AM149" i="11"/>
  <c r="AJ149" i="11"/>
  <c r="AG149" i="11"/>
  <c r="AD149" i="11"/>
  <c r="AA149" i="11"/>
  <c r="X149" i="11"/>
  <c r="U149" i="11"/>
  <c r="R149" i="11"/>
  <c r="O149" i="11"/>
  <c r="L149" i="11"/>
  <c r="I149" i="11"/>
  <c r="AV148" i="11"/>
  <c r="AS148" i="11"/>
  <c r="AW148" i="11" s="1"/>
  <c r="AP148" i="11"/>
  <c r="AM148" i="11"/>
  <c r="AJ148" i="11"/>
  <c r="AG148" i="11"/>
  <c r="AD148" i="11"/>
  <c r="AA148" i="11"/>
  <c r="X148" i="11"/>
  <c r="U148" i="11"/>
  <c r="R148" i="11"/>
  <c r="O148" i="11"/>
  <c r="L148" i="11"/>
  <c r="I148" i="11"/>
  <c r="AV147" i="11"/>
  <c r="AS147" i="11"/>
  <c r="AW147" i="11" s="1"/>
  <c r="AP147" i="11"/>
  <c r="AM147" i="11"/>
  <c r="AJ147" i="11"/>
  <c r="AG147" i="11"/>
  <c r="AD147" i="11"/>
  <c r="AA147" i="11"/>
  <c r="X147" i="11"/>
  <c r="U147" i="11"/>
  <c r="R147" i="11"/>
  <c r="O147" i="11"/>
  <c r="L147" i="11"/>
  <c r="I147" i="11"/>
  <c r="AV146" i="11"/>
  <c r="AS146" i="11"/>
  <c r="AW146" i="11" s="1"/>
  <c r="AP146" i="11"/>
  <c r="AM146" i="11"/>
  <c r="AJ146" i="11"/>
  <c r="AG146" i="11"/>
  <c r="AD146" i="11"/>
  <c r="AA146" i="11"/>
  <c r="X146" i="11"/>
  <c r="U146" i="11"/>
  <c r="R146" i="11"/>
  <c r="O146" i="11"/>
  <c r="L146" i="11"/>
  <c r="I146" i="11"/>
  <c r="AV145" i="11"/>
  <c r="AS145" i="11"/>
  <c r="AW145" i="11" s="1"/>
  <c r="AP145" i="11"/>
  <c r="AM145" i="11"/>
  <c r="AJ145" i="11"/>
  <c r="AG145" i="11"/>
  <c r="AD145" i="11"/>
  <c r="AA145" i="11"/>
  <c r="X145" i="11"/>
  <c r="U145" i="11"/>
  <c r="R145" i="11"/>
  <c r="O145" i="11"/>
  <c r="L145" i="11"/>
  <c r="I145" i="11"/>
  <c r="AV144" i="11"/>
  <c r="AS144" i="11"/>
  <c r="AW144" i="11" s="1"/>
  <c r="AP144" i="11"/>
  <c r="AM144" i="11"/>
  <c r="AJ144" i="11"/>
  <c r="AG144" i="11"/>
  <c r="AD144" i="11"/>
  <c r="AA144" i="11"/>
  <c r="X144" i="11"/>
  <c r="U144" i="11"/>
  <c r="R144" i="11"/>
  <c r="O144" i="11"/>
  <c r="L144" i="11"/>
  <c r="I144" i="11"/>
  <c r="AV143" i="11"/>
  <c r="AS143" i="11"/>
  <c r="AW143" i="11" s="1"/>
  <c r="AP143" i="11"/>
  <c r="AM143" i="11"/>
  <c r="AJ143" i="11"/>
  <c r="AG143" i="11"/>
  <c r="AD143" i="11"/>
  <c r="AA143" i="11"/>
  <c r="X143" i="11"/>
  <c r="U143" i="11"/>
  <c r="R143" i="11"/>
  <c r="O143" i="11"/>
  <c r="L143" i="11"/>
  <c r="I143" i="11"/>
  <c r="AV142" i="11"/>
  <c r="AS142" i="11"/>
  <c r="AW142" i="11" s="1"/>
  <c r="AP142" i="11"/>
  <c r="AM142" i="11"/>
  <c r="AJ142" i="11"/>
  <c r="AG142" i="11"/>
  <c r="AD142" i="11"/>
  <c r="AA142" i="11"/>
  <c r="X142" i="11"/>
  <c r="U142" i="11"/>
  <c r="R142" i="11"/>
  <c r="O142" i="11"/>
  <c r="L142" i="11"/>
  <c r="I142" i="11"/>
  <c r="AV141" i="11"/>
  <c r="AS141" i="11"/>
  <c r="AW141" i="11" s="1"/>
  <c r="AP141" i="11"/>
  <c r="AM141" i="11"/>
  <c r="AJ141" i="11"/>
  <c r="AG141" i="11"/>
  <c r="AD141" i="11"/>
  <c r="AA141" i="11"/>
  <c r="X141" i="11"/>
  <c r="U141" i="11"/>
  <c r="R141" i="11"/>
  <c r="O141" i="11"/>
  <c r="L141" i="11"/>
  <c r="I141" i="11"/>
  <c r="AV140" i="11"/>
  <c r="AS140" i="11"/>
  <c r="AW140" i="11" s="1"/>
  <c r="AP140" i="11"/>
  <c r="AM140" i="11"/>
  <c r="AJ140" i="11"/>
  <c r="AG140" i="11"/>
  <c r="AD140" i="11"/>
  <c r="AA140" i="11"/>
  <c r="X140" i="11"/>
  <c r="U140" i="11"/>
  <c r="R140" i="11"/>
  <c r="O140" i="11"/>
  <c r="L140" i="11"/>
  <c r="I140" i="11"/>
  <c r="AV139" i="11"/>
  <c r="AS139" i="11"/>
  <c r="AW139" i="11" s="1"/>
  <c r="AP139" i="11"/>
  <c r="AM139" i="11"/>
  <c r="AJ139" i="11"/>
  <c r="AG139" i="11"/>
  <c r="AD139" i="11"/>
  <c r="AA139" i="11"/>
  <c r="X139" i="11"/>
  <c r="U139" i="11"/>
  <c r="R139" i="11"/>
  <c r="O139" i="11"/>
  <c r="L139" i="11"/>
  <c r="I139" i="11"/>
  <c r="AV138" i="11"/>
  <c r="AS138" i="11"/>
  <c r="AW138" i="11" s="1"/>
  <c r="AP138" i="11"/>
  <c r="AM138" i="11"/>
  <c r="AJ138" i="11"/>
  <c r="AG138" i="11"/>
  <c r="AD138" i="11"/>
  <c r="AA138" i="11"/>
  <c r="X138" i="11"/>
  <c r="U138" i="11"/>
  <c r="R138" i="11"/>
  <c r="O138" i="11"/>
  <c r="L138" i="11"/>
  <c r="I138" i="11"/>
  <c r="AV137" i="11"/>
  <c r="AS137" i="11"/>
  <c r="AW137" i="11" s="1"/>
  <c r="AP137" i="11"/>
  <c r="AM137" i="11"/>
  <c r="AJ137" i="11"/>
  <c r="AG137" i="11"/>
  <c r="AD137" i="11"/>
  <c r="AA137" i="11"/>
  <c r="X137" i="11"/>
  <c r="U137" i="11"/>
  <c r="R137" i="11"/>
  <c r="O137" i="11"/>
  <c r="L137" i="11"/>
  <c r="I137" i="11"/>
  <c r="AV136" i="11"/>
  <c r="AS136" i="11"/>
  <c r="AW136" i="11" s="1"/>
  <c r="AP136" i="11"/>
  <c r="AM136" i="11"/>
  <c r="AJ136" i="11"/>
  <c r="AG136" i="11"/>
  <c r="AD136" i="11"/>
  <c r="AA136" i="11"/>
  <c r="X136" i="11"/>
  <c r="U136" i="11"/>
  <c r="R136" i="11"/>
  <c r="O136" i="11"/>
  <c r="L136" i="11"/>
  <c r="I136" i="11"/>
  <c r="AV135" i="11"/>
  <c r="AS135" i="11"/>
  <c r="AW135" i="11" s="1"/>
  <c r="AP135" i="11"/>
  <c r="AM135" i="11"/>
  <c r="AJ135" i="11"/>
  <c r="AG135" i="11"/>
  <c r="AD135" i="11"/>
  <c r="AA135" i="11"/>
  <c r="X135" i="11"/>
  <c r="U135" i="11"/>
  <c r="R135" i="11"/>
  <c r="O135" i="11"/>
  <c r="L135" i="11"/>
  <c r="I135" i="11"/>
  <c r="AV134" i="11"/>
  <c r="AS134" i="11"/>
  <c r="AW134" i="11" s="1"/>
  <c r="AP134" i="11"/>
  <c r="AM134" i="11"/>
  <c r="AJ134" i="11"/>
  <c r="AG134" i="11"/>
  <c r="AD134" i="11"/>
  <c r="AA134" i="11"/>
  <c r="X134" i="11"/>
  <c r="U134" i="11"/>
  <c r="R134" i="11"/>
  <c r="O134" i="11"/>
  <c r="L134" i="11"/>
  <c r="AV133" i="11"/>
  <c r="AS133" i="11"/>
  <c r="AW133" i="11" s="1"/>
  <c r="AP133" i="11"/>
  <c r="AM133" i="11"/>
  <c r="AJ133" i="11"/>
  <c r="AG133" i="11"/>
  <c r="AD133" i="11"/>
  <c r="AA133" i="11"/>
  <c r="X133" i="11"/>
  <c r="U133" i="11"/>
  <c r="R133" i="11"/>
  <c r="O133" i="11"/>
  <c r="L133" i="11"/>
  <c r="I133" i="11"/>
  <c r="AV132" i="11"/>
  <c r="AS132" i="11"/>
  <c r="AW132" i="11" s="1"/>
  <c r="AP132" i="11"/>
  <c r="AM132" i="11"/>
  <c r="AJ132" i="11"/>
  <c r="AG132" i="11"/>
  <c r="AD132" i="11"/>
  <c r="AA132" i="11"/>
  <c r="X132" i="11"/>
  <c r="U132" i="11"/>
  <c r="R132" i="11"/>
  <c r="O132" i="11"/>
  <c r="L132" i="11"/>
  <c r="I132" i="11"/>
  <c r="AV131" i="11"/>
  <c r="AS131" i="11"/>
  <c r="AW131" i="11" s="1"/>
  <c r="AP131" i="11"/>
  <c r="AM131" i="11"/>
  <c r="AJ131" i="11"/>
  <c r="AG131" i="11"/>
  <c r="AD131" i="11"/>
  <c r="AA131" i="11"/>
  <c r="X131" i="11"/>
  <c r="U131" i="11"/>
  <c r="R131" i="11"/>
  <c r="O131" i="11"/>
  <c r="L131" i="11"/>
  <c r="I131" i="11"/>
  <c r="AV124" i="11"/>
  <c r="AS124" i="11"/>
  <c r="AW124" i="11" s="1"/>
  <c r="AP124" i="11"/>
  <c r="AM124" i="11"/>
  <c r="AJ124" i="11"/>
  <c r="AG124" i="11"/>
  <c r="AD124" i="11"/>
  <c r="AA124" i="11"/>
  <c r="X124" i="11"/>
  <c r="U124" i="11"/>
  <c r="R124" i="11"/>
  <c r="O124" i="11"/>
  <c r="L124" i="11"/>
  <c r="I124" i="11"/>
  <c r="AV123" i="11"/>
  <c r="AS123" i="11"/>
  <c r="AW123" i="11" s="1"/>
  <c r="AP123" i="11"/>
  <c r="AM123" i="11"/>
  <c r="AJ123" i="11"/>
  <c r="AG123" i="11"/>
  <c r="AD123" i="11"/>
  <c r="AA123" i="11"/>
  <c r="X123" i="11"/>
  <c r="U123" i="11"/>
  <c r="R123" i="11"/>
  <c r="O123" i="11"/>
  <c r="L123" i="11"/>
  <c r="I123" i="11"/>
  <c r="AV122" i="11"/>
  <c r="AS122" i="11"/>
  <c r="AW122" i="11" s="1"/>
  <c r="AP122" i="11"/>
  <c r="AM122" i="11"/>
  <c r="AJ122" i="11"/>
  <c r="AG122" i="11"/>
  <c r="AD122" i="11"/>
  <c r="AA122" i="11"/>
  <c r="X122" i="11"/>
  <c r="U122" i="11"/>
  <c r="R122" i="11"/>
  <c r="O122" i="11"/>
  <c r="L122" i="11"/>
  <c r="I122" i="11"/>
  <c r="AV121" i="11"/>
  <c r="AM121" i="11"/>
  <c r="AW121" i="11" s="1"/>
  <c r="AD121" i="11"/>
  <c r="U121" i="11"/>
  <c r="AV120" i="11"/>
  <c r="AM120" i="11"/>
  <c r="AW120" i="11" s="1"/>
  <c r="AD120" i="11"/>
  <c r="AA120" i="11"/>
  <c r="U120" i="11"/>
  <c r="I120" i="11"/>
  <c r="AV119" i="11"/>
  <c r="AP119" i="11"/>
  <c r="AW119" i="11" s="1"/>
  <c r="AM119" i="11"/>
  <c r="AD119" i="11"/>
  <c r="U119" i="11"/>
  <c r="I119" i="11"/>
  <c r="AM118" i="11"/>
  <c r="AD118" i="11"/>
  <c r="AW118" i="11" s="1"/>
  <c r="AA118" i="11"/>
  <c r="U118" i="11"/>
  <c r="AV117" i="11"/>
  <c r="AP117" i="11"/>
  <c r="AW117" i="11" s="1"/>
  <c r="AM117" i="11"/>
  <c r="AD117" i="11"/>
  <c r="AA117" i="11"/>
  <c r="U117" i="11"/>
  <c r="AV116" i="11"/>
  <c r="AP116" i="11"/>
  <c r="AW116" i="11" s="1"/>
  <c r="AM116" i="11"/>
  <c r="AJ116" i="11"/>
  <c r="AD116" i="11"/>
  <c r="X116" i="11"/>
  <c r="U116" i="11"/>
  <c r="I116" i="11"/>
  <c r="AV115" i="11"/>
  <c r="AP115" i="11"/>
  <c r="AW115" i="11" s="1"/>
  <c r="AM115" i="11"/>
  <c r="AJ115" i="11"/>
  <c r="AD115" i="11"/>
  <c r="AA115" i="11"/>
  <c r="X115" i="11"/>
  <c r="U115" i="11"/>
  <c r="AV114" i="11"/>
  <c r="AP114" i="11"/>
  <c r="AW114" i="11" s="1"/>
  <c r="AM114" i="11"/>
  <c r="AD114" i="11"/>
  <c r="U114" i="11"/>
  <c r="O114" i="11"/>
  <c r="I114" i="11"/>
  <c r="AV113" i="11"/>
  <c r="AP113" i="11"/>
  <c r="AW113" i="11" s="1"/>
  <c r="AM113" i="11"/>
  <c r="AD113" i="11"/>
  <c r="U113" i="11"/>
  <c r="I113" i="11"/>
  <c r="AV112" i="11"/>
  <c r="AP112" i="11"/>
  <c r="AW112" i="11" s="1"/>
  <c r="AJ112" i="11"/>
  <c r="AD112" i="11"/>
  <c r="U112" i="11"/>
  <c r="O112" i="11"/>
  <c r="I112" i="11"/>
  <c r="AV111" i="11"/>
  <c r="AM111" i="11"/>
  <c r="AW111" i="11" s="1"/>
  <c r="AJ111" i="11"/>
  <c r="AD111" i="11"/>
  <c r="U111" i="11"/>
  <c r="O111" i="11"/>
  <c r="I111" i="11"/>
  <c r="AV110" i="11"/>
  <c r="AP110" i="11"/>
  <c r="AW110" i="11" s="1"/>
  <c r="AM110" i="11"/>
  <c r="AD110" i="11"/>
  <c r="U110" i="11"/>
  <c r="O110" i="11"/>
  <c r="I110" i="11"/>
  <c r="AV109" i="11"/>
  <c r="AM109" i="11"/>
  <c r="AW109" i="11" s="1"/>
  <c r="AD109" i="11"/>
  <c r="U109" i="11"/>
  <c r="O109" i="11"/>
  <c r="I109" i="11"/>
  <c r="AM108" i="11"/>
  <c r="AD108" i="11"/>
  <c r="AW108" i="11" s="1"/>
  <c r="U108" i="11"/>
  <c r="O108" i="11"/>
  <c r="I108" i="11"/>
  <c r="AM107" i="11"/>
  <c r="AJ107" i="11"/>
  <c r="AW107" i="11" s="1"/>
  <c r="AD107" i="11"/>
  <c r="U107" i="11"/>
  <c r="I107" i="11"/>
  <c r="AV106" i="11"/>
  <c r="AP106" i="11"/>
  <c r="AW106" i="11" s="1"/>
  <c r="AM106" i="11"/>
  <c r="AJ106" i="11"/>
  <c r="AD106" i="11"/>
  <c r="U106" i="11"/>
  <c r="O106" i="11"/>
  <c r="I106" i="11"/>
  <c r="AV105" i="11"/>
  <c r="AD105" i="11"/>
  <c r="U105" i="11"/>
  <c r="O105" i="11"/>
  <c r="I105" i="11"/>
  <c r="AV104" i="11"/>
  <c r="AS104" i="11"/>
  <c r="AW104" i="11" s="1"/>
  <c r="AP104" i="11"/>
  <c r="AM104" i="11"/>
  <c r="AJ104" i="11"/>
  <c r="AG104" i="11"/>
  <c r="AD104" i="11"/>
  <c r="AA104" i="11"/>
  <c r="X104" i="11"/>
  <c r="U104" i="11"/>
  <c r="R104" i="11"/>
  <c r="O104" i="11"/>
  <c r="L104" i="11"/>
  <c r="I104" i="11"/>
  <c r="AV103" i="11"/>
  <c r="AS103" i="11"/>
  <c r="AW103" i="11" s="1"/>
  <c r="AP103" i="11"/>
  <c r="AM103" i="11"/>
  <c r="AJ103" i="11"/>
  <c r="AG103" i="11"/>
  <c r="AD103" i="11"/>
  <c r="AA103" i="11"/>
  <c r="X103" i="11"/>
  <c r="U103" i="11"/>
  <c r="R103" i="11"/>
  <c r="O103" i="11"/>
  <c r="L103" i="11"/>
  <c r="AV102" i="11"/>
  <c r="AS102" i="11"/>
  <c r="AW102" i="11" s="1"/>
  <c r="AP102" i="11"/>
  <c r="AM102" i="11"/>
  <c r="AJ102" i="11"/>
  <c r="AG102" i="11"/>
  <c r="AD102" i="11"/>
  <c r="AA102" i="11"/>
  <c r="X102" i="11"/>
  <c r="U102" i="11"/>
  <c r="R102" i="11"/>
  <c r="O102" i="11"/>
  <c r="L102" i="11"/>
  <c r="AV101" i="11"/>
  <c r="AS101" i="11"/>
  <c r="AP101" i="11"/>
  <c r="AM101" i="11"/>
  <c r="AJ101" i="11"/>
  <c r="AG101" i="11"/>
  <c r="AD101" i="11"/>
  <c r="AA101" i="11"/>
  <c r="X101" i="11"/>
  <c r="U101" i="11"/>
  <c r="R101" i="11"/>
  <c r="O101" i="11"/>
  <c r="L101" i="11"/>
  <c r="H101" i="11"/>
  <c r="I101" i="11" s="1"/>
  <c r="AV100" i="11"/>
  <c r="AS100" i="11"/>
  <c r="AP100" i="11"/>
  <c r="AM100" i="11"/>
  <c r="AJ100" i="11"/>
  <c r="AG100" i="11"/>
  <c r="AD100" i="11"/>
  <c r="AA100" i="11"/>
  <c r="X100" i="11"/>
  <c r="U100" i="11"/>
  <c r="R100" i="11"/>
  <c r="O100" i="11"/>
  <c r="L100" i="11"/>
  <c r="H100" i="11"/>
  <c r="I100" i="11" s="1"/>
  <c r="AV99" i="11"/>
  <c r="AS99" i="11"/>
  <c r="AW99" i="11" s="1"/>
  <c r="AP99" i="11"/>
  <c r="AM99" i="11"/>
  <c r="AJ99" i="11"/>
  <c r="AG99" i="11"/>
  <c r="AD99" i="11"/>
  <c r="AA99" i="11"/>
  <c r="X99" i="11"/>
  <c r="U99" i="11"/>
  <c r="R99" i="11"/>
  <c r="O99" i="11"/>
  <c r="L99" i="11"/>
  <c r="I99" i="11"/>
  <c r="AV98" i="11"/>
  <c r="AS98" i="11"/>
  <c r="AW98" i="11" s="1"/>
  <c r="AP98" i="11"/>
  <c r="AM98" i="11"/>
  <c r="AJ98" i="11"/>
  <c r="AG98" i="11"/>
  <c r="AD98" i="11"/>
  <c r="AA98" i="11"/>
  <c r="X98" i="11"/>
  <c r="U98" i="11"/>
  <c r="R98" i="11"/>
  <c r="O98" i="11"/>
  <c r="L98" i="11"/>
  <c r="I98" i="11"/>
  <c r="AV97" i="11"/>
  <c r="AS97" i="11"/>
  <c r="AW97" i="11" s="1"/>
  <c r="AP97" i="11"/>
  <c r="AM97" i="11"/>
  <c r="AJ97" i="11"/>
  <c r="AG97" i="11"/>
  <c r="AD97" i="11"/>
  <c r="AA97" i="11"/>
  <c r="X97" i="11"/>
  <c r="U97" i="11"/>
  <c r="R97" i="11"/>
  <c r="O97" i="11"/>
  <c r="L97" i="11"/>
  <c r="I97" i="11"/>
  <c r="AV96" i="11"/>
  <c r="AS96" i="11"/>
  <c r="AW96" i="11" s="1"/>
  <c r="AP96" i="11"/>
  <c r="AM96" i="11"/>
  <c r="AJ96" i="11"/>
  <c r="AG96" i="11"/>
  <c r="AD96" i="11"/>
  <c r="AA96" i="11"/>
  <c r="X96" i="11"/>
  <c r="U96" i="11"/>
  <c r="R96" i="11"/>
  <c r="O96" i="11"/>
  <c r="L96" i="11"/>
  <c r="I96" i="11"/>
  <c r="AV95" i="11"/>
  <c r="AS95" i="11"/>
  <c r="AW95" i="11" s="1"/>
  <c r="AP95" i="11"/>
  <c r="AM95" i="11"/>
  <c r="AJ95" i="11"/>
  <c r="AG95" i="11"/>
  <c r="AD95" i="11"/>
  <c r="AA95" i="11"/>
  <c r="X95" i="11"/>
  <c r="U95" i="11"/>
  <c r="R95" i="11"/>
  <c r="O95" i="11"/>
  <c r="L95" i="11"/>
  <c r="I95" i="11"/>
  <c r="AV94" i="11"/>
  <c r="AS94" i="11"/>
  <c r="AW94" i="11" s="1"/>
  <c r="AP94" i="11"/>
  <c r="AM94" i="11"/>
  <c r="AJ94" i="11"/>
  <c r="AG94" i="11"/>
  <c r="AD94" i="11"/>
  <c r="AA94" i="11"/>
  <c r="X94" i="11"/>
  <c r="U94" i="11"/>
  <c r="R94" i="11"/>
  <c r="O94" i="11"/>
  <c r="L94" i="11"/>
  <c r="I94" i="11"/>
  <c r="AV93" i="11"/>
  <c r="AS93" i="11"/>
  <c r="AW93" i="11" s="1"/>
  <c r="AP93" i="11"/>
  <c r="AM93" i="11"/>
  <c r="AJ93" i="11"/>
  <c r="AG93" i="11"/>
  <c r="AD93" i="11"/>
  <c r="AA93" i="11"/>
  <c r="X93" i="11"/>
  <c r="U93" i="11"/>
  <c r="R93" i="11"/>
  <c r="O93" i="11"/>
  <c r="L93" i="11"/>
  <c r="I93" i="11"/>
  <c r="AV92" i="11"/>
  <c r="AS92" i="11"/>
  <c r="AW92" i="11" s="1"/>
  <c r="AP92" i="11"/>
  <c r="AM92" i="11"/>
  <c r="AJ92" i="11"/>
  <c r="AG92" i="11"/>
  <c r="AD92" i="11"/>
  <c r="AA92" i="11"/>
  <c r="X92" i="11"/>
  <c r="U92" i="11"/>
  <c r="R92" i="11"/>
  <c r="O92" i="11"/>
  <c r="L92" i="11"/>
  <c r="I92" i="11"/>
  <c r="AV91" i="11"/>
  <c r="AS91" i="11"/>
  <c r="AW91" i="11" s="1"/>
  <c r="AP91" i="11"/>
  <c r="AM91" i="11"/>
  <c r="AJ91" i="11"/>
  <c r="AG91" i="11"/>
  <c r="AD91" i="11"/>
  <c r="AA91" i="11"/>
  <c r="X91" i="11"/>
  <c r="U91" i="11"/>
  <c r="R91" i="11"/>
  <c r="O91" i="11"/>
  <c r="L91" i="11"/>
  <c r="I91" i="11"/>
  <c r="AV90" i="11"/>
  <c r="AS90" i="11"/>
  <c r="AW90" i="11" s="1"/>
  <c r="AP90" i="11"/>
  <c r="AM90" i="11"/>
  <c r="AJ90" i="11"/>
  <c r="AG90" i="11"/>
  <c r="AD90" i="11"/>
  <c r="AA90" i="11"/>
  <c r="X90" i="11"/>
  <c r="U90" i="11"/>
  <c r="R90" i="11"/>
  <c r="O90" i="11"/>
  <c r="L90" i="11"/>
  <c r="I90" i="11"/>
  <c r="AV89" i="11"/>
  <c r="AS89" i="11"/>
  <c r="AW89" i="11" s="1"/>
  <c r="AP89" i="11"/>
  <c r="AM89" i="11"/>
  <c r="AJ89" i="11"/>
  <c r="AG89" i="11"/>
  <c r="AD89" i="11"/>
  <c r="AA89" i="11"/>
  <c r="X89" i="11"/>
  <c r="U89" i="11"/>
  <c r="R89" i="11"/>
  <c r="O89" i="11"/>
  <c r="L89" i="11"/>
  <c r="I89" i="11"/>
  <c r="AV88" i="11"/>
  <c r="AS88" i="11"/>
  <c r="AW88" i="11" s="1"/>
  <c r="AP88" i="11"/>
  <c r="AM88" i="11"/>
  <c r="AJ88" i="11"/>
  <c r="AG88" i="11"/>
  <c r="AD88" i="11"/>
  <c r="AA88" i="11"/>
  <c r="X88" i="11"/>
  <c r="U88" i="11"/>
  <c r="R88" i="11"/>
  <c r="O88" i="11"/>
  <c r="L88" i="11"/>
  <c r="I88" i="11"/>
  <c r="AV87" i="11"/>
  <c r="AS87" i="11"/>
  <c r="AW87" i="11" s="1"/>
  <c r="AP87" i="11"/>
  <c r="AM87" i="11"/>
  <c r="AJ87" i="11"/>
  <c r="AG87" i="11"/>
  <c r="AD87" i="11"/>
  <c r="AA87" i="11"/>
  <c r="X87" i="11"/>
  <c r="U87" i="11"/>
  <c r="R87" i="11"/>
  <c r="O87" i="11"/>
  <c r="L87" i="11"/>
  <c r="I87" i="11"/>
  <c r="AV86" i="11"/>
  <c r="AS86" i="11"/>
  <c r="AW86" i="11" s="1"/>
  <c r="AP86" i="11"/>
  <c r="AM86" i="11"/>
  <c r="AJ86" i="11"/>
  <c r="AG86" i="11"/>
  <c r="AD86" i="11"/>
  <c r="AA86" i="11"/>
  <c r="X86" i="11"/>
  <c r="U86" i="11"/>
  <c r="R86" i="11"/>
  <c r="O86" i="11"/>
  <c r="L86" i="11"/>
  <c r="I86" i="11"/>
  <c r="AV85" i="11"/>
  <c r="AS85" i="11"/>
  <c r="AW85" i="11" s="1"/>
  <c r="AP85" i="11"/>
  <c r="AM85" i="11"/>
  <c r="AJ85" i="11"/>
  <c r="AG85" i="11"/>
  <c r="AD85" i="11"/>
  <c r="AA85" i="11"/>
  <c r="X85" i="11"/>
  <c r="U85" i="11"/>
  <c r="R85" i="11"/>
  <c r="O85" i="11"/>
  <c r="L85" i="11"/>
  <c r="I85" i="11"/>
  <c r="AV84" i="11"/>
  <c r="AP84" i="11"/>
  <c r="AM84" i="11"/>
  <c r="AJ84" i="11"/>
  <c r="AG84" i="11"/>
  <c r="AD84" i="11"/>
  <c r="AA84" i="11"/>
  <c r="U84" i="11"/>
  <c r="AP83" i="11"/>
  <c r="AM83" i="11"/>
  <c r="AJ83" i="11"/>
  <c r="AG83" i="11"/>
  <c r="AD83" i="11"/>
  <c r="AA83" i="11"/>
  <c r="U83" i="11"/>
  <c r="I83" i="11"/>
  <c r="AV82" i="11"/>
  <c r="AS82" i="11"/>
  <c r="AM82" i="11"/>
  <c r="AJ82" i="11"/>
  <c r="AG82" i="11"/>
  <c r="AD82" i="11"/>
  <c r="AA82" i="11"/>
  <c r="X82" i="11"/>
  <c r="U82" i="11"/>
  <c r="R82" i="11"/>
  <c r="O82" i="11"/>
  <c r="L82" i="11"/>
  <c r="I82" i="11"/>
  <c r="AV81" i="11"/>
  <c r="AS81" i="11"/>
  <c r="AW81" i="11" s="1"/>
  <c r="AP81" i="11"/>
  <c r="AM81" i="11"/>
  <c r="AJ81" i="11"/>
  <c r="AG81" i="11"/>
  <c r="AD81" i="11"/>
  <c r="AA81" i="11"/>
  <c r="X81" i="11"/>
  <c r="U81" i="11"/>
  <c r="R81" i="11"/>
  <c r="O81" i="11"/>
  <c r="L81" i="11"/>
  <c r="I81" i="11"/>
  <c r="AV80" i="11"/>
  <c r="AS80" i="11"/>
  <c r="AW80" i="11" s="1"/>
  <c r="AP80" i="11"/>
  <c r="AM80" i="11"/>
  <c r="AJ80" i="11"/>
  <c r="AG80" i="11"/>
  <c r="AD80" i="11"/>
  <c r="AA80" i="11"/>
  <c r="X80" i="11"/>
  <c r="U80" i="11"/>
  <c r="R80" i="11"/>
  <c r="O80" i="11"/>
  <c r="L80" i="11"/>
  <c r="I80" i="11"/>
  <c r="AV79" i="11"/>
  <c r="AS79" i="11"/>
  <c r="AW79" i="11" s="1"/>
  <c r="AP79" i="11"/>
  <c r="AM79" i="11"/>
  <c r="AJ79" i="11"/>
  <c r="AG79" i="11"/>
  <c r="AD79" i="11"/>
  <c r="AA79" i="11"/>
  <c r="X79" i="11"/>
  <c r="U79" i="11"/>
  <c r="R79" i="11"/>
  <c r="O79" i="11"/>
  <c r="L79" i="11"/>
  <c r="I79" i="11"/>
  <c r="AV78" i="11"/>
  <c r="AS78" i="11"/>
  <c r="AP78" i="11"/>
  <c r="AM78" i="11"/>
  <c r="AJ78" i="11"/>
  <c r="AG78" i="11"/>
  <c r="AD78" i="11"/>
  <c r="AA78" i="11"/>
  <c r="X78" i="11"/>
  <c r="U78" i="11"/>
  <c r="R78" i="11"/>
  <c r="O78" i="11"/>
  <c r="L78" i="11"/>
  <c r="I78" i="11"/>
  <c r="AV77" i="11"/>
  <c r="AS77" i="11"/>
  <c r="AW77" i="11" s="1"/>
  <c r="AP77" i="11"/>
  <c r="AM77" i="11"/>
  <c r="AJ77" i="11"/>
  <c r="AG77" i="11"/>
  <c r="AD77" i="11"/>
  <c r="AA77" i="11"/>
  <c r="X77" i="11"/>
  <c r="U77" i="11"/>
  <c r="R77" i="11"/>
  <c r="O77" i="11"/>
  <c r="L77" i="11"/>
  <c r="I77" i="11"/>
  <c r="AV76" i="11"/>
  <c r="AS76" i="11"/>
  <c r="AW76" i="11" s="1"/>
  <c r="AP76" i="11"/>
  <c r="AM76" i="11"/>
  <c r="AJ76" i="11"/>
  <c r="AG76" i="11"/>
  <c r="AD76" i="11"/>
  <c r="AA76" i="11"/>
  <c r="X76" i="11"/>
  <c r="U76" i="11"/>
  <c r="R76" i="11"/>
  <c r="O76" i="11"/>
  <c r="L76" i="11"/>
  <c r="I76" i="11"/>
  <c r="AV75" i="11"/>
  <c r="AS75" i="11"/>
  <c r="AW75" i="11" s="1"/>
  <c r="AP75" i="11"/>
  <c r="AM75" i="11"/>
  <c r="AJ75" i="11"/>
  <c r="AG75" i="11"/>
  <c r="AD75" i="11"/>
  <c r="AA75" i="11"/>
  <c r="X75" i="11"/>
  <c r="U75" i="11"/>
  <c r="R75" i="11"/>
  <c r="O75" i="11"/>
  <c r="L75" i="11"/>
  <c r="I75" i="11"/>
  <c r="AV74" i="11"/>
  <c r="AS74" i="11"/>
  <c r="AP74" i="11"/>
  <c r="AM74" i="11"/>
  <c r="AJ74" i="11"/>
  <c r="AG74" i="11"/>
  <c r="AD74" i="11"/>
  <c r="AA74" i="11"/>
  <c r="X74" i="11"/>
  <c r="U74" i="11"/>
  <c r="R74" i="11"/>
  <c r="O74" i="11"/>
  <c r="L74" i="11"/>
  <c r="I74" i="11"/>
  <c r="AV73" i="11"/>
  <c r="AS73" i="11"/>
  <c r="AW73" i="11" s="1"/>
  <c r="AP73" i="11"/>
  <c r="AM73" i="11"/>
  <c r="AJ73" i="11"/>
  <c r="AG73" i="11"/>
  <c r="AD73" i="11"/>
  <c r="AA73" i="11"/>
  <c r="X73" i="11"/>
  <c r="U73" i="11"/>
  <c r="R73" i="11"/>
  <c r="O73" i="11"/>
  <c r="L73" i="11"/>
  <c r="I73" i="11"/>
  <c r="AV72" i="11"/>
  <c r="AS72" i="11"/>
  <c r="AW72" i="11" s="1"/>
  <c r="AP72" i="11"/>
  <c r="AM72" i="11"/>
  <c r="AJ72" i="11"/>
  <c r="AG72" i="11"/>
  <c r="AD72" i="11"/>
  <c r="AA72" i="11"/>
  <c r="X72" i="11"/>
  <c r="U72" i="11"/>
  <c r="R72" i="11"/>
  <c r="O72" i="11"/>
  <c r="L72" i="11"/>
  <c r="I72" i="11"/>
  <c r="AV71" i="11"/>
  <c r="AS71" i="11"/>
  <c r="AW71" i="11" s="1"/>
  <c r="AP71" i="11"/>
  <c r="AM71" i="11"/>
  <c r="AJ71" i="11"/>
  <c r="AG71" i="11"/>
  <c r="AD71" i="11"/>
  <c r="AA71" i="11"/>
  <c r="X71" i="11"/>
  <c r="U71" i="11"/>
  <c r="R71" i="11"/>
  <c r="O71" i="11"/>
  <c r="L71" i="11"/>
  <c r="I71" i="11"/>
  <c r="AV70" i="11"/>
  <c r="AS70" i="11"/>
  <c r="AP70" i="11"/>
  <c r="AM70" i="11"/>
  <c r="AJ70" i="11"/>
  <c r="AG70" i="11"/>
  <c r="AD70" i="11"/>
  <c r="AA70" i="11"/>
  <c r="X70" i="11"/>
  <c r="U70" i="11"/>
  <c r="R70" i="11"/>
  <c r="O70" i="11"/>
  <c r="L70" i="11"/>
  <c r="I70" i="11"/>
  <c r="AV69" i="11"/>
  <c r="AS69" i="11"/>
  <c r="AW69" i="11" s="1"/>
  <c r="AP69" i="11"/>
  <c r="AM69" i="11"/>
  <c r="AJ69" i="11"/>
  <c r="AG69" i="11"/>
  <c r="AD69" i="11"/>
  <c r="AA69" i="11"/>
  <c r="X69" i="11"/>
  <c r="U69" i="11"/>
  <c r="R69" i="11"/>
  <c r="O69" i="11"/>
  <c r="L69" i="11"/>
  <c r="I69" i="11"/>
  <c r="AV68" i="11"/>
  <c r="AS68" i="11"/>
  <c r="AW68" i="11" s="1"/>
  <c r="AP68" i="11"/>
  <c r="AM68" i="11"/>
  <c r="AJ68" i="11"/>
  <c r="AG68" i="11"/>
  <c r="AD68" i="11"/>
  <c r="AA68" i="11"/>
  <c r="X68" i="11"/>
  <c r="U68" i="11"/>
  <c r="R68" i="11"/>
  <c r="O68" i="11"/>
  <c r="L68" i="11"/>
  <c r="I68" i="11"/>
  <c r="AV67" i="11"/>
  <c r="AS67" i="11"/>
  <c r="AW67" i="11" s="1"/>
  <c r="AP67" i="11"/>
  <c r="AM67" i="11"/>
  <c r="AJ67" i="11"/>
  <c r="AG67" i="11"/>
  <c r="AD67" i="11"/>
  <c r="AA67" i="11"/>
  <c r="X67" i="11"/>
  <c r="U67" i="11"/>
  <c r="R67" i="11"/>
  <c r="O67" i="11"/>
  <c r="L67" i="11"/>
  <c r="I67" i="11"/>
  <c r="AV66" i="11"/>
  <c r="AS66" i="11"/>
  <c r="AW66" i="11" s="1"/>
  <c r="AP66" i="11"/>
  <c r="AM66" i="11"/>
  <c r="AJ66" i="11"/>
  <c r="AG66" i="11"/>
  <c r="AD66" i="11"/>
  <c r="AA66" i="11"/>
  <c r="X66" i="11"/>
  <c r="U66" i="11"/>
  <c r="R66" i="11"/>
  <c r="O66" i="11"/>
  <c r="L66" i="11"/>
  <c r="I66" i="11"/>
  <c r="AV65" i="11"/>
  <c r="AS65" i="11"/>
  <c r="AW65" i="11" s="1"/>
  <c r="AP65" i="11"/>
  <c r="AM65" i="11"/>
  <c r="AJ65" i="11"/>
  <c r="AG65" i="11"/>
  <c r="AD65" i="11"/>
  <c r="AA65" i="11"/>
  <c r="X65" i="11"/>
  <c r="U65" i="11"/>
  <c r="R65" i="11"/>
  <c r="O65" i="11"/>
  <c r="L65" i="11"/>
  <c r="I65" i="11"/>
  <c r="AV64" i="11"/>
  <c r="AS64" i="11"/>
  <c r="AW64" i="11" s="1"/>
  <c r="AP64" i="11"/>
  <c r="AM64" i="11"/>
  <c r="AJ64" i="11"/>
  <c r="AG64" i="11"/>
  <c r="AD64" i="11"/>
  <c r="AA64" i="11"/>
  <c r="X64" i="11"/>
  <c r="U64" i="11"/>
  <c r="R64" i="11"/>
  <c r="O64" i="11"/>
  <c r="L64" i="11"/>
  <c r="I64" i="11"/>
  <c r="AV63" i="11"/>
  <c r="AS63" i="11"/>
  <c r="AW63" i="11" s="1"/>
  <c r="AP63" i="11"/>
  <c r="AM63" i="11"/>
  <c r="AJ63" i="11"/>
  <c r="AG63" i="11"/>
  <c r="AD63" i="11"/>
  <c r="AA63" i="11"/>
  <c r="X63" i="11"/>
  <c r="U63" i="11"/>
  <c r="R63" i="11"/>
  <c r="O63" i="11"/>
  <c r="L63" i="11"/>
  <c r="I63" i="11"/>
  <c r="AV62" i="11"/>
  <c r="AS62" i="11"/>
  <c r="AW62" i="11" s="1"/>
  <c r="AP62" i="11"/>
  <c r="AM62" i="11"/>
  <c r="AJ62" i="11"/>
  <c r="AG62" i="11"/>
  <c r="AD62" i="11"/>
  <c r="AA62" i="11"/>
  <c r="X62" i="11"/>
  <c r="U62" i="11"/>
  <c r="R62" i="11"/>
  <c r="O62" i="11"/>
  <c r="L62" i="11"/>
  <c r="I62" i="11"/>
  <c r="AV61" i="11"/>
  <c r="AS61" i="11"/>
  <c r="AW61" i="11" s="1"/>
  <c r="AP61" i="11"/>
  <c r="AM61" i="11"/>
  <c r="AJ61" i="11"/>
  <c r="AG61" i="11"/>
  <c r="AD61" i="11"/>
  <c r="AA61" i="11"/>
  <c r="X61" i="11"/>
  <c r="U61" i="11"/>
  <c r="R61" i="11"/>
  <c r="O61" i="11"/>
  <c r="L61" i="11"/>
  <c r="I61" i="11"/>
  <c r="AV60" i="11"/>
  <c r="AS60" i="11"/>
  <c r="AW60" i="11" s="1"/>
  <c r="AP60" i="11"/>
  <c r="AM60" i="11"/>
  <c r="AJ60" i="11"/>
  <c r="AG60" i="11"/>
  <c r="AD60" i="11"/>
  <c r="AA60" i="11"/>
  <c r="X60" i="11"/>
  <c r="U60" i="11"/>
  <c r="R60" i="11"/>
  <c r="O60" i="11"/>
  <c r="L60" i="11"/>
  <c r="I60" i="11"/>
  <c r="AV59" i="11"/>
  <c r="AS59" i="11"/>
  <c r="AW59" i="11" s="1"/>
  <c r="AP59" i="11"/>
  <c r="AM59" i="11"/>
  <c r="AJ59" i="11"/>
  <c r="AG59" i="11"/>
  <c r="AD59" i="11"/>
  <c r="AA59" i="11"/>
  <c r="X59" i="11"/>
  <c r="U59" i="11"/>
  <c r="R59" i="11"/>
  <c r="O59" i="11"/>
  <c r="L59" i="11"/>
  <c r="I59" i="11"/>
  <c r="AV58" i="11"/>
  <c r="AS58" i="11"/>
  <c r="AW58" i="11" s="1"/>
  <c r="AP58" i="11"/>
  <c r="AM58" i="11"/>
  <c r="AJ58" i="11"/>
  <c r="AG58" i="11"/>
  <c r="AD58" i="11"/>
  <c r="AA58" i="11"/>
  <c r="X58" i="11"/>
  <c r="U58" i="11"/>
  <c r="R58" i="11"/>
  <c r="O58" i="11"/>
  <c r="L58" i="11"/>
  <c r="I58" i="11"/>
  <c r="AV57" i="11"/>
  <c r="AS57" i="11"/>
  <c r="AW57" i="11" s="1"/>
  <c r="AP57" i="11"/>
  <c r="AM57" i="11"/>
  <c r="AJ57" i="11"/>
  <c r="AG57" i="11"/>
  <c r="AD57" i="11"/>
  <c r="AA57" i="11"/>
  <c r="X57" i="11"/>
  <c r="U57" i="11"/>
  <c r="R57" i="11"/>
  <c r="O57" i="11"/>
  <c r="L57" i="11"/>
  <c r="I57" i="11"/>
  <c r="AV56" i="11"/>
  <c r="AS56" i="11"/>
  <c r="AW56" i="11" s="1"/>
  <c r="AP56" i="11"/>
  <c r="AM56" i="11"/>
  <c r="AJ56" i="11"/>
  <c r="AG56" i="11"/>
  <c r="AD56" i="11"/>
  <c r="AA56" i="11"/>
  <c r="X56" i="11"/>
  <c r="U56" i="11"/>
  <c r="R56" i="11"/>
  <c r="O56" i="11"/>
  <c r="L56" i="11"/>
  <c r="I56" i="11"/>
  <c r="AV55" i="11"/>
  <c r="AS55" i="11"/>
  <c r="AW55" i="11" s="1"/>
  <c r="AP55" i="11"/>
  <c r="AM55" i="11"/>
  <c r="AJ55" i="11"/>
  <c r="AG55" i="11"/>
  <c r="AD55" i="11"/>
  <c r="AA55" i="11"/>
  <c r="X55" i="11"/>
  <c r="U55" i="11"/>
  <c r="R55" i="11"/>
  <c r="O55" i="11"/>
  <c r="L55" i="11"/>
  <c r="I55" i="11"/>
  <c r="AV54" i="11"/>
  <c r="AS54" i="11"/>
  <c r="AW54" i="11" s="1"/>
  <c r="AP54" i="11"/>
  <c r="AM54" i="11"/>
  <c r="AJ54" i="11"/>
  <c r="AG54" i="11"/>
  <c r="AD54" i="11"/>
  <c r="AA54" i="11"/>
  <c r="X54" i="11"/>
  <c r="U54" i="11"/>
  <c r="R54" i="11"/>
  <c r="O54" i="11"/>
  <c r="L54" i="11"/>
  <c r="I54" i="11"/>
  <c r="AV53" i="11"/>
  <c r="AS53" i="11"/>
  <c r="AW53" i="11" s="1"/>
  <c r="AP53" i="11"/>
  <c r="AM53" i="11"/>
  <c r="AJ53" i="11"/>
  <c r="AG53" i="11"/>
  <c r="AD53" i="11"/>
  <c r="AA53" i="11"/>
  <c r="X53" i="11"/>
  <c r="U53" i="11"/>
  <c r="R53" i="11"/>
  <c r="O53" i="11"/>
  <c r="L53" i="11"/>
  <c r="I53" i="11"/>
  <c r="AV52" i="11"/>
  <c r="AS52" i="11"/>
  <c r="AW52" i="11" s="1"/>
  <c r="AP52" i="11"/>
  <c r="AM52" i="11"/>
  <c r="AJ52" i="11"/>
  <c r="AG52" i="11"/>
  <c r="AD52" i="11"/>
  <c r="AA52" i="11"/>
  <c r="X52" i="11"/>
  <c r="U52" i="11"/>
  <c r="R52" i="11"/>
  <c r="O52" i="11"/>
  <c r="L52" i="11"/>
  <c r="I52" i="11"/>
  <c r="AV51" i="11"/>
  <c r="AS51" i="11"/>
  <c r="AW51" i="11" s="1"/>
  <c r="AP51" i="11"/>
  <c r="AM51" i="11"/>
  <c r="AJ51" i="11"/>
  <c r="AG51" i="11"/>
  <c r="AD51" i="11"/>
  <c r="AA51" i="11"/>
  <c r="X51" i="11"/>
  <c r="U51" i="11"/>
  <c r="R51" i="11"/>
  <c r="O51" i="11"/>
  <c r="L51" i="11"/>
  <c r="I51" i="11"/>
  <c r="AV50" i="11"/>
  <c r="AS50" i="11"/>
  <c r="AW50" i="11" s="1"/>
  <c r="AP50" i="11"/>
  <c r="AM50" i="11"/>
  <c r="AJ50" i="11"/>
  <c r="AG50" i="11"/>
  <c r="AD50" i="11"/>
  <c r="AA50" i="11"/>
  <c r="X50" i="11"/>
  <c r="U50" i="11"/>
  <c r="R50" i="11"/>
  <c r="O50" i="11"/>
  <c r="L50" i="11"/>
  <c r="I50" i="11"/>
  <c r="AV49" i="11"/>
  <c r="AS49" i="11"/>
  <c r="AW49" i="11" s="1"/>
  <c r="AP49" i="11"/>
  <c r="AM49" i="11"/>
  <c r="AJ49" i="11"/>
  <c r="AG49" i="11"/>
  <c r="AD49" i="11"/>
  <c r="AA49" i="11"/>
  <c r="X49" i="11"/>
  <c r="U49" i="11"/>
  <c r="R49" i="11"/>
  <c r="O49" i="11"/>
  <c r="L49" i="11"/>
  <c r="I49" i="11"/>
  <c r="AV48" i="11"/>
  <c r="AS48" i="11"/>
  <c r="AW48" i="11" s="1"/>
  <c r="AP48" i="11"/>
  <c r="AM48" i="11"/>
  <c r="AJ48" i="11"/>
  <c r="AG48" i="11"/>
  <c r="AD48" i="11"/>
  <c r="AA48" i="11"/>
  <c r="X48" i="11"/>
  <c r="U48" i="11"/>
  <c r="R48" i="11"/>
  <c r="O48" i="11"/>
  <c r="L48" i="11"/>
  <c r="I48" i="11"/>
  <c r="AV47" i="11"/>
  <c r="AS47" i="11"/>
  <c r="AW47" i="11" s="1"/>
  <c r="AP47" i="11"/>
  <c r="AM47" i="11"/>
  <c r="AJ47" i="11"/>
  <c r="AG47" i="11"/>
  <c r="AD47" i="11"/>
  <c r="AA47" i="11"/>
  <c r="X47" i="11"/>
  <c r="U47" i="11"/>
  <c r="R47" i="11"/>
  <c r="O47" i="11"/>
  <c r="L47" i="11"/>
  <c r="I47" i="11"/>
  <c r="AV46" i="11"/>
  <c r="AS46" i="11"/>
  <c r="AW46" i="11" s="1"/>
  <c r="AP46" i="11"/>
  <c r="AM46" i="11"/>
  <c r="AJ46" i="11"/>
  <c r="AG46" i="11"/>
  <c r="AD46" i="11"/>
  <c r="AA46" i="11"/>
  <c r="X46" i="11"/>
  <c r="U46" i="11"/>
  <c r="R46" i="11"/>
  <c r="O46" i="11"/>
  <c r="L46" i="11"/>
  <c r="I46" i="11"/>
  <c r="AV45" i="11"/>
  <c r="AS45" i="11"/>
  <c r="AW45" i="11" s="1"/>
  <c r="AP45" i="11"/>
  <c r="AM45" i="11"/>
  <c r="AJ45" i="11"/>
  <c r="AG45" i="11"/>
  <c r="AD45" i="11"/>
  <c r="AA45" i="11"/>
  <c r="X45" i="11"/>
  <c r="U45" i="11"/>
  <c r="R45" i="11"/>
  <c r="O45" i="11"/>
  <c r="L45" i="11"/>
  <c r="I45" i="11"/>
  <c r="AV44" i="11"/>
  <c r="AS44" i="11"/>
  <c r="AW44" i="11" s="1"/>
  <c r="AP44" i="11"/>
  <c r="AM44" i="11"/>
  <c r="AJ44" i="11"/>
  <c r="AG44" i="11"/>
  <c r="AD44" i="11"/>
  <c r="AA44" i="11"/>
  <c r="X44" i="11"/>
  <c r="U44" i="11"/>
  <c r="R44" i="11"/>
  <c r="O44" i="11"/>
  <c r="L44" i="11"/>
  <c r="I44" i="11"/>
  <c r="AV43" i="11"/>
  <c r="AS43" i="11"/>
  <c r="AW43" i="11" s="1"/>
  <c r="AP43" i="11"/>
  <c r="AM43" i="11"/>
  <c r="AJ43" i="11"/>
  <c r="AG43" i="11"/>
  <c r="AD43" i="11"/>
  <c r="AA43" i="11"/>
  <c r="X43" i="11"/>
  <c r="U43" i="11"/>
  <c r="R43" i="11"/>
  <c r="O43" i="11"/>
  <c r="L43" i="11"/>
  <c r="I43" i="11"/>
  <c r="AV42" i="11"/>
  <c r="AS42" i="11"/>
  <c r="AW42" i="11" s="1"/>
  <c r="AP42" i="11"/>
  <c r="AM42" i="11"/>
  <c r="AJ42" i="11"/>
  <c r="AG42" i="11"/>
  <c r="AD42" i="11"/>
  <c r="AA42" i="11"/>
  <c r="X42" i="11"/>
  <c r="U42" i="11"/>
  <c r="R42" i="11"/>
  <c r="O42" i="11"/>
  <c r="L42" i="11"/>
  <c r="I42" i="11"/>
  <c r="AV41" i="11"/>
  <c r="AS41" i="11"/>
  <c r="AW41" i="11" s="1"/>
  <c r="AP41" i="11"/>
  <c r="AM41" i="11"/>
  <c r="AJ41" i="11"/>
  <c r="AG41" i="11"/>
  <c r="AD41" i="11"/>
  <c r="AA41" i="11"/>
  <c r="X41" i="11"/>
  <c r="U41" i="11"/>
  <c r="R41" i="11"/>
  <c r="O41" i="11"/>
  <c r="L41" i="11"/>
  <c r="I41" i="11"/>
  <c r="AV40" i="11"/>
  <c r="AS40" i="11"/>
  <c r="AW40" i="11" s="1"/>
  <c r="AP40" i="11"/>
  <c r="AM40" i="11"/>
  <c r="AJ40" i="11"/>
  <c r="AG40" i="11"/>
  <c r="AD40" i="11"/>
  <c r="AA40" i="11"/>
  <c r="X40" i="11"/>
  <c r="U40" i="11"/>
  <c r="R40" i="11"/>
  <c r="O40" i="11"/>
  <c r="L40" i="11"/>
  <c r="I40" i="11"/>
  <c r="AV39" i="11"/>
  <c r="AS39" i="11"/>
  <c r="AW39" i="11" s="1"/>
  <c r="AP39" i="11"/>
  <c r="AM39" i="11"/>
  <c r="AJ39" i="11"/>
  <c r="AG39" i="11"/>
  <c r="AD39" i="11"/>
  <c r="AA39" i="11"/>
  <c r="X39" i="11"/>
  <c r="U39" i="11"/>
  <c r="R39" i="11"/>
  <c r="O39" i="11"/>
  <c r="L39" i="11"/>
  <c r="I39" i="11"/>
  <c r="AV38" i="11"/>
  <c r="AS38" i="11"/>
  <c r="AW38" i="11" s="1"/>
  <c r="AP38" i="11"/>
  <c r="AM38" i="11"/>
  <c r="AJ38" i="11"/>
  <c r="AG38" i="11"/>
  <c r="AD38" i="11"/>
  <c r="AA38" i="11"/>
  <c r="X38" i="11"/>
  <c r="U38" i="11"/>
  <c r="R38" i="11"/>
  <c r="O38" i="11"/>
  <c r="L38" i="11"/>
  <c r="I38" i="11"/>
  <c r="AV37" i="11"/>
  <c r="AS37" i="11"/>
  <c r="AW37" i="11" s="1"/>
  <c r="AP37" i="11"/>
  <c r="AM37" i="11"/>
  <c r="AJ37" i="11"/>
  <c r="AG37" i="11"/>
  <c r="AD37" i="11"/>
  <c r="AA37" i="11"/>
  <c r="X37" i="11"/>
  <c r="U37" i="11"/>
  <c r="R37" i="11"/>
  <c r="O37" i="11"/>
  <c r="L37" i="11"/>
  <c r="I37" i="11"/>
  <c r="AV36" i="11"/>
  <c r="AS36" i="11"/>
  <c r="AW36" i="11" s="1"/>
  <c r="AP36" i="11"/>
  <c r="AM36" i="11"/>
  <c r="AJ36" i="11"/>
  <c r="AG36" i="11"/>
  <c r="AD36" i="11"/>
  <c r="AA36" i="11"/>
  <c r="X36" i="11"/>
  <c r="U36" i="11"/>
  <c r="R36" i="11"/>
  <c r="O36" i="11"/>
  <c r="L36" i="11"/>
  <c r="I36" i="11"/>
  <c r="AV35" i="11"/>
  <c r="AS35" i="11"/>
  <c r="AW35" i="11" s="1"/>
  <c r="AP35" i="11"/>
  <c r="AM35" i="11"/>
  <c r="AJ35" i="11"/>
  <c r="AG35" i="11"/>
  <c r="AD35" i="11"/>
  <c r="AA35" i="11"/>
  <c r="X35" i="11"/>
  <c r="U35" i="11"/>
  <c r="R35" i="11"/>
  <c r="O35" i="11"/>
  <c r="L35" i="11"/>
  <c r="I35" i="11"/>
  <c r="AV34" i="11"/>
  <c r="AS34" i="11"/>
  <c r="AW34" i="11" s="1"/>
  <c r="AP34" i="11"/>
  <c r="AM34" i="11"/>
  <c r="AJ34" i="11"/>
  <c r="AG34" i="11"/>
  <c r="AD34" i="11"/>
  <c r="AA34" i="11"/>
  <c r="X34" i="11"/>
  <c r="U34" i="11"/>
  <c r="R34" i="11"/>
  <c r="O34" i="11"/>
  <c r="L34" i="11"/>
  <c r="I34" i="11"/>
  <c r="AV33" i="11"/>
  <c r="AS33" i="11"/>
  <c r="AW33" i="11" s="1"/>
  <c r="AP33" i="11"/>
  <c r="AM33" i="11"/>
  <c r="AJ33" i="11"/>
  <c r="AG33" i="11"/>
  <c r="AD33" i="11"/>
  <c r="AA33" i="11"/>
  <c r="X33" i="11"/>
  <c r="U33" i="11"/>
  <c r="R33" i="11"/>
  <c r="O33" i="11"/>
  <c r="L33" i="11"/>
  <c r="I33" i="11"/>
  <c r="AV32" i="11"/>
  <c r="AS32" i="11"/>
  <c r="AW32" i="11" s="1"/>
  <c r="AP32" i="11"/>
  <c r="AM32" i="11"/>
  <c r="AJ32" i="11"/>
  <c r="AG32" i="11"/>
  <c r="AD32" i="11"/>
  <c r="AA32" i="11"/>
  <c r="X32" i="11"/>
  <c r="U32" i="11"/>
  <c r="R32" i="11"/>
  <c r="O32" i="11"/>
  <c r="L32" i="11"/>
  <c r="I32" i="11"/>
  <c r="AV31" i="11"/>
  <c r="AS31" i="11"/>
  <c r="AW31" i="11" s="1"/>
  <c r="AP31" i="11"/>
  <c r="AM31" i="11"/>
  <c r="AJ31" i="11"/>
  <c r="AG31" i="11"/>
  <c r="AD31" i="11"/>
  <c r="AA31" i="11"/>
  <c r="X31" i="11"/>
  <c r="U31" i="11"/>
  <c r="R31" i="11"/>
  <c r="O31" i="11"/>
  <c r="L31" i="11"/>
  <c r="I31" i="11"/>
  <c r="AV30" i="11"/>
  <c r="AS30" i="11"/>
  <c r="AW30" i="11" s="1"/>
  <c r="AP30" i="11"/>
  <c r="AM30" i="11"/>
  <c r="AJ30" i="11"/>
  <c r="AG30" i="11"/>
  <c r="AD30" i="11"/>
  <c r="AA30" i="11"/>
  <c r="X30" i="11"/>
  <c r="U30" i="11"/>
  <c r="R30" i="11"/>
  <c r="O30" i="11"/>
  <c r="L30" i="11"/>
  <c r="I30" i="11"/>
  <c r="AV29" i="11"/>
  <c r="AS29" i="11"/>
  <c r="AW29" i="11" s="1"/>
  <c r="AP29" i="11"/>
  <c r="AM29" i="11"/>
  <c r="AJ29" i="11"/>
  <c r="AG29" i="11"/>
  <c r="AD29" i="11"/>
  <c r="AA29" i="11"/>
  <c r="X29" i="11"/>
  <c r="U29" i="11"/>
  <c r="R29" i="11"/>
  <c r="O29" i="11"/>
  <c r="L29" i="11"/>
  <c r="I29" i="11"/>
  <c r="AV28" i="11"/>
  <c r="AS28" i="11"/>
  <c r="AW28" i="11" s="1"/>
  <c r="AP28" i="11"/>
  <c r="AM28" i="11"/>
  <c r="AJ28" i="11"/>
  <c r="AG28" i="11"/>
  <c r="AD28" i="11"/>
  <c r="AA28" i="11"/>
  <c r="X28" i="11"/>
  <c r="U28" i="11"/>
  <c r="R28" i="11"/>
  <c r="O28" i="11"/>
  <c r="L28" i="11"/>
  <c r="I28" i="11"/>
  <c r="AV27" i="11"/>
  <c r="AS27" i="11"/>
  <c r="AW27" i="11" s="1"/>
  <c r="AP27" i="11"/>
  <c r="AM27" i="11"/>
  <c r="AJ27" i="11"/>
  <c r="AG27" i="11"/>
  <c r="AD27" i="11"/>
  <c r="AA27" i="11"/>
  <c r="X27" i="11"/>
  <c r="U27" i="11"/>
  <c r="R27" i="11"/>
  <c r="O27" i="11"/>
  <c r="L27" i="11"/>
  <c r="I27" i="11"/>
  <c r="AV26" i="11"/>
  <c r="AS26" i="11"/>
  <c r="AW26" i="11" s="1"/>
  <c r="AP26" i="11"/>
  <c r="AM26" i="11"/>
  <c r="AJ26" i="11"/>
  <c r="AG26" i="11"/>
  <c r="AD26" i="11"/>
  <c r="AA26" i="11"/>
  <c r="X26" i="11"/>
  <c r="U26" i="11"/>
  <c r="R26" i="11"/>
  <c r="O26" i="11"/>
  <c r="L26" i="11"/>
  <c r="I26" i="11"/>
  <c r="AV25" i="11"/>
  <c r="AS25" i="11"/>
  <c r="AW25" i="11" s="1"/>
  <c r="AP25" i="11"/>
  <c r="AM25" i="11"/>
  <c r="AJ25" i="11"/>
  <c r="AG25" i="11"/>
  <c r="AD25" i="11"/>
  <c r="AA25" i="11"/>
  <c r="X25" i="11"/>
  <c r="U25" i="11"/>
  <c r="R25" i="11"/>
  <c r="O25" i="11"/>
  <c r="L25" i="11"/>
  <c r="I25" i="11"/>
  <c r="AV24" i="11"/>
  <c r="AS24" i="11"/>
  <c r="AW24" i="11" s="1"/>
  <c r="AP24" i="11"/>
  <c r="AM24" i="11"/>
  <c r="AJ24" i="11"/>
  <c r="AG24" i="11"/>
  <c r="AD24" i="11"/>
  <c r="AA24" i="11"/>
  <c r="X24" i="11"/>
  <c r="U24" i="11"/>
  <c r="R24" i="11"/>
  <c r="O24" i="11"/>
  <c r="L24" i="11"/>
  <c r="I24" i="11"/>
  <c r="AV23" i="11"/>
  <c r="AS23" i="11"/>
  <c r="AW23" i="11" s="1"/>
  <c r="AP23" i="11"/>
  <c r="AM23" i="11"/>
  <c r="AJ23" i="11"/>
  <c r="AG23" i="11"/>
  <c r="AD23" i="11"/>
  <c r="AA23" i="11"/>
  <c r="X23" i="11"/>
  <c r="U23" i="11"/>
  <c r="R23" i="11"/>
  <c r="O23" i="11"/>
  <c r="L23" i="11"/>
  <c r="I23" i="11"/>
  <c r="AV22" i="11"/>
  <c r="AS22" i="11"/>
  <c r="AW22" i="11" s="1"/>
  <c r="AP22" i="11"/>
  <c r="AM22" i="11"/>
  <c r="AJ22" i="11"/>
  <c r="AG22" i="11"/>
  <c r="AD22" i="11"/>
  <c r="AA22" i="11"/>
  <c r="X22" i="11"/>
  <c r="U22" i="11"/>
  <c r="R22" i="11"/>
  <c r="O22" i="11"/>
  <c r="L22" i="11"/>
  <c r="I22" i="11"/>
  <c r="AV21" i="11"/>
  <c r="AS21" i="11"/>
  <c r="AW21" i="11" s="1"/>
  <c r="AP21" i="11"/>
  <c r="AM21" i="11"/>
  <c r="AJ21" i="11"/>
  <c r="AG21" i="11"/>
  <c r="AD21" i="11"/>
  <c r="AA21" i="11"/>
  <c r="X21" i="11"/>
  <c r="U21" i="11"/>
  <c r="R21" i="11"/>
  <c r="O21" i="11"/>
  <c r="L21" i="11"/>
  <c r="I21" i="11"/>
  <c r="AV20" i="11"/>
  <c r="AS20" i="11"/>
  <c r="AW20" i="11" s="1"/>
  <c r="AP20" i="11"/>
  <c r="AM20" i="11"/>
  <c r="AJ20" i="11"/>
  <c r="AG20" i="11"/>
  <c r="AD20" i="11"/>
  <c r="AA20" i="11"/>
  <c r="X20" i="11"/>
  <c r="U20" i="11"/>
  <c r="R20" i="11"/>
  <c r="O20" i="11"/>
  <c r="L20" i="11"/>
  <c r="I20" i="11"/>
  <c r="AV19" i="11"/>
  <c r="AS19" i="11"/>
  <c r="AW19" i="11" s="1"/>
  <c r="AP19" i="11"/>
  <c r="AM19" i="11"/>
  <c r="AJ19" i="11"/>
  <c r="AG19" i="11"/>
  <c r="AD19" i="11"/>
  <c r="AA19" i="11"/>
  <c r="X19" i="11"/>
  <c r="U19" i="11"/>
  <c r="R19" i="11"/>
  <c r="O19" i="11"/>
  <c r="L19" i="11"/>
  <c r="I19" i="11"/>
  <c r="AV18" i="11"/>
  <c r="AS18" i="11"/>
  <c r="AW18" i="11" s="1"/>
  <c r="AP18" i="11"/>
  <c r="AM18" i="11"/>
  <c r="AJ18" i="11"/>
  <c r="AG18" i="11"/>
  <c r="AD18" i="11"/>
  <c r="AA18" i="11"/>
  <c r="X18" i="11"/>
  <c r="U18" i="11"/>
  <c r="R18" i="11"/>
  <c r="O18" i="11"/>
  <c r="L18" i="11"/>
  <c r="I18" i="11"/>
  <c r="AV17" i="11"/>
  <c r="AS17" i="11"/>
  <c r="AW17" i="11" s="1"/>
  <c r="AP17" i="11"/>
  <c r="AM17" i="11"/>
  <c r="AJ17" i="11"/>
  <c r="AG17" i="11"/>
  <c r="AD17" i="11"/>
  <c r="AA17" i="11"/>
  <c r="X17" i="11"/>
  <c r="U17" i="11"/>
  <c r="R17" i="11"/>
  <c r="O17" i="11"/>
  <c r="L17" i="11"/>
  <c r="I17" i="11"/>
  <c r="AV16" i="11"/>
  <c r="AS16" i="11"/>
  <c r="AW16" i="11" s="1"/>
  <c r="AP16" i="11"/>
  <c r="AM16" i="11"/>
  <c r="AJ16" i="11"/>
  <c r="AG16" i="11"/>
  <c r="AD16" i="11"/>
  <c r="AA16" i="11"/>
  <c r="X16" i="11"/>
  <c r="U16" i="11"/>
  <c r="R16" i="11"/>
  <c r="O16" i="11"/>
  <c r="L16" i="11"/>
  <c r="I16" i="11"/>
  <c r="AV15" i="11"/>
  <c r="AS15" i="11"/>
  <c r="AW15" i="11" s="1"/>
  <c r="AP15" i="11"/>
  <c r="AM15" i="11"/>
  <c r="AJ15" i="11"/>
  <c r="AG15" i="11"/>
  <c r="AD15" i="11"/>
  <c r="AA15" i="11"/>
  <c r="X15" i="11"/>
  <c r="U15" i="11"/>
  <c r="R15" i="11"/>
  <c r="O15" i="11"/>
  <c r="L15" i="11"/>
  <c r="I15" i="11"/>
  <c r="AV14" i="11"/>
  <c r="AS14" i="11"/>
  <c r="AW14" i="11" s="1"/>
  <c r="AP14" i="11"/>
  <c r="AM14" i="11"/>
  <c r="AJ14" i="11"/>
  <c r="AG14" i="11"/>
  <c r="AD14" i="11"/>
  <c r="AA14" i="11"/>
  <c r="X14" i="11"/>
  <c r="U14" i="11"/>
  <c r="R14" i="11"/>
  <c r="O14" i="11"/>
  <c r="L14" i="11"/>
  <c r="I14" i="11"/>
  <c r="AV13" i="11"/>
  <c r="AS13" i="11"/>
  <c r="AW13" i="11" s="1"/>
  <c r="AP13" i="11"/>
  <c r="AM13" i="11"/>
  <c r="AJ13" i="11"/>
  <c r="AG13" i="11"/>
  <c r="AD13" i="11"/>
  <c r="AA13" i="11"/>
  <c r="X13" i="11"/>
  <c r="U13" i="11"/>
  <c r="R13" i="11"/>
  <c r="O13" i="11"/>
  <c r="L13" i="11"/>
  <c r="I13" i="11"/>
  <c r="AV12" i="11"/>
  <c r="AS12" i="11"/>
  <c r="AW12" i="11" s="1"/>
  <c r="AP12" i="11"/>
  <c r="AM12" i="11"/>
  <c r="AJ12" i="11"/>
  <c r="AG12" i="11"/>
  <c r="AD12" i="11"/>
  <c r="AA12" i="11"/>
  <c r="X12" i="11"/>
  <c r="U12" i="11"/>
  <c r="R12" i="11"/>
  <c r="O12" i="11"/>
  <c r="L12" i="11"/>
  <c r="I12" i="11"/>
  <c r="AV11" i="11"/>
  <c r="AS11" i="11"/>
  <c r="AW11" i="11" s="1"/>
  <c r="AP11" i="11"/>
  <c r="AM11" i="11"/>
  <c r="AJ11" i="11"/>
  <c r="AG11" i="11"/>
  <c r="AD11" i="11"/>
  <c r="AA11" i="11"/>
  <c r="X11" i="11"/>
  <c r="U11" i="11"/>
  <c r="R11" i="11"/>
  <c r="O11" i="11"/>
  <c r="L11" i="11"/>
  <c r="I11" i="11"/>
  <c r="AV10" i="11"/>
  <c r="AS10" i="11"/>
  <c r="AW10" i="11" s="1"/>
  <c r="AP10" i="11"/>
  <c r="AM10" i="11"/>
  <c r="AJ10" i="11"/>
  <c r="AG10" i="11"/>
  <c r="AD10" i="11"/>
  <c r="AA10" i="11"/>
  <c r="X10" i="11"/>
  <c r="U10" i="11"/>
  <c r="R10" i="11"/>
  <c r="O10" i="11"/>
  <c r="L10" i="11"/>
  <c r="I10" i="11"/>
  <c r="AV9" i="11"/>
  <c r="AS9" i="11"/>
  <c r="AW9" i="11" s="1"/>
  <c r="AP9" i="11"/>
  <c r="AM9" i="11"/>
  <c r="AJ9" i="11"/>
  <c r="AG9" i="11"/>
  <c r="AD9" i="11"/>
  <c r="AA9" i="11"/>
  <c r="X9" i="11"/>
  <c r="U9" i="11"/>
  <c r="R9" i="11"/>
  <c r="O9" i="11"/>
  <c r="L9" i="11"/>
  <c r="I9" i="11"/>
  <c r="AV8" i="11"/>
  <c r="AS8" i="11"/>
  <c r="AW8" i="11" s="1"/>
  <c r="AP8" i="11"/>
  <c r="AM8" i="11"/>
  <c r="AJ8" i="11"/>
  <c r="AG8" i="11"/>
  <c r="AD8" i="11"/>
  <c r="AA8" i="11"/>
  <c r="X8" i="11"/>
  <c r="U8" i="11"/>
  <c r="R8" i="11"/>
  <c r="O8" i="11"/>
  <c r="L8" i="11"/>
  <c r="I8" i="11"/>
  <c r="AV7" i="11"/>
  <c r="AS7" i="11"/>
  <c r="AW7" i="11" s="1"/>
  <c r="AP7" i="11"/>
  <c r="AM7" i="11"/>
  <c r="AJ7" i="11"/>
  <c r="AG7" i="11"/>
  <c r="AD7" i="11"/>
  <c r="AA7" i="11"/>
  <c r="X7" i="11"/>
  <c r="U7" i="11"/>
  <c r="R7" i="11"/>
  <c r="O7" i="11"/>
  <c r="L7" i="11"/>
  <c r="I7" i="11"/>
  <c r="AV6" i="11"/>
  <c r="AS6" i="11"/>
  <c r="AW6" i="11" s="1"/>
  <c r="AP6" i="11"/>
  <c r="AM6" i="11"/>
  <c r="AJ6" i="11"/>
  <c r="AG6" i="11"/>
  <c r="AD6" i="11"/>
  <c r="AA6" i="11"/>
  <c r="X6" i="11"/>
  <c r="U6" i="11"/>
  <c r="R6" i="11"/>
  <c r="O6" i="11"/>
  <c r="L6" i="11"/>
  <c r="I6" i="11"/>
  <c r="AV5" i="11"/>
  <c r="AS5" i="11"/>
  <c r="AW5" i="11" s="1"/>
  <c r="AP5" i="11"/>
  <c r="AM5" i="11"/>
  <c r="AJ5" i="11"/>
  <c r="AG5" i="11"/>
  <c r="AD5" i="11"/>
  <c r="AA5" i="11"/>
  <c r="X5" i="11"/>
  <c r="U5" i="11"/>
  <c r="R5" i="11"/>
  <c r="O5" i="11"/>
  <c r="L5" i="11"/>
  <c r="I5" i="11"/>
  <c r="AV4" i="11"/>
  <c r="AS4" i="11"/>
  <c r="AW4" i="11" s="1"/>
  <c r="AP4" i="11"/>
  <c r="AM4" i="11"/>
  <c r="AJ4" i="11"/>
  <c r="AG4" i="11"/>
  <c r="AD4" i="11"/>
  <c r="AA4" i="11"/>
  <c r="X4" i="11"/>
  <c r="U4" i="11"/>
  <c r="R4" i="11"/>
  <c r="O4" i="11"/>
  <c r="L4" i="11"/>
  <c r="I4" i="11"/>
  <c r="AV3" i="11"/>
  <c r="AS3" i="11"/>
  <c r="AW3" i="11" s="1"/>
  <c r="AP3" i="11"/>
  <c r="AM3" i="11"/>
  <c r="AJ3" i="11"/>
  <c r="AG3" i="11"/>
  <c r="AD3" i="11"/>
  <c r="AA3" i="11"/>
  <c r="X3" i="11"/>
  <c r="U3" i="11"/>
  <c r="R3" i="11"/>
  <c r="O3" i="11"/>
  <c r="L3" i="11"/>
  <c r="I3" i="11"/>
  <c r="AW2" i="11"/>
  <c r="F217" i="10"/>
  <c r="F212" i="10"/>
  <c r="F207" i="10"/>
  <c r="F202" i="10"/>
  <c r="F197" i="10"/>
  <c r="F192" i="10"/>
  <c r="F187" i="10"/>
  <c r="F182" i="10"/>
  <c r="F177" i="10"/>
  <c r="F172" i="10"/>
  <c r="F167" i="10"/>
  <c r="F162" i="10"/>
  <c r="F157" i="10"/>
  <c r="F152" i="10"/>
  <c r="F147" i="10"/>
  <c r="F142" i="10"/>
  <c r="F137" i="10"/>
  <c r="F132" i="10"/>
  <c r="F127" i="10"/>
  <c r="F122" i="10"/>
  <c r="F117" i="10"/>
  <c r="F112" i="10"/>
  <c r="F107" i="10"/>
  <c r="F102" i="10"/>
  <c r="F97" i="10"/>
  <c r="F92" i="10"/>
  <c r="F87" i="10"/>
  <c r="F82" i="10"/>
  <c r="F77" i="10"/>
  <c r="F72" i="10"/>
  <c r="F67" i="10"/>
  <c r="F62" i="10"/>
  <c r="F57" i="10"/>
  <c r="F52" i="10"/>
  <c r="F47" i="10"/>
  <c r="F42" i="10"/>
  <c r="F37" i="10"/>
  <c r="F32" i="10"/>
  <c r="F27" i="10"/>
  <c r="F22" i="10"/>
  <c r="F17" i="10"/>
  <c r="F12" i="10"/>
  <c r="F7" i="10"/>
  <c r="F2" i="10"/>
  <c r="I227" i="9"/>
  <c r="Z222" i="9"/>
  <c r="S222" i="9"/>
  <c r="Z221" i="9"/>
  <c r="V221" i="9"/>
  <c r="Z220" i="9"/>
  <c r="V220" i="9"/>
  <c r="Z219" i="9"/>
  <c r="Z218" i="9"/>
  <c r="AA222" i="9" s="1"/>
  <c r="Z217" i="9"/>
  <c r="S217" i="9"/>
  <c r="Z216" i="9"/>
  <c r="Z215" i="9"/>
  <c r="Z214" i="9"/>
  <c r="Z213" i="9"/>
  <c r="AA217" i="9" s="1"/>
  <c r="Z212" i="9"/>
  <c r="S212" i="9"/>
  <c r="Z211" i="9"/>
  <c r="Z210" i="9"/>
  <c r="Z209" i="9"/>
  <c r="Z208" i="9"/>
  <c r="AA212" i="9" s="1"/>
  <c r="W207" i="9"/>
  <c r="Z207" i="9" s="1"/>
  <c r="V207" i="9"/>
  <c r="S207" i="9"/>
  <c r="Z206" i="9"/>
  <c r="Z205" i="9"/>
  <c r="Z204" i="9"/>
  <c r="Z203" i="9"/>
  <c r="AA207" i="9" s="1"/>
  <c r="Z202" i="9"/>
  <c r="S202" i="9"/>
  <c r="Z201" i="9"/>
  <c r="Z200" i="9"/>
  <c r="Z199" i="9"/>
  <c r="Z198" i="9"/>
  <c r="AA202" i="9" s="1"/>
  <c r="Z197" i="9"/>
  <c r="S197" i="9"/>
  <c r="Z196" i="9"/>
  <c r="Z195" i="9"/>
  <c r="Z194" i="9"/>
  <c r="Z193" i="9"/>
  <c r="AA197" i="9" s="1"/>
  <c r="Z192" i="9"/>
  <c r="S192" i="9"/>
  <c r="Z191" i="9"/>
  <c r="Z190" i="9"/>
  <c r="Z189" i="9"/>
  <c r="Z188" i="9"/>
  <c r="AA192" i="9" s="1"/>
  <c r="Z187" i="9"/>
  <c r="S187" i="9"/>
  <c r="Z186" i="9"/>
  <c r="Z185" i="9"/>
  <c r="Z184" i="9"/>
  <c r="Z183" i="9"/>
  <c r="AA187" i="9" s="1"/>
  <c r="Z182" i="9"/>
  <c r="S182" i="9"/>
  <c r="Z181" i="9"/>
  <c r="Z180" i="9"/>
  <c r="Z179" i="9"/>
  <c r="Z178" i="9"/>
  <c r="AA182" i="9" s="1"/>
  <c r="Z177" i="9"/>
  <c r="S177" i="9"/>
  <c r="Z176" i="9"/>
  <c r="Z175" i="9"/>
  <c r="Z174" i="9"/>
  <c r="Z173" i="9"/>
  <c r="AA177" i="9" s="1"/>
  <c r="Z172" i="9"/>
  <c r="S172" i="9"/>
  <c r="Z171" i="9"/>
  <c r="Z170" i="9"/>
  <c r="Z169" i="9"/>
  <c r="Z168" i="9"/>
  <c r="AA172" i="9" s="1"/>
  <c r="Z167" i="9"/>
  <c r="S167" i="9"/>
  <c r="Z166" i="9"/>
  <c r="Z165" i="9"/>
  <c r="Z164" i="9"/>
  <c r="Z163" i="9"/>
  <c r="AA167" i="9" s="1"/>
  <c r="Z162" i="9"/>
  <c r="R162" i="9"/>
  <c r="Z161" i="9"/>
  <c r="R161" i="9"/>
  <c r="Z160" i="9"/>
  <c r="R160" i="9"/>
  <c r="Z159" i="9"/>
  <c r="W159" i="9"/>
  <c r="R159" i="9"/>
  <c r="Z158" i="9"/>
  <c r="AA162" i="9" s="1"/>
  <c r="R158" i="9"/>
  <c r="Z157" i="9"/>
  <c r="R157" i="9"/>
  <c r="Z156" i="9"/>
  <c r="R156" i="9"/>
  <c r="Z155" i="9"/>
  <c r="R155" i="9"/>
  <c r="Z154" i="9"/>
  <c r="R154" i="9"/>
  <c r="Z153" i="9"/>
  <c r="AA157" i="9" s="1"/>
  <c r="R153" i="9"/>
  <c r="AA152" i="9"/>
  <c r="Z152" i="9"/>
  <c r="R152" i="9"/>
  <c r="Z151" i="9"/>
  <c r="R151" i="9"/>
  <c r="Z150" i="9"/>
  <c r="R150" i="9"/>
  <c r="Z149" i="9"/>
  <c r="R149" i="9"/>
  <c r="Z148" i="9"/>
  <c r="R148" i="9"/>
  <c r="Z147" i="9"/>
  <c r="R147" i="9"/>
  <c r="Z146" i="9"/>
  <c r="R146" i="9"/>
  <c r="Z145" i="9"/>
  <c r="Z144" i="9"/>
  <c r="R144" i="9"/>
  <c r="Z143" i="9"/>
  <c r="AA147" i="9" s="1"/>
  <c r="R143" i="9"/>
  <c r="Z142" i="9"/>
  <c r="W142" i="9"/>
  <c r="Q142" i="9"/>
  <c r="O142" i="9"/>
  <c r="N142" i="9"/>
  <c r="M142" i="9"/>
  <c r="L142" i="9"/>
  <c r="K142" i="9"/>
  <c r="H142" i="9"/>
  <c r="F142" i="9"/>
  <c r="R142" i="9" s="1"/>
  <c r="Z141" i="9"/>
  <c r="Q141" i="9"/>
  <c r="N141" i="9"/>
  <c r="K141" i="9"/>
  <c r="H141" i="9"/>
  <c r="R141" i="9" s="1"/>
  <c r="F141" i="9"/>
  <c r="Z140" i="9"/>
  <c r="Q140" i="9"/>
  <c r="O140" i="9"/>
  <c r="N140" i="9"/>
  <c r="K140" i="9"/>
  <c r="H140" i="9"/>
  <c r="R140" i="9" s="1"/>
  <c r="Z139" i="9"/>
  <c r="Q139" i="9"/>
  <c r="P139" i="9"/>
  <c r="O139" i="9"/>
  <c r="N139" i="9"/>
  <c r="M139" i="9"/>
  <c r="L139" i="9"/>
  <c r="K139" i="9"/>
  <c r="H139" i="9"/>
  <c r="R139" i="9" s="1"/>
  <c r="Z138" i="9"/>
  <c r="AA142" i="9" s="1"/>
  <c r="Q138" i="9"/>
  <c r="O138" i="9"/>
  <c r="N138" i="9"/>
  <c r="M138" i="9"/>
  <c r="L138" i="9"/>
  <c r="K138" i="9"/>
  <c r="H138" i="9"/>
  <c r="E138" i="9"/>
  <c r="R138" i="9" s="1"/>
  <c r="S138" i="9" s="1"/>
  <c r="Z137" i="9"/>
  <c r="O137" i="9"/>
  <c r="N137" i="9"/>
  <c r="K137" i="9"/>
  <c r="H137" i="9"/>
  <c r="R137" i="9" s="1"/>
  <c r="Z136" i="9"/>
  <c r="O136" i="9"/>
  <c r="N136" i="9"/>
  <c r="M136" i="9"/>
  <c r="K136" i="9"/>
  <c r="R136" i="9" s="1"/>
  <c r="H136" i="9"/>
  <c r="Z135" i="9"/>
  <c r="Q135" i="9"/>
  <c r="O135" i="9"/>
  <c r="N135" i="9"/>
  <c r="K135" i="9"/>
  <c r="H135" i="9"/>
  <c r="R135" i="9" s="1"/>
  <c r="Z134" i="9"/>
  <c r="Q134" i="9"/>
  <c r="O134" i="9"/>
  <c r="N134" i="9"/>
  <c r="M134" i="9"/>
  <c r="K134" i="9"/>
  <c r="H134" i="9"/>
  <c r="R134" i="9" s="1"/>
  <c r="E134" i="9"/>
  <c r="Z133" i="9"/>
  <c r="AA137" i="9" s="1"/>
  <c r="W133" i="9"/>
  <c r="N133" i="9"/>
  <c r="K133" i="9"/>
  <c r="H133" i="9"/>
  <c r="R133" i="9" s="1"/>
  <c r="S133" i="9" s="1"/>
  <c r="Z132" i="9"/>
  <c r="W132" i="9"/>
  <c r="Q132" i="9"/>
  <c r="O132" i="9"/>
  <c r="N132" i="9"/>
  <c r="M132" i="9"/>
  <c r="L132" i="9"/>
  <c r="K132" i="9"/>
  <c r="H132" i="9"/>
  <c r="E132" i="9"/>
  <c r="R132" i="9" s="1"/>
  <c r="W131" i="9"/>
  <c r="Z131" i="9" s="1"/>
  <c r="O131" i="9"/>
  <c r="N131" i="9"/>
  <c r="M131" i="9"/>
  <c r="K131" i="9"/>
  <c r="J131" i="9"/>
  <c r="H131" i="9"/>
  <c r="E131" i="9"/>
  <c r="R131" i="9" s="1"/>
  <c r="W130" i="9"/>
  <c r="Z130" i="9" s="1"/>
  <c r="Q130" i="9"/>
  <c r="O130" i="9"/>
  <c r="N130" i="9"/>
  <c r="L130" i="9"/>
  <c r="K130" i="9"/>
  <c r="H130" i="9"/>
  <c r="E130" i="9"/>
  <c r="R130" i="9" s="1"/>
  <c r="W129" i="9"/>
  <c r="Z129" i="9" s="1"/>
  <c r="Q129" i="9"/>
  <c r="P129" i="9"/>
  <c r="O129" i="9"/>
  <c r="N129" i="9"/>
  <c r="K129" i="9"/>
  <c r="H129" i="9"/>
  <c r="R129" i="9" s="1"/>
  <c r="Z128" i="9"/>
  <c r="AA132" i="9" s="1"/>
  <c r="W128" i="9"/>
  <c r="Q128" i="9"/>
  <c r="O128" i="9"/>
  <c r="N128" i="9"/>
  <c r="M128" i="9"/>
  <c r="K128" i="9"/>
  <c r="H128" i="9"/>
  <c r="R128" i="9" s="1"/>
  <c r="Z127" i="9"/>
  <c r="Q127" i="9"/>
  <c r="O127" i="9"/>
  <c r="N127" i="9"/>
  <c r="L127" i="9"/>
  <c r="K127" i="9"/>
  <c r="H127" i="9"/>
  <c r="R127" i="9" s="1"/>
  <c r="Z126" i="9"/>
  <c r="O126" i="9"/>
  <c r="N126" i="9"/>
  <c r="M126" i="9"/>
  <c r="K126" i="9"/>
  <c r="R126" i="9" s="1"/>
  <c r="H126" i="9"/>
  <c r="Z125" i="9"/>
  <c r="O125" i="9"/>
  <c r="N125" i="9"/>
  <c r="M125" i="9"/>
  <c r="K125" i="9"/>
  <c r="H125" i="9"/>
  <c r="R125" i="9" s="1"/>
  <c r="Z124" i="9"/>
  <c r="O124" i="9"/>
  <c r="N124" i="9"/>
  <c r="M124" i="9"/>
  <c r="L124" i="9"/>
  <c r="K124" i="9"/>
  <c r="J124" i="9"/>
  <c r="R124" i="9" s="1"/>
  <c r="H124" i="9"/>
  <c r="Y123" i="9"/>
  <c r="W123" i="9"/>
  <c r="Z123" i="9" s="1"/>
  <c r="AA127" i="9" s="1"/>
  <c r="O123" i="9"/>
  <c r="N123" i="9"/>
  <c r="M123" i="9"/>
  <c r="K123" i="9"/>
  <c r="J123" i="9"/>
  <c r="H123" i="9"/>
  <c r="R123" i="9" s="1"/>
  <c r="S123" i="9" s="1"/>
  <c r="X122" i="9"/>
  <c r="W122" i="9"/>
  <c r="Z122" i="9" s="1"/>
  <c r="V122" i="9"/>
  <c r="R122" i="9"/>
  <c r="W121" i="9"/>
  <c r="Z121" i="9" s="1"/>
  <c r="V121" i="9"/>
  <c r="R121" i="9"/>
  <c r="Z120" i="9"/>
  <c r="Y120" i="9"/>
  <c r="Q120" i="9"/>
  <c r="M120" i="9"/>
  <c r="K120" i="9"/>
  <c r="H120" i="9"/>
  <c r="E120" i="9"/>
  <c r="R120" i="9" s="1"/>
  <c r="Y119" i="9"/>
  <c r="W119" i="9"/>
  <c r="Z119" i="9" s="1"/>
  <c r="R119" i="9"/>
  <c r="Y118" i="9"/>
  <c r="W118" i="9"/>
  <c r="Z118" i="9" s="1"/>
  <c r="Q118" i="9"/>
  <c r="K118" i="9"/>
  <c r="H118" i="9"/>
  <c r="E118" i="9"/>
  <c r="R118" i="9" s="1"/>
  <c r="Y117" i="9"/>
  <c r="W117" i="9"/>
  <c r="Z117" i="9" s="1"/>
  <c r="V117" i="9"/>
  <c r="O117" i="9"/>
  <c r="N117" i="9"/>
  <c r="M117" i="9"/>
  <c r="K117" i="9"/>
  <c r="J117" i="9"/>
  <c r="H117" i="9"/>
  <c r="R117" i="9" s="1"/>
  <c r="E117" i="9"/>
  <c r="Z116" i="9"/>
  <c r="W116" i="9"/>
  <c r="O116" i="9"/>
  <c r="N116" i="9"/>
  <c r="M116" i="9"/>
  <c r="K116" i="9"/>
  <c r="J116" i="9"/>
  <c r="H116" i="9"/>
  <c r="R116" i="9" s="1"/>
  <c r="E116" i="9"/>
  <c r="Z115" i="9"/>
  <c r="W115" i="9"/>
  <c r="O115" i="9"/>
  <c r="N115" i="9"/>
  <c r="M115" i="9"/>
  <c r="K115" i="9"/>
  <c r="J115" i="9"/>
  <c r="H115" i="9"/>
  <c r="R115" i="9" s="1"/>
  <c r="E115" i="9"/>
  <c r="Y114" i="9"/>
  <c r="W114" i="9"/>
  <c r="Z114" i="9" s="1"/>
  <c r="O114" i="9"/>
  <c r="N114" i="9"/>
  <c r="M114" i="9"/>
  <c r="K114" i="9"/>
  <c r="J114" i="9"/>
  <c r="H114" i="9"/>
  <c r="E114" i="9"/>
  <c r="R114" i="9" s="1"/>
  <c r="Z113" i="9"/>
  <c r="AA117" i="9" s="1"/>
  <c r="Q113" i="9"/>
  <c r="O113" i="9"/>
  <c r="N113" i="9"/>
  <c r="M113" i="9"/>
  <c r="K113" i="9"/>
  <c r="J113" i="9"/>
  <c r="H113" i="9"/>
  <c r="E113" i="9"/>
  <c r="R113" i="9" s="1"/>
  <c r="Z112" i="9"/>
  <c r="W112" i="9"/>
  <c r="Q112" i="9"/>
  <c r="O112" i="9"/>
  <c r="N112" i="9"/>
  <c r="M112" i="9"/>
  <c r="K112" i="9"/>
  <c r="H112" i="9"/>
  <c r="R112" i="9" s="1"/>
  <c r="E112" i="9"/>
  <c r="Z111" i="9"/>
  <c r="W111" i="9"/>
  <c r="O111" i="9"/>
  <c r="N111" i="9"/>
  <c r="K111" i="9"/>
  <c r="H111" i="9"/>
  <c r="R111" i="9" s="1"/>
  <c r="E111" i="9"/>
  <c r="Z110" i="9"/>
  <c r="W110" i="9"/>
  <c r="R110" i="9"/>
  <c r="W109" i="9"/>
  <c r="Z109" i="9" s="1"/>
  <c r="R109" i="9"/>
  <c r="W108" i="9"/>
  <c r="V108" i="9"/>
  <c r="Z108" i="9" s="1"/>
  <c r="AA112" i="9" s="1"/>
  <c r="Q108" i="9"/>
  <c r="O108" i="9"/>
  <c r="N108" i="9"/>
  <c r="M108" i="9"/>
  <c r="K108" i="9"/>
  <c r="H108" i="9"/>
  <c r="E108" i="9"/>
  <c r="R108" i="9" s="1"/>
  <c r="Z107" i="9"/>
  <c r="O107" i="9"/>
  <c r="N107" i="9"/>
  <c r="M107" i="9"/>
  <c r="K107" i="9"/>
  <c r="H107" i="9"/>
  <c r="E107" i="9"/>
  <c r="R107" i="9" s="1"/>
  <c r="Z106" i="9"/>
  <c r="W106" i="9"/>
  <c r="Q106" i="9"/>
  <c r="N106" i="9"/>
  <c r="K106" i="9"/>
  <c r="H106" i="9"/>
  <c r="R106" i="9" s="1"/>
  <c r="Z105" i="9"/>
  <c r="Q105" i="9"/>
  <c r="O105" i="9"/>
  <c r="N105" i="9"/>
  <c r="K105" i="9"/>
  <c r="H105" i="9"/>
  <c r="F105" i="9"/>
  <c r="R105" i="9" s="1"/>
  <c r="E105" i="9"/>
  <c r="W104" i="9"/>
  <c r="V104" i="9"/>
  <c r="Z104" i="9" s="1"/>
  <c r="R104" i="9"/>
  <c r="Z103" i="9"/>
  <c r="AA107" i="9" s="1"/>
  <c r="R103" i="9"/>
  <c r="AA102" i="9"/>
  <c r="Z102" i="9"/>
  <c r="R102" i="9"/>
  <c r="Z101" i="9"/>
  <c r="R101" i="9"/>
  <c r="Z100" i="9"/>
  <c r="R100" i="9"/>
  <c r="Z99" i="9"/>
  <c r="R99" i="9"/>
  <c r="Z98" i="9"/>
  <c r="R98" i="9"/>
  <c r="Z97" i="9"/>
  <c r="W97" i="9"/>
  <c r="R97" i="9"/>
  <c r="W96" i="9"/>
  <c r="Z96" i="9" s="1"/>
  <c r="R96" i="9"/>
  <c r="Z95" i="9"/>
  <c r="R95" i="9"/>
  <c r="Z94" i="9"/>
  <c r="R94" i="9"/>
  <c r="Z93" i="9"/>
  <c r="AA97" i="9" s="1"/>
  <c r="R93" i="9"/>
  <c r="Z92" i="9"/>
  <c r="R92" i="9"/>
  <c r="W91" i="9"/>
  <c r="Z91" i="9" s="1"/>
  <c r="R91" i="9"/>
  <c r="Z90" i="9"/>
  <c r="R90" i="9"/>
  <c r="Z89" i="9"/>
  <c r="W89" i="9"/>
  <c r="R89" i="9"/>
  <c r="W88" i="9"/>
  <c r="Z88" i="9" s="1"/>
  <c r="R88" i="9"/>
  <c r="Z87" i="9"/>
  <c r="R87" i="9"/>
  <c r="V86" i="9"/>
  <c r="Z86" i="9" s="1"/>
  <c r="R86" i="9"/>
  <c r="Z85" i="9"/>
  <c r="R85" i="9"/>
  <c r="Z84" i="9"/>
  <c r="V84" i="9"/>
  <c r="R84" i="9"/>
  <c r="W83" i="9"/>
  <c r="Z83" i="9" s="1"/>
  <c r="AA87" i="9" s="1"/>
  <c r="R83" i="9"/>
  <c r="AA82" i="9"/>
  <c r="Y82" i="9"/>
  <c r="X82" i="9"/>
  <c r="Z82" i="9" s="1"/>
  <c r="R82" i="9"/>
  <c r="Y81" i="9"/>
  <c r="X81" i="9"/>
  <c r="Z81" i="9" s="1"/>
  <c r="R81" i="9"/>
  <c r="X80" i="9"/>
  <c r="Z80" i="9" s="1"/>
  <c r="R80" i="9"/>
  <c r="Q80" i="9"/>
  <c r="X79" i="9"/>
  <c r="Z79" i="9" s="1"/>
  <c r="Q79" i="9"/>
  <c r="O79" i="9"/>
  <c r="N79" i="9"/>
  <c r="M79" i="9"/>
  <c r="J79" i="9"/>
  <c r="H79" i="9"/>
  <c r="R79" i="9" s="1"/>
  <c r="Z78" i="9"/>
  <c r="Y78" i="9"/>
  <c r="R78" i="9"/>
  <c r="Z77" i="9"/>
  <c r="R77" i="9"/>
  <c r="Y76" i="9"/>
  <c r="X76" i="9"/>
  <c r="Z76" i="9" s="1"/>
  <c r="R76" i="9"/>
  <c r="Z75" i="9"/>
  <c r="Y75" i="9"/>
  <c r="R75" i="9"/>
  <c r="Y74" i="9"/>
  <c r="X74" i="9"/>
  <c r="Z74" i="9" s="1"/>
  <c r="R74" i="9"/>
  <c r="Z73" i="9"/>
  <c r="AA77" i="9" s="1"/>
  <c r="R73" i="9"/>
  <c r="Z72" i="9"/>
  <c r="R72" i="9"/>
  <c r="Y71" i="9"/>
  <c r="X71" i="9"/>
  <c r="Z71" i="9" s="1"/>
  <c r="R71" i="9"/>
  <c r="Y70" i="9"/>
  <c r="X70" i="9"/>
  <c r="Z70" i="9" s="1"/>
  <c r="W70" i="9"/>
  <c r="R70" i="9"/>
  <c r="X69" i="9"/>
  <c r="Z69" i="9" s="1"/>
  <c r="Q69" i="9"/>
  <c r="O69" i="9"/>
  <c r="N69" i="9"/>
  <c r="M69" i="9"/>
  <c r="K69" i="9"/>
  <c r="J69" i="9"/>
  <c r="I69" i="9"/>
  <c r="H69" i="9"/>
  <c r="R69" i="9" s="1"/>
  <c r="Z68" i="9"/>
  <c r="Y68" i="9"/>
  <c r="R68" i="9"/>
  <c r="Y67" i="9"/>
  <c r="X67" i="9"/>
  <c r="Z67" i="9" s="1"/>
  <c r="R67" i="9"/>
  <c r="Z66" i="9"/>
  <c r="X66" i="9"/>
  <c r="R66" i="9"/>
  <c r="Y65" i="9"/>
  <c r="X65" i="9"/>
  <c r="Z65" i="9" s="1"/>
  <c r="R65" i="9"/>
  <c r="Y64" i="9"/>
  <c r="X64" i="9"/>
  <c r="Z64" i="9" s="1"/>
  <c r="R64" i="9"/>
  <c r="Y63" i="9"/>
  <c r="X63" i="9"/>
  <c r="Z63" i="9" s="1"/>
  <c r="R63" i="9"/>
  <c r="Z62" i="9"/>
  <c r="Q62" i="9"/>
  <c r="N62" i="9"/>
  <c r="M62" i="9"/>
  <c r="J62" i="9"/>
  <c r="I62" i="9"/>
  <c r="H62" i="9"/>
  <c r="R62" i="9" s="1"/>
  <c r="Z61" i="9"/>
  <c r="Q61" i="9"/>
  <c r="O61" i="9"/>
  <c r="N61" i="9"/>
  <c r="M61" i="9"/>
  <c r="J61" i="9"/>
  <c r="I61" i="9"/>
  <c r="H61" i="9"/>
  <c r="G61" i="9"/>
  <c r="R61" i="9" s="1"/>
  <c r="Z60" i="9"/>
  <c r="Q60" i="9"/>
  <c r="O60" i="9"/>
  <c r="N60" i="9"/>
  <c r="M60" i="9"/>
  <c r="I60" i="9"/>
  <c r="H60" i="9"/>
  <c r="G60" i="9"/>
  <c r="F60" i="9"/>
  <c r="R60" i="9" s="1"/>
  <c r="Z59" i="9"/>
  <c r="Q59" i="9"/>
  <c r="O59" i="9"/>
  <c r="N59" i="9"/>
  <c r="M59" i="9"/>
  <c r="J59" i="9"/>
  <c r="I59" i="9"/>
  <c r="H59" i="9"/>
  <c r="R59" i="9" s="1"/>
  <c r="Z58" i="9"/>
  <c r="AA62" i="9" s="1"/>
  <c r="Q58" i="9"/>
  <c r="O58" i="9"/>
  <c r="N58" i="9"/>
  <c r="M58" i="9"/>
  <c r="J58" i="9"/>
  <c r="I58" i="9"/>
  <c r="H58" i="9"/>
  <c r="F58" i="9"/>
  <c r="R58" i="9" s="1"/>
  <c r="E58" i="9"/>
  <c r="AA57" i="9"/>
  <c r="Z57" i="9"/>
  <c r="N57" i="9"/>
  <c r="M57" i="9"/>
  <c r="L57" i="9"/>
  <c r="J57" i="9"/>
  <c r="I57" i="9"/>
  <c r="H57" i="9"/>
  <c r="F57" i="9"/>
  <c r="E57" i="9"/>
  <c r="R57" i="9" s="1"/>
  <c r="Z56" i="9"/>
  <c r="Q56" i="9"/>
  <c r="O56" i="9"/>
  <c r="N56" i="9"/>
  <c r="M56" i="9"/>
  <c r="K56" i="9"/>
  <c r="J56" i="9"/>
  <c r="H56" i="9"/>
  <c r="G56" i="9"/>
  <c r="F56" i="9"/>
  <c r="E56" i="9"/>
  <c r="R56" i="9" s="1"/>
  <c r="Z55" i="9"/>
  <c r="Q55" i="9"/>
  <c r="O55" i="9"/>
  <c r="N55" i="9"/>
  <c r="M55" i="9"/>
  <c r="K55" i="9"/>
  <c r="J55" i="9"/>
  <c r="H55" i="9"/>
  <c r="G55" i="9"/>
  <c r="F55" i="9"/>
  <c r="E55" i="9"/>
  <c r="R55" i="9" s="1"/>
  <c r="Z54" i="9"/>
  <c r="Q54" i="9"/>
  <c r="O54" i="9"/>
  <c r="N54" i="9"/>
  <c r="M54" i="9"/>
  <c r="K54" i="9"/>
  <c r="J54" i="9"/>
  <c r="I54" i="9"/>
  <c r="H54" i="9"/>
  <c r="F54" i="9"/>
  <c r="E54" i="9"/>
  <c r="R54" i="9" s="1"/>
  <c r="Z53" i="9"/>
  <c r="Q53" i="9"/>
  <c r="O53" i="9"/>
  <c r="N53" i="9"/>
  <c r="M53" i="9"/>
  <c r="L53" i="9"/>
  <c r="K53" i="9"/>
  <c r="J53" i="9"/>
  <c r="H53" i="9"/>
  <c r="G53" i="9"/>
  <c r="F53" i="9"/>
  <c r="R53" i="9" s="1"/>
  <c r="E53" i="9"/>
  <c r="Z52" i="9"/>
  <c r="Q52" i="9"/>
  <c r="O52" i="9"/>
  <c r="N52" i="9"/>
  <c r="M52" i="9"/>
  <c r="K52" i="9"/>
  <c r="J52" i="9"/>
  <c r="H52" i="9"/>
  <c r="F52" i="9"/>
  <c r="E52" i="9"/>
  <c r="R52" i="9" s="1"/>
  <c r="Z51" i="9"/>
  <c r="Q51" i="9"/>
  <c r="O51" i="9"/>
  <c r="N51" i="9"/>
  <c r="J51" i="9"/>
  <c r="H51" i="9"/>
  <c r="F51" i="9"/>
  <c r="R51" i="9" s="1"/>
  <c r="Z50" i="9"/>
  <c r="Q50" i="9"/>
  <c r="O50" i="9"/>
  <c r="N50" i="9"/>
  <c r="M50" i="9"/>
  <c r="K50" i="9"/>
  <c r="J50" i="9"/>
  <c r="H50" i="9"/>
  <c r="F50" i="9"/>
  <c r="R50" i="9" s="1"/>
  <c r="Z49" i="9"/>
  <c r="Q49" i="9"/>
  <c r="O49" i="9"/>
  <c r="N49" i="9"/>
  <c r="M49" i="9"/>
  <c r="J49" i="9"/>
  <c r="H49" i="9"/>
  <c r="F49" i="9"/>
  <c r="E49" i="9"/>
  <c r="R49" i="9" s="1"/>
  <c r="Z48" i="9"/>
  <c r="AA52" i="9" s="1"/>
  <c r="Q48" i="9"/>
  <c r="O48" i="9"/>
  <c r="N48" i="9"/>
  <c r="M48" i="9"/>
  <c r="L48" i="9"/>
  <c r="J48" i="9"/>
  <c r="H48" i="9"/>
  <c r="F48" i="9"/>
  <c r="R48" i="9" s="1"/>
  <c r="Z47" i="9"/>
  <c r="O47" i="9"/>
  <c r="N47" i="9"/>
  <c r="M47" i="9"/>
  <c r="J47" i="9"/>
  <c r="I47" i="9"/>
  <c r="H47" i="9"/>
  <c r="F47" i="9"/>
  <c r="E47" i="9"/>
  <c r="R47" i="9" s="1"/>
  <c r="Z46" i="9"/>
  <c r="Q46" i="9"/>
  <c r="O46" i="9"/>
  <c r="N46" i="9"/>
  <c r="M46" i="9"/>
  <c r="K46" i="9"/>
  <c r="J46" i="9"/>
  <c r="I46" i="9"/>
  <c r="H46" i="9"/>
  <c r="F46" i="9"/>
  <c r="E46" i="9"/>
  <c r="R46" i="9" s="1"/>
  <c r="Z45" i="9"/>
  <c r="Q45" i="9"/>
  <c r="O45" i="9"/>
  <c r="N45" i="9"/>
  <c r="M45" i="9"/>
  <c r="J45" i="9"/>
  <c r="H45" i="9"/>
  <c r="F45" i="9"/>
  <c r="E45" i="9"/>
  <c r="R45" i="9" s="1"/>
  <c r="Z44" i="9"/>
  <c r="Q44" i="9"/>
  <c r="O44" i="9"/>
  <c r="N44" i="9"/>
  <c r="M44" i="9"/>
  <c r="L44" i="9"/>
  <c r="J44" i="9"/>
  <c r="I44" i="9"/>
  <c r="H44" i="9"/>
  <c r="F44" i="9"/>
  <c r="E44" i="9"/>
  <c r="R44" i="9" s="1"/>
  <c r="Z43" i="9"/>
  <c r="AA47" i="9" s="1"/>
  <c r="R43" i="9"/>
  <c r="Z42" i="9"/>
  <c r="O42" i="9"/>
  <c r="N42" i="9"/>
  <c r="M42" i="9"/>
  <c r="L42" i="9"/>
  <c r="K42" i="9"/>
  <c r="J42" i="9"/>
  <c r="I42" i="9"/>
  <c r="H42" i="9"/>
  <c r="R42" i="9" s="1"/>
  <c r="F42" i="9"/>
  <c r="Z41" i="9"/>
  <c r="Z40" i="9"/>
  <c r="Q40" i="9"/>
  <c r="O40" i="9"/>
  <c r="N40" i="9"/>
  <c r="M40" i="9"/>
  <c r="L40" i="9"/>
  <c r="J40" i="9"/>
  <c r="I40" i="9"/>
  <c r="H40" i="9"/>
  <c r="R40" i="9" s="1"/>
  <c r="F40" i="9"/>
  <c r="Z39" i="9"/>
  <c r="AA42" i="9" s="1"/>
  <c r="Z38" i="9"/>
  <c r="Q38" i="9"/>
  <c r="M38" i="9"/>
  <c r="L38" i="9"/>
  <c r="J38" i="9"/>
  <c r="I38" i="9"/>
  <c r="H38" i="9"/>
  <c r="R38" i="9" s="1"/>
  <c r="Z37" i="9"/>
  <c r="R37" i="9"/>
  <c r="Z36" i="9"/>
  <c r="R36" i="9"/>
  <c r="Z35" i="9"/>
  <c r="R35" i="9"/>
  <c r="Z34" i="9"/>
  <c r="R34" i="9"/>
  <c r="E34" i="9"/>
  <c r="Z33" i="9"/>
  <c r="AA37" i="9" s="1"/>
  <c r="O33" i="9"/>
  <c r="N33" i="9"/>
  <c r="M33" i="9"/>
  <c r="J33" i="9"/>
  <c r="I33" i="9"/>
  <c r="H33" i="9"/>
  <c r="R33" i="9" s="1"/>
  <c r="S33" i="9" s="1"/>
  <c r="F33" i="9"/>
  <c r="AA32" i="9"/>
  <c r="Z32" i="9"/>
  <c r="R32" i="9"/>
  <c r="Z31" i="9"/>
  <c r="R31" i="9"/>
  <c r="Z30" i="9"/>
  <c r="R30" i="9"/>
  <c r="Z29" i="9"/>
  <c r="R29" i="9"/>
  <c r="Z28" i="9"/>
  <c r="S28" i="9"/>
  <c r="R28" i="9"/>
  <c r="AA27" i="9"/>
  <c r="Z27" i="9"/>
  <c r="R27" i="9"/>
  <c r="Z26" i="9"/>
  <c r="R26" i="9"/>
  <c r="Z25" i="9"/>
  <c r="R25" i="9"/>
  <c r="Z24" i="9"/>
  <c r="R24" i="9"/>
  <c r="Z23" i="9"/>
  <c r="S23" i="9"/>
  <c r="R23" i="9"/>
  <c r="Z22" i="9"/>
  <c r="R22" i="9"/>
  <c r="Z21" i="9"/>
  <c r="R21" i="9"/>
  <c r="O21" i="9"/>
  <c r="Z20" i="9"/>
  <c r="AA22" i="9" s="1"/>
  <c r="Z19" i="9"/>
  <c r="R19" i="9"/>
  <c r="Z18" i="9"/>
  <c r="O18" i="9"/>
  <c r="L18" i="9"/>
  <c r="R18" i="9" s="1"/>
  <c r="S18" i="9" s="1"/>
  <c r="Z17" i="9"/>
  <c r="R17" i="9"/>
  <c r="Z16" i="9"/>
  <c r="O16" i="9"/>
  <c r="L16" i="9"/>
  <c r="K16" i="9"/>
  <c r="J16" i="9"/>
  <c r="R16" i="9" s="1"/>
  <c r="E16" i="9"/>
  <c r="Z15" i="9"/>
  <c r="O15" i="9"/>
  <c r="J15" i="9"/>
  <c r="R15" i="9" s="1"/>
  <c r="Z14" i="9"/>
  <c r="AA17" i="9" s="1"/>
  <c r="O14" i="9"/>
  <c r="L14" i="9"/>
  <c r="K14" i="9"/>
  <c r="J14" i="9"/>
  <c r="E14" i="9"/>
  <c r="R14" i="9" s="1"/>
  <c r="Z13" i="9"/>
  <c r="Q13" i="9"/>
  <c r="O13" i="9"/>
  <c r="N13" i="9"/>
  <c r="M13" i="9"/>
  <c r="L13" i="9"/>
  <c r="K13" i="9"/>
  <c r="J13" i="9"/>
  <c r="I13" i="9"/>
  <c r="H13" i="9"/>
  <c r="R13" i="9" s="1"/>
  <c r="S13" i="9" s="1"/>
  <c r="Z12" i="9"/>
  <c r="R12" i="9"/>
  <c r="Z11" i="9"/>
  <c r="R11" i="9"/>
  <c r="Z10" i="9"/>
  <c r="R10" i="9"/>
  <c r="Q10" i="9"/>
  <c r="Z9" i="9"/>
  <c r="Q9" i="9"/>
  <c r="O9" i="9"/>
  <c r="J9" i="9"/>
  <c r="I9" i="9"/>
  <c r="R9" i="9" s="1"/>
  <c r="S8" i="9" s="1"/>
  <c r="Z8" i="9"/>
  <c r="AA12" i="9" s="1"/>
  <c r="R8" i="9"/>
  <c r="Z7" i="9"/>
  <c r="O7" i="9"/>
  <c r="N7" i="9"/>
  <c r="M7" i="9"/>
  <c r="L7" i="9"/>
  <c r="K7" i="9"/>
  <c r="J7" i="9"/>
  <c r="I7" i="9"/>
  <c r="H7" i="9"/>
  <c r="F7" i="9"/>
  <c r="E7" i="9"/>
  <c r="R7" i="9" s="1"/>
  <c r="Z6" i="9"/>
  <c r="Q6" i="9"/>
  <c r="O6" i="9"/>
  <c r="N6" i="9"/>
  <c r="M6" i="9"/>
  <c r="L6" i="9"/>
  <c r="K6" i="9"/>
  <c r="J6" i="9"/>
  <c r="I6" i="9"/>
  <c r="R6" i="9" s="1"/>
  <c r="H6" i="9"/>
  <c r="Z5" i="9"/>
  <c r="X5" i="9"/>
  <c r="Q5" i="9"/>
  <c r="O5" i="9"/>
  <c r="N5" i="9"/>
  <c r="M5" i="9"/>
  <c r="L5" i="9"/>
  <c r="K5" i="9"/>
  <c r="J5" i="9"/>
  <c r="I5" i="9"/>
  <c r="H5" i="9"/>
  <c r="E5" i="9"/>
  <c r="R5" i="9" s="1"/>
  <c r="Y4" i="9"/>
  <c r="X4" i="9"/>
  <c r="Z4" i="9" s="1"/>
  <c r="O4" i="9"/>
  <c r="N4" i="9"/>
  <c r="M4" i="9"/>
  <c r="L4" i="9"/>
  <c r="J4" i="9"/>
  <c r="I4" i="9"/>
  <c r="H4" i="9"/>
  <c r="F4" i="9"/>
  <c r="R4" i="9" s="1"/>
  <c r="E4" i="9"/>
  <c r="Z3" i="9"/>
  <c r="AA7" i="9" s="1"/>
  <c r="O3" i="9"/>
  <c r="N3" i="9"/>
  <c r="M3" i="9"/>
  <c r="L3" i="9"/>
  <c r="K3" i="9"/>
  <c r="J3" i="9"/>
  <c r="I3" i="9"/>
  <c r="H3" i="9"/>
  <c r="F3" i="9"/>
  <c r="E3" i="9"/>
  <c r="R3" i="9" s="1"/>
  <c r="S3" i="9" s="1"/>
  <c r="AD222" i="8"/>
  <c r="AB222" i="8"/>
  <c r="X222" i="8"/>
  <c r="U222" i="8"/>
  <c r="AD221" i="8"/>
  <c r="AD220" i="8"/>
  <c r="AD219" i="8"/>
  <c r="AD218" i="8"/>
  <c r="AD217" i="8"/>
  <c r="AB217" i="8"/>
  <c r="X217" i="8"/>
  <c r="U217" i="8"/>
  <c r="AD216" i="8"/>
  <c r="AD215" i="8"/>
  <c r="AD214" i="8"/>
  <c r="AD213" i="8"/>
  <c r="AD212" i="8"/>
  <c r="AB212" i="8"/>
  <c r="X212" i="8"/>
  <c r="U212" i="8"/>
  <c r="AD211" i="8"/>
  <c r="AD210" i="8"/>
  <c r="AD209" i="8"/>
  <c r="AD208" i="8"/>
  <c r="AD207" i="8"/>
  <c r="AB207" i="8"/>
  <c r="X207" i="8"/>
  <c r="U207" i="8"/>
  <c r="AD206" i="8"/>
  <c r="AD205" i="8"/>
  <c r="AD204" i="8"/>
  <c r="AD203" i="8"/>
  <c r="AD202" i="8"/>
  <c r="AB202" i="8"/>
  <c r="X202" i="8"/>
  <c r="U202" i="8"/>
  <c r="AD201" i="8"/>
  <c r="AD200" i="8"/>
  <c r="AD199" i="8"/>
  <c r="AD198" i="8"/>
  <c r="AD197" i="8"/>
  <c r="AB197" i="8"/>
  <c r="X197" i="8"/>
  <c r="U197" i="8"/>
  <c r="AD196" i="8"/>
  <c r="AD195" i="8"/>
  <c r="AD194" i="8"/>
  <c r="AD193" i="8"/>
  <c r="AD192" i="8"/>
  <c r="AB192" i="8"/>
  <c r="X192" i="8"/>
  <c r="U192" i="8"/>
  <c r="AD191" i="8"/>
  <c r="AD190" i="8"/>
  <c r="AD189" i="8"/>
  <c r="AD188" i="8"/>
  <c r="AD187" i="8"/>
  <c r="AB187" i="8"/>
  <c r="X187" i="8"/>
  <c r="U187" i="8"/>
  <c r="AD186" i="8"/>
  <c r="AD185" i="8"/>
  <c r="AD184" i="8"/>
  <c r="AD183" i="8"/>
  <c r="AD182" i="8"/>
  <c r="AB182" i="8"/>
  <c r="X182" i="8"/>
  <c r="U182" i="8"/>
  <c r="AD181" i="8"/>
  <c r="AD180" i="8"/>
  <c r="AD179" i="8"/>
  <c r="AD178" i="8"/>
  <c r="AD177" i="8"/>
  <c r="AB177" i="8"/>
  <c r="U177" i="8"/>
  <c r="W176" i="8"/>
  <c r="X177" i="8" s="1"/>
  <c r="AD175" i="8"/>
  <c r="AD174" i="8"/>
  <c r="AD173" i="8"/>
  <c r="AD172" i="8"/>
  <c r="AB172" i="8"/>
  <c r="X172" i="8"/>
  <c r="U172" i="8"/>
  <c r="AD171" i="8"/>
  <c r="AD170" i="8"/>
  <c r="AD169" i="8"/>
  <c r="AD168" i="8"/>
  <c r="AB167" i="8"/>
  <c r="T167" i="8"/>
  <c r="U167" i="8" s="1"/>
  <c r="AD166" i="8"/>
  <c r="AD165" i="8"/>
  <c r="W164" i="8"/>
  <c r="AD164" i="8" s="1"/>
  <c r="AD163" i="8"/>
  <c r="AA162" i="8"/>
  <c r="AB162" i="8" s="1"/>
  <c r="X162" i="8"/>
  <c r="U162" i="8"/>
  <c r="T162" i="8"/>
  <c r="AD161" i="8"/>
  <c r="AD160" i="8"/>
  <c r="AD159" i="8"/>
  <c r="AD158" i="8"/>
  <c r="AD157" i="8"/>
  <c r="AB157" i="8"/>
  <c r="X157" i="8"/>
  <c r="U157" i="8"/>
  <c r="AD156" i="8"/>
  <c r="AD155" i="8"/>
  <c r="AD154" i="8"/>
  <c r="AD153" i="8"/>
  <c r="AD152" i="8"/>
  <c r="AB152" i="8"/>
  <c r="U152" i="8"/>
  <c r="AD151" i="8"/>
  <c r="AD150" i="8"/>
  <c r="AD149" i="8"/>
  <c r="W148" i="8"/>
  <c r="AD148" i="8" s="1"/>
  <c r="AB147" i="8"/>
  <c r="W147" i="8"/>
  <c r="AD147" i="8" s="1"/>
  <c r="U147" i="8"/>
  <c r="AD146" i="8"/>
  <c r="AD145" i="8"/>
  <c r="AD144" i="8"/>
  <c r="AD143" i="8"/>
  <c r="AD142" i="8"/>
  <c r="AB142" i="8"/>
  <c r="X142" i="8"/>
  <c r="U142" i="8"/>
  <c r="AD141" i="8"/>
  <c r="AD140" i="8"/>
  <c r="AD139" i="8"/>
  <c r="AD138" i="8"/>
  <c r="AD137" i="8"/>
  <c r="AB137" i="8"/>
  <c r="X137" i="8"/>
  <c r="U137" i="8"/>
  <c r="AD136" i="8"/>
  <c r="AD135" i="8"/>
  <c r="AD134" i="8"/>
  <c r="AD133" i="8"/>
  <c r="AD132" i="8"/>
  <c r="AB132" i="8"/>
  <c r="X132" i="8"/>
  <c r="U132" i="8"/>
  <c r="AD131" i="8"/>
  <c r="AD130" i="8"/>
  <c r="AD129" i="8"/>
  <c r="AD128" i="8"/>
  <c r="AD127" i="8"/>
  <c r="AB127" i="8"/>
  <c r="X127" i="8"/>
  <c r="U127" i="8"/>
  <c r="AD126" i="8"/>
  <c r="AD125" i="8"/>
  <c r="AD124" i="8"/>
  <c r="AD123" i="8"/>
  <c r="AD122" i="8"/>
  <c r="AB122" i="8"/>
  <c r="X122" i="8"/>
  <c r="U122" i="8"/>
  <c r="AD121" i="8"/>
  <c r="AD120" i="8"/>
  <c r="AD119" i="8"/>
  <c r="AD118" i="8"/>
  <c r="AD117" i="8"/>
  <c r="AB117" i="8"/>
  <c r="X117" i="8"/>
  <c r="U117" i="8"/>
  <c r="AD116" i="8"/>
  <c r="AD115" i="8"/>
  <c r="AD114" i="8"/>
  <c r="AD113" i="8"/>
  <c r="AD112" i="8"/>
  <c r="AB112" i="8"/>
  <c r="X112" i="8"/>
  <c r="U112" i="8"/>
  <c r="AD111" i="8"/>
  <c r="AD110" i="8"/>
  <c r="AD109" i="8"/>
  <c r="AD108" i="8"/>
  <c r="AB107" i="8"/>
  <c r="X107" i="8"/>
  <c r="T107" i="8"/>
  <c r="U107" i="8" s="1"/>
  <c r="AD106" i="8"/>
  <c r="AD105" i="8"/>
  <c r="AD104" i="8"/>
  <c r="AD103" i="8"/>
  <c r="AD102" i="8"/>
  <c r="AB102" i="8"/>
  <c r="U102" i="8"/>
  <c r="AD101" i="8"/>
  <c r="AD100" i="8"/>
  <c r="W100" i="8"/>
  <c r="X102" i="8" s="1"/>
  <c r="AD99" i="8"/>
  <c r="AD98" i="8"/>
  <c r="AD97" i="8"/>
  <c r="AB97" i="8"/>
  <c r="X97" i="8"/>
  <c r="U97" i="8"/>
  <c r="AD96" i="8"/>
  <c r="AD95" i="8"/>
  <c r="AD94" i="8"/>
  <c r="AD93" i="8"/>
  <c r="AD92" i="8"/>
  <c r="AB92" i="8"/>
  <c r="X92" i="8"/>
  <c r="U92" i="8"/>
  <c r="AD91" i="8"/>
  <c r="AD90" i="8"/>
  <c r="AD89" i="8"/>
  <c r="AD88" i="8"/>
  <c r="AD87" i="8"/>
  <c r="AB87" i="8"/>
  <c r="U87" i="8"/>
  <c r="AD86" i="8"/>
  <c r="AD85" i="8"/>
  <c r="AD84" i="8"/>
  <c r="W83" i="8"/>
  <c r="AD83" i="8" s="1"/>
  <c r="AD82" i="8"/>
  <c r="AB82" i="8"/>
  <c r="X82" i="8"/>
  <c r="U82" i="8"/>
  <c r="AD81" i="8"/>
  <c r="AD80" i="8"/>
  <c r="AD79" i="8"/>
  <c r="AD78" i="8"/>
  <c r="AD77" i="8"/>
  <c r="AB77" i="8"/>
  <c r="X77" i="8"/>
  <c r="U77" i="8"/>
  <c r="AD76" i="8"/>
  <c r="AD75" i="8"/>
  <c r="AD74" i="8"/>
  <c r="AD73" i="8"/>
  <c r="AD72" i="8"/>
  <c r="AB72" i="8"/>
  <c r="X72" i="8"/>
  <c r="U72" i="8"/>
  <c r="AD71" i="8"/>
  <c r="AD70" i="8"/>
  <c r="AD69" i="8"/>
  <c r="AD68" i="8"/>
  <c r="AD67" i="8"/>
  <c r="AB67" i="8"/>
  <c r="X67" i="8"/>
  <c r="U67" i="8"/>
  <c r="AD66" i="8"/>
  <c r="AD65" i="8"/>
  <c r="T65" i="8"/>
  <c r="AD64" i="8"/>
  <c r="AD63" i="8"/>
  <c r="AD62" i="8"/>
  <c r="AB62" i="8"/>
  <c r="X62" i="8"/>
  <c r="W62" i="8"/>
  <c r="U62" i="8"/>
  <c r="AD61" i="8"/>
  <c r="AD60" i="8"/>
  <c r="AD59" i="8"/>
  <c r="AD58" i="8"/>
  <c r="AB57" i="8"/>
  <c r="W57" i="8"/>
  <c r="AD57" i="8" s="1"/>
  <c r="AD56" i="8"/>
  <c r="T55" i="8"/>
  <c r="U57" i="8" s="1"/>
  <c r="AD54" i="8"/>
  <c r="AD53" i="8"/>
  <c r="AD52" i="8"/>
  <c r="AB52" i="8"/>
  <c r="X52" i="8"/>
  <c r="U52" i="8"/>
  <c r="AD51" i="8"/>
  <c r="AD50" i="8"/>
  <c r="AD49" i="8"/>
  <c r="AD48" i="8"/>
  <c r="AD47" i="8"/>
  <c r="AB47" i="8"/>
  <c r="AD46" i="8"/>
  <c r="AD45" i="8"/>
  <c r="W45" i="8"/>
  <c r="X47" i="8" s="1"/>
  <c r="AD44" i="8"/>
  <c r="T43" i="8"/>
  <c r="AD43" i="8" s="1"/>
  <c r="AD42" i="8"/>
  <c r="AB42" i="8"/>
  <c r="X42" i="8"/>
  <c r="U42" i="8"/>
  <c r="AD41" i="8"/>
  <c r="AD40" i="8"/>
  <c r="AD39" i="8"/>
  <c r="AD38" i="8"/>
  <c r="AD37" i="8"/>
  <c r="AB37" i="8"/>
  <c r="X37" i="8"/>
  <c r="U37" i="8"/>
  <c r="AD36" i="8"/>
  <c r="AD35" i="8"/>
  <c r="AD34" i="8"/>
  <c r="AD33" i="8"/>
  <c r="AD32" i="8"/>
  <c r="AB32" i="8"/>
  <c r="X32" i="8"/>
  <c r="U32" i="8"/>
  <c r="AD31" i="8"/>
  <c r="AD30" i="8"/>
  <c r="AD29" i="8"/>
  <c r="AD28" i="8"/>
  <c r="AD27" i="8"/>
  <c r="AB27" i="8"/>
  <c r="X27" i="8"/>
  <c r="U27" i="8"/>
  <c r="AD26" i="8"/>
  <c r="AD25" i="8"/>
  <c r="AD24" i="8"/>
  <c r="AD23" i="8"/>
  <c r="AD22" i="8"/>
  <c r="AB22" i="8"/>
  <c r="X22" i="8"/>
  <c r="U22" i="8"/>
  <c r="AD21" i="8"/>
  <c r="AD20" i="8"/>
  <c r="AD19" i="8"/>
  <c r="AD18" i="8"/>
  <c r="AD17" i="8"/>
  <c r="AB17" i="8"/>
  <c r="X17" i="8"/>
  <c r="U17" i="8"/>
  <c r="AD16" i="8"/>
  <c r="AD15" i="8"/>
  <c r="AD14" i="8"/>
  <c r="AD13" i="8"/>
  <c r="T13" i="8"/>
  <c r="AD12" i="8"/>
  <c r="AB12" i="8"/>
  <c r="X12" i="8"/>
  <c r="U12" i="8"/>
  <c r="AD11" i="8"/>
  <c r="AD10" i="8"/>
  <c r="AD9" i="8"/>
  <c r="AD8" i="8"/>
  <c r="AD7" i="8"/>
  <c r="AB7" i="8"/>
  <c r="X7" i="8"/>
  <c r="U7" i="8"/>
  <c r="AD6" i="8"/>
  <c r="AD5" i="8"/>
  <c r="AD4" i="8"/>
  <c r="AD3" i="8"/>
  <c r="E225" i="7"/>
  <c r="E224" i="7"/>
  <c r="L222" i="7"/>
  <c r="I222" i="7"/>
  <c r="F222" i="7"/>
  <c r="L217" i="7"/>
  <c r="I217" i="7"/>
  <c r="F217" i="7"/>
  <c r="L212" i="7"/>
  <c r="I212" i="7"/>
  <c r="F212" i="7"/>
  <c r="L207" i="7"/>
  <c r="I207" i="7"/>
  <c r="F207" i="7"/>
  <c r="L202" i="7"/>
  <c r="I202" i="7"/>
  <c r="F202" i="7"/>
  <c r="L197" i="7"/>
  <c r="I197" i="7"/>
  <c r="F197" i="7"/>
  <c r="L192" i="7"/>
  <c r="I192" i="7"/>
  <c r="F192" i="7"/>
  <c r="L187" i="7"/>
  <c r="I187" i="7"/>
  <c r="F187" i="7"/>
  <c r="L182" i="7"/>
  <c r="I182" i="7"/>
  <c r="F182" i="7"/>
  <c r="L177" i="7"/>
  <c r="I177" i="7"/>
  <c r="F177" i="7"/>
  <c r="L172" i="7"/>
  <c r="I172" i="7"/>
  <c r="F172" i="7"/>
  <c r="L167" i="7"/>
  <c r="I167" i="7"/>
  <c r="F167" i="7"/>
  <c r="L162" i="7"/>
  <c r="I162" i="7"/>
  <c r="F162" i="7"/>
  <c r="L157" i="7"/>
  <c r="I157" i="7"/>
  <c r="F157" i="7"/>
  <c r="L152" i="7"/>
  <c r="I152" i="7"/>
  <c r="F152" i="7"/>
  <c r="L147" i="7"/>
  <c r="I147" i="7"/>
  <c r="F147" i="7"/>
  <c r="L142" i="7"/>
  <c r="I142" i="7"/>
  <c r="F142" i="7"/>
  <c r="L137" i="7"/>
  <c r="I137" i="7"/>
  <c r="F137" i="7"/>
  <c r="L132" i="7"/>
  <c r="I132" i="7"/>
  <c r="F132" i="7"/>
  <c r="L127" i="7"/>
  <c r="I127" i="7"/>
  <c r="F127" i="7"/>
  <c r="L122" i="7"/>
  <c r="I122" i="7"/>
  <c r="F122" i="7"/>
  <c r="L117" i="7"/>
  <c r="I117" i="7"/>
  <c r="F117" i="7"/>
  <c r="L112" i="7"/>
  <c r="F112" i="7"/>
  <c r="H109" i="7"/>
  <c r="I112" i="7" s="1"/>
  <c r="L107" i="7"/>
  <c r="I107" i="7"/>
  <c r="F107" i="7"/>
  <c r="L102" i="7"/>
  <c r="F102" i="7"/>
  <c r="H98" i="7"/>
  <c r="H224" i="7" s="1"/>
  <c r="L97" i="7"/>
  <c r="I97" i="7"/>
  <c r="F97" i="7"/>
  <c r="L92" i="7"/>
  <c r="I92" i="7"/>
  <c r="F92" i="7"/>
  <c r="I87" i="7"/>
  <c r="F87" i="7"/>
  <c r="K85" i="7"/>
  <c r="L87" i="7" s="1"/>
  <c r="L82" i="7"/>
  <c r="I82" i="7"/>
  <c r="F82" i="7"/>
  <c r="L77" i="7"/>
  <c r="I77" i="7"/>
  <c r="F77" i="7"/>
  <c r="L72" i="7"/>
  <c r="I72" i="7"/>
  <c r="F72" i="7"/>
  <c r="L67" i="7"/>
  <c r="I67" i="7"/>
  <c r="F67" i="7"/>
  <c r="I62" i="7"/>
  <c r="F62" i="7"/>
  <c r="K60" i="7"/>
  <c r="L62" i="7" s="1"/>
  <c r="L57" i="7"/>
  <c r="I57" i="7"/>
  <c r="F57" i="7"/>
  <c r="L52" i="7"/>
  <c r="I52" i="7"/>
  <c r="F52" i="7"/>
  <c r="I47" i="7"/>
  <c r="F47" i="7"/>
  <c r="K44" i="7"/>
  <c r="L47" i="7" s="1"/>
  <c r="L42" i="7"/>
  <c r="I42" i="7"/>
  <c r="F42" i="7"/>
  <c r="L37" i="7"/>
  <c r="I37" i="7"/>
  <c r="F37" i="7"/>
  <c r="K32" i="7"/>
  <c r="L32" i="7" s="1"/>
  <c r="I32" i="7"/>
  <c r="F32" i="7"/>
  <c r="L27" i="7"/>
  <c r="I27" i="7"/>
  <c r="F27" i="7"/>
  <c r="L22" i="7"/>
  <c r="I22" i="7"/>
  <c r="F22" i="7"/>
  <c r="L17" i="7"/>
  <c r="I17" i="7"/>
  <c r="F17" i="7"/>
  <c r="L12" i="7"/>
  <c r="I12" i="7"/>
  <c r="F12" i="7"/>
  <c r="K9" i="7"/>
  <c r="K224" i="7" s="1"/>
  <c r="L7" i="7"/>
  <c r="I7" i="7"/>
  <c r="F7" i="7"/>
  <c r="E28" i="6"/>
  <c r="H28" i="6" s="1"/>
  <c r="H27" i="6"/>
  <c r="H26" i="6"/>
  <c r="H25" i="6"/>
  <c r="H24" i="6"/>
  <c r="H21" i="6"/>
  <c r="H20" i="6"/>
  <c r="D20" i="6"/>
  <c r="H19" i="6"/>
  <c r="H18" i="6"/>
  <c r="H17" i="6"/>
  <c r="H14" i="6"/>
  <c r="H13" i="6"/>
  <c r="D12" i="6"/>
  <c r="H12" i="6" s="1"/>
  <c r="H11" i="6"/>
  <c r="H10" i="6"/>
  <c r="D10" i="6"/>
  <c r="H8" i="6"/>
  <c r="H7" i="6"/>
  <c r="H6" i="6"/>
  <c r="H5" i="6"/>
  <c r="H4" i="6"/>
  <c r="F4" i="6"/>
  <c r="M222" i="5"/>
  <c r="L222" i="5"/>
  <c r="I222" i="5"/>
  <c r="F222" i="5"/>
  <c r="M221" i="5"/>
  <c r="M220" i="5"/>
  <c r="M219" i="5"/>
  <c r="M218" i="5"/>
  <c r="M217" i="5"/>
  <c r="L217" i="5"/>
  <c r="I217" i="5"/>
  <c r="F217" i="5"/>
  <c r="M216" i="5"/>
  <c r="M215" i="5"/>
  <c r="M214" i="5"/>
  <c r="M213" i="5"/>
  <c r="M212" i="5"/>
  <c r="L212" i="5"/>
  <c r="I212" i="5"/>
  <c r="F212" i="5"/>
  <c r="M211" i="5"/>
  <c r="M210" i="5"/>
  <c r="M209" i="5"/>
  <c r="M208" i="5"/>
  <c r="M207" i="5"/>
  <c r="L207" i="5"/>
  <c r="F207" i="5"/>
  <c r="M206" i="5"/>
  <c r="M205" i="5"/>
  <c r="H204" i="5"/>
  <c r="I207" i="5" s="1"/>
  <c r="M203" i="5"/>
  <c r="M202" i="5"/>
  <c r="L202" i="5"/>
  <c r="I202" i="5"/>
  <c r="F202" i="5"/>
  <c r="M201" i="5"/>
  <c r="M200" i="5"/>
  <c r="M199" i="5"/>
  <c r="M198" i="5"/>
  <c r="M197" i="5"/>
  <c r="L197" i="5"/>
  <c r="I197" i="5"/>
  <c r="F197" i="5"/>
  <c r="M196" i="5"/>
  <c r="M195" i="5"/>
  <c r="M194" i="5"/>
  <c r="M193" i="5"/>
  <c r="M192" i="5"/>
  <c r="L192" i="5"/>
  <c r="I192" i="5"/>
  <c r="F192" i="5"/>
  <c r="M191" i="5"/>
  <c r="M190" i="5"/>
  <c r="M189" i="5"/>
  <c r="M188" i="5"/>
  <c r="M187" i="5"/>
  <c r="L187" i="5"/>
  <c r="I187" i="5"/>
  <c r="F187" i="5"/>
  <c r="M186" i="5"/>
  <c r="M185" i="5"/>
  <c r="M184" i="5"/>
  <c r="M183" i="5"/>
  <c r="L182" i="5"/>
  <c r="I182" i="5"/>
  <c r="E182" i="5"/>
  <c r="M182" i="5" s="1"/>
  <c r="E181" i="5"/>
  <c r="F182" i="5" s="1"/>
  <c r="M180" i="5"/>
  <c r="M179" i="5"/>
  <c r="M178" i="5"/>
  <c r="K177" i="5"/>
  <c r="M177" i="5" s="1"/>
  <c r="I177" i="5"/>
  <c r="F177" i="5"/>
  <c r="K176" i="5"/>
  <c r="E176" i="5"/>
  <c r="M176" i="5" s="1"/>
  <c r="M175" i="5"/>
  <c r="E175" i="5"/>
  <c r="M174" i="5"/>
  <c r="K174" i="5"/>
  <c r="L177" i="5" s="1"/>
  <c r="M173" i="5"/>
  <c r="M172" i="5"/>
  <c r="I172" i="5"/>
  <c r="M171" i="5"/>
  <c r="M170" i="5"/>
  <c r="E169" i="5"/>
  <c r="M169" i="5" s="1"/>
  <c r="K168" i="5"/>
  <c r="M168" i="5" s="1"/>
  <c r="M167" i="5"/>
  <c r="L167" i="5"/>
  <c r="I167" i="5"/>
  <c r="E166" i="5"/>
  <c r="M166" i="5" s="1"/>
  <c r="E165" i="5"/>
  <c r="M165" i="5" s="1"/>
  <c r="M164" i="5"/>
  <c r="M163" i="5"/>
  <c r="K163" i="5"/>
  <c r="K162" i="5"/>
  <c r="M162" i="5" s="1"/>
  <c r="I162" i="5"/>
  <c r="M161" i="5"/>
  <c r="K160" i="5"/>
  <c r="L162" i="5" s="1"/>
  <c r="E160" i="5"/>
  <c r="F162" i="5" s="1"/>
  <c r="M159" i="5"/>
  <c r="M158" i="5"/>
  <c r="L157" i="5"/>
  <c r="K157" i="5"/>
  <c r="M157" i="5" s="1"/>
  <c r="I157" i="5"/>
  <c r="M156" i="5"/>
  <c r="E155" i="5"/>
  <c r="M155" i="5" s="1"/>
  <c r="M154" i="5"/>
  <c r="K153" i="5"/>
  <c r="E153" i="5"/>
  <c r="F157" i="5" s="1"/>
  <c r="K152" i="5"/>
  <c r="M152" i="5" s="1"/>
  <c r="I152" i="5"/>
  <c r="M151" i="5"/>
  <c r="K150" i="5"/>
  <c r="M150" i="5" s="1"/>
  <c r="M149" i="5"/>
  <c r="M148" i="5"/>
  <c r="E148" i="5"/>
  <c r="F152" i="5" s="1"/>
  <c r="K147" i="5"/>
  <c r="L147" i="5" s="1"/>
  <c r="F147" i="5"/>
  <c r="M146" i="5"/>
  <c r="M145" i="5"/>
  <c r="M144" i="5"/>
  <c r="M143" i="5"/>
  <c r="H143" i="5"/>
  <c r="I147" i="5" s="1"/>
  <c r="M142" i="5"/>
  <c r="L142" i="5"/>
  <c r="I142" i="5"/>
  <c r="F142" i="5"/>
  <c r="M141" i="5"/>
  <c r="M140" i="5"/>
  <c r="M139" i="5"/>
  <c r="M138" i="5"/>
  <c r="M137" i="5"/>
  <c r="L137" i="5"/>
  <c r="I137" i="5"/>
  <c r="F137" i="5"/>
  <c r="M136" i="5"/>
  <c r="M135" i="5"/>
  <c r="M134" i="5"/>
  <c r="M133" i="5"/>
  <c r="M132" i="5"/>
  <c r="L132" i="5"/>
  <c r="I132" i="5"/>
  <c r="F132" i="5"/>
  <c r="M131" i="5"/>
  <c r="M130" i="5"/>
  <c r="M129" i="5"/>
  <c r="M128" i="5"/>
  <c r="M127" i="5"/>
  <c r="L127" i="5"/>
  <c r="I127" i="5"/>
  <c r="F127" i="5"/>
  <c r="M126" i="5"/>
  <c r="M125" i="5"/>
  <c r="M124" i="5"/>
  <c r="M123" i="5"/>
  <c r="M122" i="5"/>
  <c r="L122" i="5"/>
  <c r="I122" i="5"/>
  <c r="F122" i="5"/>
  <c r="M121" i="5"/>
  <c r="M120" i="5"/>
  <c r="M119" i="5"/>
  <c r="M118" i="5"/>
  <c r="M117" i="5"/>
  <c r="L117" i="5"/>
  <c r="I117" i="5"/>
  <c r="F117" i="5"/>
  <c r="M116" i="5"/>
  <c r="M115" i="5"/>
  <c r="M114" i="5"/>
  <c r="M113" i="5"/>
  <c r="M112" i="5"/>
  <c r="L112" i="5"/>
  <c r="I112" i="5"/>
  <c r="F112" i="5"/>
  <c r="M111" i="5"/>
  <c r="M110" i="5"/>
  <c r="M109" i="5"/>
  <c r="M108" i="5"/>
  <c r="M107" i="5"/>
  <c r="L107" i="5"/>
  <c r="I107" i="5"/>
  <c r="F107" i="5"/>
  <c r="M106" i="5"/>
  <c r="M105" i="5"/>
  <c r="M104" i="5"/>
  <c r="M103" i="5"/>
  <c r="M102" i="5"/>
  <c r="I102" i="5"/>
  <c r="F102" i="5"/>
  <c r="M101" i="5"/>
  <c r="K100" i="5"/>
  <c r="L102" i="5" s="1"/>
  <c r="M99" i="5"/>
  <c r="M98" i="5"/>
  <c r="M97" i="5"/>
  <c r="L97" i="5"/>
  <c r="I97" i="5"/>
  <c r="F97" i="5"/>
  <c r="M96" i="5"/>
  <c r="M95" i="5"/>
  <c r="M94" i="5"/>
  <c r="M93" i="5"/>
  <c r="M92" i="5"/>
  <c r="L92" i="5"/>
  <c r="I92" i="5"/>
  <c r="F92" i="5"/>
  <c r="M91" i="5"/>
  <c r="M90" i="5"/>
  <c r="M89" i="5"/>
  <c r="M88" i="5"/>
  <c r="E88" i="5"/>
  <c r="M87" i="5"/>
  <c r="L87" i="5"/>
  <c r="I87" i="5"/>
  <c r="M86" i="5"/>
  <c r="E85" i="5"/>
  <c r="M85" i="5" s="1"/>
  <c r="M84" i="5"/>
  <c r="M83" i="5"/>
  <c r="E83" i="5"/>
  <c r="F87" i="5" s="1"/>
  <c r="M82" i="5"/>
  <c r="L82" i="5"/>
  <c r="F82" i="5"/>
  <c r="M81" i="5"/>
  <c r="M80" i="5"/>
  <c r="M79" i="5"/>
  <c r="H78" i="5"/>
  <c r="M78" i="5" s="1"/>
  <c r="M77" i="5"/>
  <c r="I77" i="5"/>
  <c r="F77" i="5"/>
  <c r="M76" i="5"/>
  <c r="M75" i="5"/>
  <c r="K74" i="5"/>
  <c r="M74" i="5" s="1"/>
  <c r="M73" i="5"/>
  <c r="M72" i="5"/>
  <c r="L72" i="5"/>
  <c r="I72" i="5"/>
  <c r="F72" i="5"/>
  <c r="M71" i="5"/>
  <c r="M70" i="5"/>
  <c r="M69" i="5"/>
  <c r="M68" i="5"/>
  <c r="M67" i="5"/>
  <c r="L67" i="5"/>
  <c r="I67" i="5"/>
  <c r="F67" i="5"/>
  <c r="M66" i="5"/>
  <c r="M65" i="5"/>
  <c r="M64" i="5"/>
  <c r="M63" i="5"/>
  <c r="M62" i="5"/>
  <c r="L62" i="5"/>
  <c r="I62" i="5"/>
  <c r="H62" i="5"/>
  <c r="E61" i="5"/>
  <c r="M61" i="5" s="1"/>
  <c r="M60" i="5"/>
  <c r="M59" i="5"/>
  <c r="H59" i="5"/>
  <c r="M58" i="5"/>
  <c r="H58" i="5"/>
  <c r="M57" i="5"/>
  <c r="L57" i="5"/>
  <c r="F57" i="5"/>
  <c r="M56" i="5"/>
  <c r="H56" i="5"/>
  <c r="M55" i="5"/>
  <c r="H54" i="5"/>
  <c r="M54" i="5" s="1"/>
  <c r="M53" i="5"/>
  <c r="M52" i="5"/>
  <c r="L52" i="5"/>
  <c r="M51" i="5"/>
  <c r="H50" i="5"/>
  <c r="I52" i="5" s="1"/>
  <c r="E50" i="5"/>
  <c r="F52" i="5" s="1"/>
  <c r="M49" i="5"/>
  <c r="M48" i="5"/>
  <c r="M47" i="5"/>
  <c r="L47" i="5"/>
  <c r="I47" i="5"/>
  <c r="H47" i="5"/>
  <c r="F47" i="5"/>
  <c r="M46" i="5"/>
  <c r="M45" i="5"/>
  <c r="H45" i="5"/>
  <c r="M44" i="5"/>
  <c r="M43" i="5"/>
  <c r="L42" i="5"/>
  <c r="F42" i="5"/>
  <c r="H38" i="5"/>
  <c r="I42" i="5" s="1"/>
  <c r="M37" i="5"/>
  <c r="L37" i="5"/>
  <c r="I37" i="5"/>
  <c r="F37" i="5"/>
  <c r="M36" i="5"/>
  <c r="H36" i="5"/>
  <c r="M35" i="5"/>
  <c r="M34" i="5"/>
  <c r="M33" i="5"/>
  <c r="H32" i="5"/>
  <c r="M32" i="5" s="1"/>
  <c r="M31" i="5"/>
  <c r="H31" i="5"/>
  <c r="M30" i="5"/>
  <c r="K29" i="5"/>
  <c r="M29" i="5" s="1"/>
  <c r="H28" i="5"/>
  <c r="I32" i="5" s="1"/>
  <c r="E28" i="5"/>
  <c r="F32" i="5" s="1"/>
  <c r="M27" i="5"/>
  <c r="L27" i="5"/>
  <c r="F27" i="5"/>
  <c r="M26" i="5"/>
  <c r="H25" i="5"/>
  <c r="M25" i="5" s="1"/>
  <c r="H24" i="5"/>
  <c r="H224" i="5" s="1"/>
  <c r="M23" i="5"/>
  <c r="M22" i="5"/>
  <c r="L22" i="5"/>
  <c r="I22" i="5"/>
  <c r="F22" i="5"/>
  <c r="M21" i="5"/>
  <c r="M20" i="5"/>
  <c r="M19" i="5"/>
  <c r="M18" i="5"/>
  <c r="M17" i="5"/>
  <c r="L17" i="5"/>
  <c r="I17" i="5"/>
  <c r="F17" i="5"/>
  <c r="M16" i="5"/>
  <c r="M15" i="5"/>
  <c r="M14" i="5"/>
  <c r="M13" i="5"/>
  <c r="M12" i="5"/>
  <c r="L12" i="5"/>
  <c r="I12" i="5"/>
  <c r="F12" i="5"/>
  <c r="M11" i="5"/>
  <c r="M10" i="5"/>
  <c r="M9" i="5"/>
  <c r="M8" i="5"/>
  <c r="M7" i="5"/>
  <c r="L7" i="5"/>
  <c r="I7" i="5"/>
  <c r="F7" i="5"/>
  <c r="M6" i="5"/>
  <c r="M5" i="5"/>
  <c r="M4" i="5"/>
  <c r="M3" i="5"/>
  <c r="AF222" i="4"/>
  <c r="AB222" i="4"/>
  <c r="W222" i="4"/>
  <c r="W221" i="4"/>
  <c r="W220" i="4"/>
  <c r="W219" i="4"/>
  <c r="X222" i="4" s="1"/>
  <c r="W218" i="4"/>
  <c r="AF217" i="4"/>
  <c r="AB217" i="4"/>
  <c r="W217" i="4"/>
  <c r="W216" i="4"/>
  <c r="W215" i="4"/>
  <c r="W214" i="4"/>
  <c r="X217" i="4" s="1"/>
  <c r="W213" i="4"/>
  <c r="AF212" i="4"/>
  <c r="W212" i="4"/>
  <c r="W211" i="4"/>
  <c r="AA210" i="4"/>
  <c r="W210" i="4"/>
  <c r="AA209" i="4"/>
  <c r="Z209" i="4"/>
  <c r="W209" i="4"/>
  <c r="AA208" i="4"/>
  <c r="AB212" i="4" s="1"/>
  <c r="Z208" i="4"/>
  <c r="W208" i="4"/>
  <c r="X212" i="4" s="1"/>
  <c r="AF207" i="4"/>
  <c r="AB207" i="4"/>
  <c r="W207" i="4"/>
  <c r="W206" i="4"/>
  <c r="W205" i="4"/>
  <c r="W204" i="4"/>
  <c r="W203" i="4"/>
  <c r="X207" i="4" s="1"/>
  <c r="AF202" i="4"/>
  <c r="AB202" i="4"/>
  <c r="W202" i="4"/>
  <c r="W201" i="4"/>
  <c r="W200" i="4"/>
  <c r="W199" i="4"/>
  <c r="W198" i="4"/>
  <c r="X202" i="4" s="1"/>
  <c r="AF197" i="4"/>
  <c r="AB197" i="4"/>
  <c r="W197" i="4"/>
  <c r="W196" i="4"/>
  <c r="W195" i="4"/>
  <c r="W194" i="4"/>
  <c r="W193" i="4"/>
  <c r="X197" i="4" s="1"/>
  <c r="AF192" i="4"/>
  <c r="AB192" i="4"/>
  <c r="W192" i="4"/>
  <c r="W191" i="4"/>
  <c r="W190" i="4"/>
  <c r="W189" i="4"/>
  <c r="W188" i="4"/>
  <c r="X192" i="4" s="1"/>
  <c r="AF187" i="4"/>
  <c r="AB187" i="4"/>
  <c r="W187" i="4"/>
  <c r="W186" i="4"/>
  <c r="W185" i="4"/>
  <c r="W184" i="4"/>
  <c r="W183" i="4"/>
  <c r="X187" i="4" s="1"/>
  <c r="AF182" i="4"/>
  <c r="AB182" i="4"/>
  <c r="Z182" i="4"/>
  <c r="W182" i="4"/>
  <c r="W181" i="4"/>
  <c r="W180" i="4"/>
  <c r="W179" i="4"/>
  <c r="X182" i="4" s="1"/>
  <c r="W178" i="4"/>
  <c r="AF177" i="4"/>
  <c r="AB177" i="4"/>
  <c r="Z177" i="4"/>
  <c r="W177" i="4"/>
  <c r="W176" i="4"/>
  <c r="W175" i="4"/>
  <c r="W174" i="4"/>
  <c r="Z173" i="4"/>
  <c r="W173" i="4"/>
  <c r="X177" i="4" s="1"/>
  <c r="AF172" i="4"/>
  <c r="AB172" i="4"/>
  <c r="W172" i="4"/>
  <c r="W171" i="4"/>
  <c r="X172" i="4" s="1"/>
  <c r="AE170" i="4"/>
  <c r="Z170" i="4"/>
  <c r="W170" i="4"/>
  <c r="Z169" i="4"/>
  <c r="W169" i="4"/>
  <c r="Z168" i="4"/>
  <c r="W168" i="4"/>
  <c r="AF167" i="4"/>
  <c r="AE167" i="4"/>
  <c r="AB167" i="4"/>
  <c r="Z167" i="4"/>
  <c r="W167" i="4"/>
  <c r="W166" i="4"/>
  <c r="Z165" i="4"/>
  <c r="W165" i="4"/>
  <c r="AE164" i="4"/>
  <c r="W164" i="4"/>
  <c r="Z163" i="4"/>
  <c r="W163" i="4"/>
  <c r="X167" i="4" s="1"/>
  <c r="AF162" i="4"/>
  <c r="AB162" i="4"/>
  <c r="Z162" i="4"/>
  <c r="W162" i="4"/>
  <c r="W161" i="4"/>
  <c r="W160" i="4"/>
  <c r="W159" i="4"/>
  <c r="X162" i="4" s="1"/>
  <c r="W158" i="4"/>
  <c r="AF157" i="4"/>
  <c r="AB157" i="4"/>
  <c r="Z157" i="4"/>
  <c r="W157" i="4"/>
  <c r="Z156" i="4"/>
  <c r="W156" i="4"/>
  <c r="AE155" i="4"/>
  <c r="W155" i="4"/>
  <c r="W154" i="4"/>
  <c r="W153" i="4"/>
  <c r="X157" i="4" s="1"/>
  <c r="AF152" i="4"/>
  <c r="AB152" i="4"/>
  <c r="Z152" i="4"/>
  <c r="W152" i="4"/>
  <c r="W151" i="4"/>
  <c r="W150" i="4"/>
  <c r="W149" i="4"/>
  <c r="X152" i="4" s="1"/>
  <c r="W148" i="4"/>
  <c r="AF147" i="4"/>
  <c r="Z147" i="4"/>
  <c r="W147" i="4"/>
  <c r="W146" i="4"/>
  <c r="AA145" i="4"/>
  <c r="AB147" i="4" s="1"/>
  <c r="W145" i="4"/>
  <c r="Z144" i="4"/>
  <c r="W144" i="4"/>
  <c r="W143" i="4"/>
  <c r="X147" i="4" s="1"/>
  <c r="AF142" i="4"/>
  <c r="AB142" i="4"/>
  <c r="W142" i="4"/>
  <c r="W141" i="4"/>
  <c r="W140" i="4"/>
  <c r="W139" i="4"/>
  <c r="W138" i="4"/>
  <c r="X142" i="4" s="1"/>
  <c r="AF137" i="4"/>
  <c r="AB137" i="4"/>
  <c r="W137" i="4"/>
  <c r="W136" i="4"/>
  <c r="W135" i="4"/>
  <c r="W134" i="4"/>
  <c r="W133" i="4"/>
  <c r="X137" i="4" s="1"/>
  <c r="AE132" i="4"/>
  <c r="AF132" i="4" s="1"/>
  <c r="AB132" i="4"/>
  <c r="W132" i="4"/>
  <c r="W131" i="4"/>
  <c r="W130" i="4"/>
  <c r="W129" i="4"/>
  <c r="X132" i="4" s="1"/>
  <c r="AF127" i="4"/>
  <c r="AB127" i="4"/>
  <c r="W127" i="4"/>
  <c r="W126" i="4"/>
  <c r="W125" i="4"/>
  <c r="W124" i="4"/>
  <c r="W123" i="4"/>
  <c r="X127" i="4" s="1"/>
  <c r="AF122" i="4"/>
  <c r="AB122" i="4"/>
  <c r="W122" i="4"/>
  <c r="W121" i="4"/>
  <c r="W120" i="4"/>
  <c r="AA119" i="4"/>
  <c r="W119" i="4"/>
  <c r="W118" i="4"/>
  <c r="X122" i="4" s="1"/>
  <c r="AF117" i="4"/>
  <c r="AB117" i="4"/>
  <c r="W117" i="4"/>
  <c r="W116" i="4"/>
  <c r="W115" i="4"/>
  <c r="W113" i="4"/>
  <c r="X117" i="4" s="1"/>
  <c r="AF112" i="4"/>
  <c r="AB112" i="4"/>
  <c r="W112" i="4"/>
  <c r="W111" i="4"/>
  <c r="W109" i="4"/>
  <c r="W108" i="4"/>
  <c r="X112" i="4" s="1"/>
  <c r="AF107" i="4"/>
  <c r="AB107" i="4"/>
  <c r="W107" i="4"/>
  <c r="W106" i="4"/>
  <c r="W105" i="4"/>
  <c r="W104" i="4"/>
  <c r="X107" i="4" s="1"/>
  <c r="W103" i="4"/>
  <c r="AF102" i="4"/>
  <c r="AB102" i="4"/>
  <c r="AB97" i="4"/>
  <c r="AE95" i="4"/>
  <c r="AF97" i="4" s="1"/>
  <c r="AE93" i="4"/>
  <c r="AF92" i="4"/>
  <c r="AB92" i="4"/>
  <c r="AF87" i="4"/>
  <c r="AA83" i="4"/>
  <c r="AB87" i="4" s="1"/>
  <c r="AF82" i="4"/>
  <c r="AB82" i="4"/>
  <c r="W82" i="4"/>
  <c r="W81" i="4"/>
  <c r="W80" i="4"/>
  <c r="W79" i="4"/>
  <c r="W78" i="4"/>
  <c r="X82" i="4" s="1"/>
  <c r="AF77" i="4"/>
  <c r="AB77" i="4"/>
  <c r="W76" i="4"/>
  <c r="W75" i="4"/>
  <c r="W74" i="4"/>
  <c r="W73" i="4"/>
  <c r="X77" i="4" s="1"/>
  <c r="AF72" i="4"/>
  <c r="AB72" i="4"/>
  <c r="W72" i="4"/>
  <c r="W71" i="4"/>
  <c r="W70" i="4"/>
  <c r="W69" i="4"/>
  <c r="X72" i="4" s="1"/>
  <c r="W68" i="4"/>
  <c r="AF67" i="4"/>
  <c r="AB67" i="4"/>
  <c r="W67" i="4"/>
  <c r="W65" i="4"/>
  <c r="X67" i="4" s="1"/>
  <c r="W63" i="4"/>
  <c r="AF62" i="4"/>
  <c r="AB62" i="4"/>
  <c r="W62" i="4"/>
  <c r="W61" i="4"/>
  <c r="W60" i="4"/>
  <c r="W59" i="4"/>
  <c r="X62" i="4" s="1"/>
  <c r="W58" i="4"/>
  <c r="AF57" i="4"/>
  <c r="AA57" i="4"/>
  <c r="AB57" i="4" s="1"/>
  <c r="Z57" i="4"/>
  <c r="W57" i="4"/>
  <c r="W56" i="4"/>
  <c r="W55" i="4"/>
  <c r="W54" i="4"/>
  <c r="X57" i="4" s="1"/>
  <c r="W53" i="4"/>
  <c r="AF52" i="4"/>
  <c r="AB52" i="4"/>
  <c r="W52" i="4"/>
  <c r="W51" i="4"/>
  <c r="W49" i="4"/>
  <c r="W48" i="4"/>
  <c r="X52" i="4" s="1"/>
  <c r="AF47" i="4"/>
  <c r="AB47" i="4"/>
  <c r="W47" i="4"/>
  <c r="W46" i="4"/>
  <c r="W45" i="4"/>
  <c r="W44" i="4"/>
  <c r="W43" i="4"/>
  <c r="X47" i="4" s="1"/>
  <c r="AB42" i="4"/>
  <c r="W42" i="4"/>
  <c r="AE41" i="4"/>
  <c r="AE224" i="4" s="1"/>
  <c r="W41" i="4"/>
  <c r="W40" i="4"/>
  <c r="W39" i="4"/>
  <c r="W38" i="4"/>
  <c r="X42" i="4" s="1"/>
  <c r="AF37" i="4"/>
  <c r="AB37" i="4"/>
  <c r="W37" i="4"/>
  <c r="W36" i="4"/>
  <c r="W35" i="4"/>
  <c r="W34" i="4"/>
  <c r="X37" i="4" s="1"/>
  <c r="W33" i="4"/>
  <c r="AF32" i="4"/>
  <c r="AB32" i="4"/>
  <c r="W32" i="4"/>
  <c r="W31" i="4"/>
  <c r="W30" i="4"/>
  <c r="W29" i="4"/>
  <c r="X32" i="4" s="1"/>
  <c r="W28" i="4"/>
  <c r="AF27" i="4"/>
  <c r="AB27" i="4"/>
  <c r="W27" i="4"/>
  <c r="W26" i="4"/>
  <c r="W25" i="4"/>
  <c r="W24" i="4"/>
  <c r="X27" i="4" s="1"/>
  <c r="W23" i="4"/>
  <c r="AF22" i="4"/>
  <c r="AB22" i="4"/>
  <c r="W21" i="4"/>
  <c r="W20" i="4"/>
  <c r="W19" i="4"/>
  <c r="W18" i="4"/>
  <c r="X22" i="4" s="1"/>
  <c r="AF17" i="4"/>
  <c r="AB17" i="4"/>
  <c r="W17" i="4"/>
  <c r="W16" i="4"/>
  <c r="W15" i="4"/>
  <c r="W14" i="4"/>
  <c r="X17" i="4" s="1"/>
  <c r="AF12" i="4"/>
  <c r="AB12" i="4"/>
  <c r="W12" i="4"/>
  <c r="W10" i="4"/>
  <c r="W9" i="4"/>
  <c r="W8" i="4"/>
  <c r="X12" i="4" s="1"/>
  <c r="AF7" i="4"/>
  <c r="AB7" i="4"/>
  <c r="W7" i="4"/>
  <c r="W6" i="4"/>
  <c r="W5" i="4"/>
  <c r="W4" i="4"/>
  <c r="AG3" i="4"/>
  <c r="W3" i="4"/>
  <c r="W224" i="4" s="1"/>
  <c r="AE222" i="3"/>
  <c r="AA222" i="3"/>
  <c r="W222" i="3"/>
  <c r="W221" i="3"/>
  <c r="W220" i="3"/>
  <c r="W219" i="3"/>
  <c r="W218" i="3"/>
  <c r="X222" i="3" s="1"/>
  <c r="AE217" i="3"/>
  <c r="AA217" i="3"/>
  <c r="W217" i="3"/>
  <c r="W216" i="3"/>
  <c r="W215" i="3"/>
  <c r="W214" i="3"/>
  <c r="W213" i="3"/>
  <c r="X217" i="3" s="1"/>
  <c r="AE212" i="3"/>
  <c r="AA212" i="3"/>
  <c r="W212" i="3"/>
  <c r="W211" i="3"/>
  <c r="W210" i="3"/>
  <c r="W209" i="3"/>
  <c r="W208" i="3"/>
  <c r="X212" i="3" s="1"/>
  <c r="AE207" i="3"/>
  <c r="AA207" i="3"/>
  <c r="W207" i="3"/>
  <c r="W206" i="3"/>
  <c r="W205" i="3"/>
  <c r="W204" i="3"/>
  <c r="W203" i="3"/>
  <c r="X207" i="3" s="1"/>
  <c r="AE202" i="3"/>
  <c r="AA202" i="3"/>
  <c r="W202" i="3"/>
  <c r="W201" i="3"/>
  <c r="W200" i="3"/>
  <c r="W199" i="3"/>
  <c r="W198" i="3"/>
  <c r="X202" i="3" s="1"/>
  <c r="AE197" i="3"/>
  <c r="AA197" i="3"/>
  <c r="W197" i="3"/>
  <c r="W196" i="3"/>
  <c r="W195" i="3"/>
  <c r="W194" i="3"/>
  <c r="W193" i="3"/>
  <c r="X197" i="3" s="1"/>
  <c r="AE192" i="3"/>
  <c r="AA192" i="3"/>
  <c r="W192" i="3"/>
  <c r="W191" i="3"/>
  <c r="W190" i="3"/>
  <c r="W189" i="3"/>
  <c r="W188" i="3"/>
  <c r="X192" i="3" s="1"/>
  <c r="AE187" i="3"/>
  <c r="AA187" i="3"/>
  <c r="W187" i="3"/>
  <c r="W186" i="3"/>
  <c r="W184" i="3"/>
  <c r="W183" i="3"/>
  <c r="AE182" i="3"/>
  <c r="AA182" i="3"/>
  <c r="W181" i="3"/>
  <c r="W180" i="3"/>
  <c r="W182" i="3" s="1"/>
  <c r="W179" i="3"/>
  <c r="W178" i="3"/>
  <c r="X182" i="3" s="1"/>
  <c r="AE177" i="3"/>
  <c r="AA177" i="3"/>
  <c r="W176" i="3"/>
  <c r="W175" i="3"/>
  <c r="W174" i="3"/>
  <c r="W173" i="3"/>
  <c r="AE172" i="3"/>
  <c r="AA172" i="3"/>
  <c r="W172" i="3"/>
  <c r="W171" i="3"/>
  <c r="W170" i="3"/>
  <c r="W169" i="3"/>
  <c r="W168" i="3"/>
  <c r="X172" i="3" s="1"/>
  <c r="AE167" i="3"/>
  <c r="AA167" i="3"/>
  <c r="W167" i="3"/>
  <c r="W166" i="3"/>
  <c r="W165" i="3"/>
  <c r="W164" i="3"/>
  <c r="W163" i="3"/>
  <c r="X167" i="3" s="1"/>
  <c r="AE162" i="3"/>
  <c r="AA162" i="3"/>
  <c r="W162" i="3"/>
  <c r="W161" i="3"/>
  <c r="W160" i="3"/>
  <c r="W158" i="3"/>
  <c r="AE157" i="3"/>
  <c r="AA157" i="3"/>
  <c r="W156" i="3"/>
  <c r="W155" i="3"/>
  <c r="W154" i="3"/>
  <c r="W153" i="3"/>
  <c r="AE152" i="3"/>
  <c r="AA152" i="3"/>
  <c r="W152" i="3"/>
  <c r="W151" i="3"/>
  <c r="W150" i="3"/>
  <c r="W149" i="3"/>
  <c r="W148" i="3"/>
  <c r="X152" i="3" s="1"/>
  <c r="AE147" i="3"/>
  <c r="AA147" i="3"/>
  <c r="W147" i="3"/>
  <c r="W145" i="3"/>
  <c r="W144" i="3"/>
  <c r="W143" i="3"/>
  <c r="AE142" i="3"/>
  <c r="AA142" i="3"/>
  <c r="W142" i="3"/>
  <c r="W141" i="3"/>
  <c r="W140" i="3"/>
  <c r="W139" i="3"/>
  <c r="W138" i="3"/>
  <c r="X142" i="3" s="1"/>
  <c r="AE137" i="3"/>
  <c r="AA137" i="3"/>
  <c r="W137" i="3"/>
  <c r="W136" i="3"/>
  <c r="W135" i="3"/>
  <c r="W134" i="3"/>
  <c r="W133" i="3"/>
  <c r="X137" i="3" s="1"/>
  <c r="AE132" i="3"/>
  <c r="AA132" i="3"/>
  <c r="W132" i="3"/>
  <c r="W131" i="3"/>
  <c r="W130" i="3"/>
  <c r="W129" i="3"/>
  <c r="W128" i="3"/>
  <c r="X132" i="3" s="1"/>
  <c r="AE127" i="3"/>
  <c r="AA127" i="3"/>
  <c r="W127" i="3"/>
  <c r="W126" i="3"/>
  <c r="W125" i="3"/>
  <c r="W124" i="3"/>
  <c r="W123" i="3"/>
  <c r="X127" i="3" s="1"/>
  <c r="AE122" i="3"/>
  <c r="AA122" i="3"/>
  <c r="W122" i="3"/>
  <c r="W121" i="3"/>
  <c r="W120" i="3"/>
  <c r="W119" i="3"/>
  <c r="W118" i="3"/>
  <c r="X122" i="3" s="1"/>
  <c r="AE117" i="3"/>
  <c r="AA117" i="3"/>
  <c r="W117" i="3"/>
  <c r="W116" i="3"/>
  <c r="W115" i="3"/>
  <c r="W114" i="3"/>
  <c r="W113" i="3"/>
  <c r="X117" i="3" s="1"/>
  <c r="AE112" i="3"/>
  <c r="AA112" i="3"/>
  <c r="W112" i="3"/>
  <c r="W111" i="3"/>
  <c r="W110" i="3"/>
  <c r="W109" i="3"/>
  <c r="W108" i="3"/>
  <c r="X112" i="3" s="1"/>
  <c r="AE107" i="3"/>
  <c r="AA107" i="3"/>
  <c r="W107" i="3"/>
  <c r="W106" i="3"/>
  <c r="W105" i="3"/>
  <c r="W104" i="3"/>
  <c r="W103" i="3"/>
  <c r="X107" i="3" s="1"/>
  <c r="AE82" i="3"/>
  <c r="AA82" i="3"/>
  <c r="W82" i="3"/>
  <c r="W81" i="3"/>
  <c r="W80" i="3"/>
  <c r="W79" i="3"/>
  <c r="W78" i="3"/>
  <c r="X82" i="3" s="1"/>
  <c r="AE77" i="3"/>
  <c r="AA77" i="3"/>
  <c r="W77" i="3"/>
  <c r="W76" i="3"/>
  <c r="W75" i="3"/>
  <c r="W74" i="3"/>
  <c r="W73" i="3"/>
  <c r="X77" i="3" s="1"/>
  <c r="AE72" i="3"/>
  <c r="AA72" i="3"/>
  <c r="W72" i="3"/>
  <c r="W71" i="3"/>
  <c r="W70" i="3"/>
  <c r="W69" i="3"/>
  <c r="W68" i="3"/>
  <c r="X72" i="3" s="1"/>
  <c r="AE67" i="3"/>
  <c r="AA67" i="3"/>
  <c r="W67" i="3"/>
  <c r="W66" i="3"/>
  <c r="W65" i="3"/>
  <c r="W64" i="3"/>
  <c r="W63" i="3"/>
  <c r="X67" i="3" s="1"/>
  <c r="AE62" i="3"/>
  <c r="AA62" i="3"/>
  <c r="W62" i="3"/>
  <c r="W61" i="3"/>
  <c r="W60" i="3"/>
  <c r="W59" i="3"/>
  <c r="W58" i="3"/>
  <c r="X62" i="3" s="1"/>
  <c r="AE57" i="3"/>
  <c r="AA57" i="3"/>
  <c r="W57" i="3"/>
  <c r="W55" i="3" s="1"/>
  <c r="W56" i="3"/>
  <c r="W54" i="3"/>
  <c r="W53" i="3"/>
  <c r="AA52" i="3"/>
  <c r="W52" i="3"/>
  <c r="W51" i="3"/>
  <c r="W50" i="3"/>
  <c r="W49" i="3"/>
  <c r="AD48" i="3"/>
  <c r="AE52" i="3" s="1"/>
  <c r="Z48" i="3"/>
  <c r="W48" i="3"/>
  <c r="X52" i="3" s="1"/>
  <c r="AE47" i="3"/>
  <c r="AA47" i="3"/>
  <c r="W47" i="3"/>
  <c r="W46" i="3"/>
  <c r="W45" i="3"/>
  <c r="W44" i="3"/>
  <c r="W43" i="3"/>
  <c r="X47" i="3" s="1"/>
  <c r="AE42" i="3"/>
  <c r="AA42" i="3"/>
  <c r="W42" i="3"/>
  <c r="W41" i="3"/>
  <c r="W40" i="3"/>
  <c r="W39" i="3"/>
  <c r="W38" i="3"/>
  <c r="X42" i="3" s="1"/>
  <c r="AE37" i="3"/>
  <c r="AA37" i="3"/>
  <c r="W37" i="3"/>
  <c r="W36" i="3"/>
  <c r="W35" i="3"/>
  <c r="W34" i="3"/>
  <c r="W33" i="3"/>
  <c r="X37" i="3" s="1"/>
  <c r="AE32" i="3"/>
  <c r="AA32" i="3"/>
  <c r="W32" i="3"/>
  <c r="W31" i="3"/>
  <c r="W30" i="3"/>
  <c r="W29" i="3"/>
  <c r="W28" i="3"/>
  <c r="X32" i="3" s="1"/>
  <c r="AE27" i="3"/>
  <c r="AA27" i="3"/>
  <c r="W27" i="3"/>
  <c r="W26" i="3"/>
  <c r="W25" i="3"/>
  <c r="W24" i="3"/>
  <c r="W23" i="3"/>
  <c r="X27" i="3" s="1"/>
  <c r="AE22" i="3"/>
  <c r="AA22" i="3"/>
  <c r="W22" i="3"/>
  <c r="W21" i="3"/>
  <c r="W20" i="3"/>
  <c r="W19" i="3"/>
  <c r="W18" i="3"/>
  <c r="X22" i="3" s="1"/>
  <c r="AE17" i="3"/>
  <c r="AA17" i="3"/>
  <c r="W16" i="3"/>
  <c r="W15" i="3"/>
  <c r="W14" i="3"/>
  <c r="W13" i="3"/>
  <c r="AE12" i="3"/>
  <c r="AA12" i="3"/>
  <c r="W12" i="3"/>
  <c r="Z11" i="3"/>
  <c r="Z224" i="3" s="1"/>
  <c r="W11" i="3"/>
  <c r="W10" i="3"/>
  <c r="W9" i="3"/>
  <c r="W8" i="3"/>
  <c r="X12" i="3" s="1"/>
  <c r="AE7" i="3"/>
  <c r="AA7" i="3"/>
  <c r="W7" i="3"/>
  <c r="W6" i="3"/>
  <c r="W5" i="3"/>
  <c r="W4" i="3"/>
  <c r="X7" i="3" s="1"/>
  <c r="W3" i="3"/>
  <c r="H41" i="2"/>
  <c r="H40" i="2"/>
  <c r="H39" i="2"/>
  <c r="H38" i="2"/>
  <c r="H37" i="2"/>
  <c r="H34" i="2"/>
  <c r="H33" i="2"/>
  <c r="H32" i="2"/>
  <c r="H31" i="2"/>
  <c r="H30" i="2"/>
  <c r="H27" i="2"/>
  <c r="H26" i="2"/>
  <c r="H25" i="2"/>
  <c r="H24" i="2"/>
  <c r="H23" i="2"/>
  <c r="H21" i="2"/>
  <c r="H20" i="2"/>
  <c r="H19" i="2"/>
  <c r="H18" i="2"/>
  <c r="H17" i="2"/>
  <c r="X57" i="3" l="1"/>
  <c r="S38" i="9"/>
  <c r="W157" i="3"/>
  <c r="X157" i="3" s="1"/>
  <c r="W177" i="3"/>
  <c r="X177" i="3" s="1"/>
  <c r="W185" i="3"/>
  <c r="X187" i="3" s="1"/>
  <c r="AD224" i="3"/>
  <c r="AA224" i="4"/>
  <c r="W225" i="4"/>
  <c r="I27" i="5"/>
  <c r="L32" i="5"/>
  <c r="I57" i="5"/>
  <c r="F62" i="5"/>
  <c r="L77" i="5"/>
  <c r="I82" i="5"/>
  <c r="M147" i="5"/>
  <c r="L152" i="5"/>
  <c r="M153" i="5"/>
  <c r="M160" i="5"/>
  <c r="F167" i="5"/>
  <c r="F172" i="5"/>
  <c r="L172" i="5"/>
  <c r="E224" i="5"/>
  <c r="K224" i="5"/>
  <c r="I102" i="7"/>
  <c r="U47" i="8"/>
  <c r="X87" i="8"/>
  <c r="AD107" i="8"/>
  <c r="X152" i="8"/>
  <c r="AD162" i="8"/>
  <c r="X167" i="8"/>
  <c r="AD167" i="8"/>
  <c r="W17" i="3"/>
  <c r="X17" i="3" s="1"/>
  <c r="W146" i="3"/>
  <c r="X147" i="3" s="1"/>
  <c r="W159" i="3"/>
  <c r="X162" i="3" s="1"/>
  <c r="X7" i="4"/>
  <c r="AF42" i="4"/>
  <c r="M24" i="5"/>
  <c r="M28" i="5"/>
  <c r="M50" i="5"/>
  <c r="M100" i="5"/>
  <c r="M181" i="5"/>
  <c r="M204" i="5"/>
  <c r="AD55" i="8"/>
  <c r="X57" i="8"/>
  <c r="X147" i="8"/>
  <c r="AD176" i="8"/>
  <c r="AA67" i="9"/>
  <c r="AA72" i="9"/>
  <c r="AA92" i="9"/>
  <c r="AA122" i="9"/>
  <c r="S128" i="9"/>
  <c r="AW70" i="11"/>
  <c r="AW74" i="11"/>
  <c r="AW78" i="11"/>
  <c r="Y226" i="11"/>
  <c r="Y231" i="11" s="1"/>
  <c r="Y232" i="11" s="1"/>
  <c r="Y225" i="11"/>
  <c r="AW82" i="11"/>
  <c r="AW100" i="11"/>
  <c r="AW101" i="11"/>
  <c r="Y217" i="11"/>
  <c r="Y215" i="11"/>
  <c r="Y229" i="11" l="1"/>
  <c r="Y228" i="11"/>
  <c r="Y227" i="11"/>
  <c r="Y230" i="11"/>
  <c r="W224" i="3"/>
</calcChain>
</file>

<file path=xl/comments1.xml><?xml version="1.0" encoding="utf-8"?>
<comments xmlns="http://schemas.openxmlformats.org/spreadsheetml/2006/main">
  <authors>
    <author/>
  </authors>
  <commentList>
    <comment ref="AE28" authorId="0">
      <text>
        <r>
          <rPr>
            <sz val="10"/>
            <color rgb="FF000000"/>
            <rFont val="Arial"/>
          </rPr>
          <t>visitor:
C2 2: Baskets 2 and 5 are both named A3</t>
        </r>
      </text>
    </comment>
  </commentList>
</comments>
</file>

<file path=xl/comments2.xml><?xml version="1.0" encoding="utf-8"?>
<comments xmlns="http://schemas.openxmlformats.org/spreadsheetml/2006/main">
  <authors>
    <author/>
  </authors>
  <commentList>
    <comment ref="V2" authorId="0">
      <text>
        <r>
          <rPr>
            <sz val="10"/>
            <color rgb="FF000000"/>
            <rFont val="Arial"/>
          </rPr>
          <t xml:space="preserve">Originally sorted into beech, non-leaf and other. Tested time between that and sorting everything, and found the difference to be between 3 and 17 minutes. Changed to sorting into Beech, Sugar Maple, Other, and Non-leaf. Sugar Maple was found to be what was making up most of the "other" originally, so we created a column for it.
</t>
        </r>
      </text>
    </comment>
    <comment ref="W77" authorId="0">
      <text>
        <r>
          <rPr>
            <sz val="10"/>
            <color rgb="FF000000"/>
            <rFont val="Arial"/>
          </rPr>
          <t>Labeled C3, but the gaps in data led us to believe that it was actually C6. If we find a C6-3-C3, we will reconsider.</t>
        </r>
      </text>
    </comment>
    <comment ref="E107" authorId="0">
      <text>
        <r>
          <rPr>
            <sz val="10"/>
            <color rgb="FF000000"/>
            <rFont val="Arial"/>
          </rPr>
          <t>Said it was in a large bag, seems weird for only 2 grams. Check original sample</t>
        </r>
      </text>
    </comment>
    <comment ref="M108" authorId="0">
      <text>
        <r>
          <rPr>
            <sz val="10"/>
            <color rgb="FF000000"/>
            <rFont val="Arial"/>
          </rPr>
          <t>Says it was in a small bag, but it's only 2.5 grams. check original sample to make sure we were supposed to subtract the bag weight, not coin envelope weight
	-Stephanie Suttenberg</t>
        </r>
      </text>
    </comment>
    <comment ref="N108" authorId="0">
      <text>
        <r>
          <rPr>
            <sz val="10"/>
            <color rgb="FF000000"/>
            <rFont val="Arial"/>
          </rPr>
          <t>Says it was in a small bag, but it's only 1.6 grams. check original sample to make sure we were supposed to subtract the bag weight, not coin envelope weight
	-Stephanie Suttenberg</t>
        </r>
      </text>
    </comment>
    <comment ref="O108" authorId="0">
      <text>
        <r>
          <rPr>
            <sz val="10"/>
            <color rgb="FF000000"/>
            <rFont val="Arial"/>
          </rPr>
          <t>Says it was in a small bag, but it's only 1.9 grams. check original sample to make sure we were supposed to subtract the bag weight, not coin envelope weight
	-Stephanie Suttenberg</t>
        </r>
      </text>
    </comment>
  </commentList>
</comments>
</file>

<file path=xl/sharedStrings.xml><?xml version="1.0" encoding="utf-8"?>
<sst xmlns="http://schemas.openxmlformats.org/spreadsheetml/2006/main" count="5843" uniqueCount="363">
  <si>
    <t>Fall 2009 (g)</t>
  </si>
  <si>
    <t>Spring 2010</t>
  </si>
  <si>
    <t>Summer 2010</t>
  </si>
  <si>
    <t>Site</t>
  </si>
  <si>
    <t>Work history:</t>
  </si>
  <si>
    <t>Stand</t>
  </si>
  <si>
    <t>Plot</t>
  </si>
  <si>
    <t>Basket</t>
  </si>
  <si>
    <t>ASH</t>
  </si>
  <si>
    <t>Bigtooth ASP</t>
  </si>
  <si>
    <t>Quick ASP</t>
  </si>
  <si>
    <t>BASS</t>
  </si>
  <si>
    <t>BE</t>
  </si>
  <si>
    <t>GB</t>
  </si>
  <si>
    <t>MM</t>
  </si>
  <si>
    <t>PC</t>
  </si>
  <si>
    <t>RM</t>
  </si>
  <si>
    <t>RO</t>
  </si>
  <si>
    <t>SEEDS</t>
  </si>
  <si>
    <t>SM</t>
  </si>
  <si>
    <t>STM</t>
  </si>
  <si>
    <t>TWIGS</t>
  </si>
  <si>
    <t>UNK</t>
  </si>
  <si>
    <t>VIB</t>
  </si>
  <si>
    <t>WB</t>
  </si>
  <si>
    <t>YB</t>
  </si>
  <si>
    <t>Sum. of BKS</t>
  </si>
  <si>
    <t>ave.of plot</t>
  </si>
  <si>
    <t>MELNHE Litterfall 2009-2015</t>
  </si>
  <si>
    <t>Corrie created this workbook January 19, 2011</t>
  </si>
  <si>
    <t>People involved in sample collection</t>
  </si>
  <si>
    <t>estimated values</t>
  </si>
  <si>
    <t>It contains data from the basket litter that was collected November 5-8, 2009</t>
  </si>
  <si>
    <t>not collected samples</t>
  </si>
  <si>
    <t>and sorted by the 2010 field crew(s)</t>
  </si>
  <si>
    <t>2009 Basket Litter - collected Nov 5-8, 2009 by Braulio Quintero and sorted by summer 2010 crew</t>
  </si>
  <si>
    <t>Weight</t>
  </si>
  <si>
    <t>BEF</t>
  </si>
  <si>
    <t>Corrie and Craig worked on organizing and inventorying the litter on June 1, 2011</t>
  </si>
  <si>
    <t>C1</t>
  </si>
  <si>
    <t>Craig worked on that during 2012 to 2013</t>
  </si>
  <si>
    <t>Yang reorganized the datasets on July 28, 2014</t>
  </si>
  <si>
    <t>11/22/14 For litterfall mass 2012, There are two columns for C2 1 C3</t>
  </si>
  <si>
    <t>People involved with spreadsheet preparation</t>
  </si>
  <si>
    <t>Prinicipal Investigator</t>
  </si>
  <si>
    <t>TOTAL</t>
  </si>
  <si>
    <t>12/20/14 Griffin Walsh: Looking through the data, I picked out outliers, took out sticks, and made a comment on C2 2 Summer 2011</t>
  </si>
  <si>
    <t>Ruth Yanai : rdyanai@syr.edu</t>
  </si>
  <si>
    <t>2/7/14 Max Charlamb was responsible for entering data for fall 2014</t>
  </si>
  <si>
    <t xml:space="preserve">08/24/16 Here are some notes written on bags from Fall 2015: </t>
  </si>
  <si>
    <t>Project Description</t>
  </si>
  <si>
    <t>C9-3-C1: "tilted, broke, increase SA."</t>
  </si>
  <si>
    <t>C9-2-A3: "lots of broken bark/wood, basket had cracked bottom."</t>
  </si>
  <si>
    <t>C9-3-C3: "basket broke, increase SA."</t>
  </si>
  <si>
    <t>Litterfall mass was measured in 10 stands in Fall 2009, spring 2010, and summer 2010 in the White Mountains, New Hampshire.  In fall 2010 an extra site (C7) was added, making 11 stands of litter collected fall 2010, spring 2011 and later years. Litter collection was performed three times a year.</t>
  </si>
  <si>
    <t xml:space="preserve">Matt Regan: added wet field weights (frozen) for Fall 2014 HBM </t>
  </si>
  <si>
    <t>Data Set Methods</t>
  </si>
  <si>
    <t>Sample Description</t>
  </si>
  <si>
    <t>Dry leaf matter stored in paper bags.</t>
  </si>
  <si>
    <t>Sample Location</t>
  </si>
  <si>
    <t>Litter collected from Fall 2009 to spring 2013 (not Fall 2010) were dried, weighed and stored in 4th floor storage room in Bray at SUNY-ESF, Syracuse, NY. Litter from Fall 2010 is currently being sorted, dried and weighed in B9 at Marshall Hall in ESF. Litter collected after Sping 2013 is currently being dried and weighed at Bartlett Experimental Forest, NH.</t>
  </si>
  <si>
    <t>Related Datasets</t>
  </si>
  <si>
    <t>1993-1996 Federer Chronosequence Litter Biomass;  2003-2005 Federer Chronosequence Litter Biomass (both contain litterfall biomass from other BEF sites)</t>
  </si>
  <si>
    <t>Definitions of Variables</t>
  </si>
  <si>
    <t>Missing values are coded as "." and 0 values represent a true weight of 0.0 g.</t>
  </si>
  <si>
    <t>Other: Leaf material not identified to species</t>
  </si>
  <si>
    <t>Twigs: Twigs &lt; 30 mm diameter</t>
  </si>
  <si>
    <t>Related Publications:</t>
  </si>
  <si>
    <t>None yet.</t>
  </si>
  <si>
    <t>Index of Pages in this spreadsheet</t>
  </si>
  <si>
    <t>Notes:  Notes on the history of this workbook including dates of changes, estimation of missing samples, paired former and current labels for baskets, etc.</t>
  </si>
  <si>
    <t>Litterfall mass 2009: Litter samples collected from fall 2009, spring 2010 and summer 2010, as a year of 2009 litter. Stand , plot, and basket number, along with the weights found in each basket. In fall 2009, weights were down to individual species for each basket.</t>
  </si>
  <si>
    <t>Litterfall mass 2010: Litter samples collected from fall 2010, spring 2011 and summer 2011, as a year of 2010 litter. Stand , plot, and basket number, along with the weights found in each basket. In fall 2010, weights were down to individual species for each basket (not complete so far).</t>
  </si>
  <si>
    <t>Litterfall mass 2011: Litter samples collected from fall 2011, spring 2012 and summer 2012, as a year of 2011 litter. Stand , plot, and basket number, along with the total weights found in each basket.</t>
  </si>
  <si>
    <t>Litterfall mass 2012: Litter samples collected from fall 2012, spring 2013 and summer 2013, as a year of 2012 litter. Stand , plot, and basket number, along with the total weights found in each basket (not complete).</t>
  </si>
  <si>
    <t>Known problems and inconsistencies</t>
  </si>
  <si>
    <t>Baskets were relabeled in summer 2011, hard to pair the former name and current name for all baskets.</t>
  </si>
  <si>
    <t>C2</t>
  </si>
  <si>
    <t>Fall 2010</t>
  </si>
  <si>
    <t>Spring 2011</t>
  </si>
  <si>
    <t>Summer 2011</t>
  </si>
  <si>
    <t>reweight</t>
  </si>
  <si>
    <t>Sum of Basket (per year)</t>
  </si>
  <si>
    <t>verified</t>
  </si>
  <si>
    <t xml:space="preserve">                                                                                                                                                                                                                                                                                                                                                                                                                                                                                                                                                                                                             </t>
  </si>
  <si>
    <t>C4</t>
  </si>
  <si>
    <t>Fall</t>
  </si>
  <si>
    <t>NP</t>
  </si>
  <si>
    <t>Control</t>
  </si>
  <si>
    <t>P</t>
  </si>
  <si>
    <t>N</t>
  </si>
  <si>
    <t>Fall 2011</t>
  </si>
  <si>
    <t>Spring 2012</t>
  </si>
  <si>
    <t>Summer 2012</t>
  </si>
  <si>
    <t>A1</t>
  </si>
  <si>
    <t>A3</t>
  </si>
  <si>
    <t>B2</t>
  </si>
  <si>
    <t>C3</t>
  </si>
  <si>
    <t>C6</t>
  </si>
  <si>
    <t>C7</t>
  </si>
  <si>
    <t>N/A</t>
  </si>
  <si>
    <t>C8</t>
  </si>
  <si>
    <t>C9</t>
  </si>
  <si>
    <t>HB</t>
  </si>
  <si>
    <t>Mid</t>
  </si>
  <si>
    <t>Old</t>
  </si>
  <si>
    <t>HBM</t>
  </si>
  <si>
    <t>A2</t>
  </si>
  <si>
    <t>B1</t>
  </si>
  <si>
    <t>JB</t>
  </si>
  <si>
    <t>HBO</t>
  </si>
  <si>
    <t>B3</t>
  </si>
  <si>
    <t>JBM</t>
  </si>
  <si>
    <t>JBO</t>
  </si>
  <si>
    <t>10 (Fall missing)</t>
  </si>
  <si>
    <t>HB Mid 4 3</t>
  </si>
  <si>
    <t>17 (Fall missing)</t>
  </si>
  <si>
    <t>C7 3 A3</t>
  </si>
  <si>
    <t>HB Mid 1 2 and 1 4</t>
  </si>
  <si>
    <t>Fall 2009</t>
  </si>
  <si>
    <t>C9 2 2</t>
  </si>
  <si>
    <t>JB Old Plot 3 basket 4 and Plot 4 basket 5 have no sugar maple</t>
  </si>
  <si>
    <t>C8 2 2 and 4 4</t>
  </si>
  <si>
    <t>C2 2 C1</t>
  </si>
  <si>
    <t>C8 3 C1</t>
  </si>
  <si>
    <t>C4 3 5 White Birch</t>
  </si>
  <si>
    <t>C4 4 A1 and A3</t>
  </si>
  <si>
    <t>C 1 1 3</t>
  </si>
  <si>
    <t>C7 3 C1</t>
  </si>
  <si>
    <t>HBM 1 B2</t>
  </si>
  <si>
    <t>Methods of estimation and missing samples</t>
  </si>
  <si>
    <t>Fall 2012</t>
  </si>
  <si>
    <t>Spring 2013</t>
  </si>
  <si>
    <t>Summer 2013</t>
  </si>
  <si>
    <t>Total</t>
  </si>
  <si>
    <t>1. Litter collection in fall 2012 was performed in multiple times, thus it has it's own way of correction for missing samples</t>
  </si>
  <si>
    <t>Treatment</t>
  </si>
  <si>
    <t>C6 3 3 Red Maple</t>
  </si>
  <si>
    <t>P N C NP</t>
  </si>
  <si>
    <t>C6 4 3 Beech Red Maple White Birch</t>
  </si>
  <si>
    <t>10 (Fall Missing)</t>
  </si>
  <si>
    <t xml:space="preserve">C1 3 3 </t>
  </si>
  <si>
    <t>C2 2 1</t>
  </si>
  <si>
    <t>Cg 4 3 Beech</t>
  </si>
  <si>
    <t>JB Old 1 2</t>
  </si>
  <si>
    <t>C7 2 5</t>
  </si>
  <si>
    <t>C6 4 3 Red Maple</t>
  </si>
  <si>
    <t>C6 4 3 WB</t>
  </si>
  <si>
    <t>CENTER</t>
  </si>
  <si>
    <t>C</t>
  </si>
  <si>
    <t>Fall 2013</t>
  </si>
  <si>
    <t>Spring 2014</t>
  </si>
  <si>
    <t>Summer 2014</t>
  </si>
  <si>
    <t>BIRCH</t>
  </si>
  <si>
    <t>FRAG</t>
  </si>
  <si>
    <t>PC+ASH</t>
  </si>
  <si>
    <t>Cherry and Ash</t>
  </si>
  <si>
    <t>Birch and Aspen</t>
  </si>
  <si>
    <t>sum of basket (3 seasons)</t>
  </si>
  <si>
    <t>2. Correction of missing samples for total mass (not sorted) was calculated based on the averaged mass of the rest samples in that plot</t>
  </si>
  <si>
    <t>Not listed here so far</t>
  </si>
  <si>
    <t>Paired former and current names for baskets</t>
  </si>
  <si>
    <t>NP C P N</t>
  </si>
  <si>
    <t>If it's blank, no clues on that paired information.</t>
  </si>
  <si>
    <t>Former labeled basket</t>
  </si>
  <si>
    <t>Paired current labeled basket</t>
  </si>
  <si>
    <t>How can there be two A3's?</t>
  </si>
  <si>
    <t>NP N C P</t>
  </si>
  <si>
    <t>Cracked basket</t>
  </si>
  <si>
    <t>not sure?</t>
  </si>
  <si>
    <t>not sure&gt;</t>
  </si>
  <si>
    <t>NP C N P</t>
  </si>
  <si>
    <t>Fall 2014</t>
  </si>
  <si>
    <t>N NP P C</t>
  </si>
  <si>
    <t>Spring 2015</t>
  </si>
  <si>
    <t xml:space="preserve">D4 and B3 found on C6? Others possible missing/ mislabeled </t>
  </si>
  <si>
    <t>Ash</t>
  </si>
  <si>
    <t>BT Aspen</t>
  </si>
  <si>
    <t>Oak</t>
  </si>
  <si>
    <t>Beech</t>
  </si>
  <si>
    <t>P Cherry</t>
  </si>
  <si>
    <t>Red M</t>
  </si>
  <si>
    <t>Sugar M</t>
  </si>
  <si>
    <t>Striped M</t>
  </si>
  <si>
    <t>White B</t>
  </si>
  <si>
    <t>Yellow B</t>
  </si>
  <si>
    <t>Unkown</t>
  </si>
  <si>
    <t>Hobble Bush</t>
  </si>
  <si>
    <t>Non-Leaf</t>
  </si>
  <si>
    <t>notes</t>
  </si>
  <si>
    <t>Sugar Maple</t>
  </si>
  <si>
    <t>Other</t>
  </si>
  <si>
    <t>Nonleaf</t>
  </si>
  <si>
    <t>Average of Plot</t>
  </si>
  <si>
    <t>Flipped, Off of stakes (need to fix)</t>
  </si>
  <si>
    <t>Not sorted</t>
  </si>
  <si>
    <t>P C N NP</t>
  </si>
  <si>
    <t>Flipped</t>
  </si>
  <si>
    <t>C P NP N</t>
  </si>
  <si>
    <t>P N NP C</t>
  </si>
  <si>
    <t xml:space="preserve">
</t>
  </si>
  <si>
    <t>Empty, Basket pulled outside plot (bear)</t>
  </si>
  <si>
    <t>Empty, Tree fell on basket, broken</t>
  </si>
  <si>
    <t>Missing Data: Reweigh</t>
  </si>
  <si>
    <t xml:space="preserve"> </t>
  </si>
  <si>
    <t>NP P N C</t>
  </si>
  <si>
    <t>Empty, Moved outside subplot</t>
  </si>
  <si>
    <t>Empty, Basket moved</t>
  </si>
  <si>
    <t>This basket and another basket are both labeled C2-4-A3</t>
  </si>
  <si>
    <t>5 (Fall Missing)</t>
  </si>
  <si>
    <t>6.3(bag?)</t>
  </si>
  <si>
    <t>0.98(bag?)</t>
  </si>
  <si>
    <t>6.83(bag?)</t>
  </si>
  <si>
    <t>0.08(bag?)</t>
  </si>
  <si>
    <t>2.32(bag?)</t>
  </si>
  <si>
    <t>-0.09(?)</t>
  </si>
  <si>
    <t>2.75(bag?)</t>
  </si>
  <si>
    <t>-.05(?)</t>
  </si>
  <si>
    <t>Plot avg</t>
  </si>
  <si>
    <t>Pin cherry stems</t>
  </si>
  <si>
    <t>0(?)</t>
  </si>
  <si>
    <t>EMPTY</t>
  </si>
  <si>
    <t>Tree fell on it</t>
  </si>
  <si>
    <t>checked, weight correct</t>
  </si>
  <si>
    <t>Basket moved in blowdown</t>
  </si>
  <si>
    <t>Blowdown</t>
  </si>
  <si>
    <t xml:space="preserve">N </t>
  </si>
  <si>
    <t>checked, correct weight</t>
  </si>
  <si>
    <t>checked, reweighed</t>
  </si>
  <si>
    <t>basket needs replacing</t>
  </si>
  <si>
    <t>maybe the later one</t>
  </si>
  <si>
    <t>other weight recorded:2.64</t>
  </si>
  <si>
    <t>basket needs to be replaced</t>
  </si>
  <si>
    <t>basket cracked. Sample lost</t>
  </si>
  <si>
    <t>***no data, bag not found</t>
  </si>
  <si>
    <t>basket handle cracked</t>
  </si>
  <si>
    <t>basket uprooted</t>
  </si>
  <si>
    <t>basket cracked</t>
  </si>
  <si>
    <t>No leaves</t>
  </si>
  <si>
    <t>labelled C3</t>
  </si>
  <si>
    <t>Center</t>
  </si>
  <si>
    <t>labelled C1</t>
  </si>
  <si>
    <t>Empty, basket turned over</t>
  </si>
  <si>
    <t>Fall 2015</t>
  </si>
  <si>
    <t>Spring 2016</t>
  </si>
  <si>
    <t>Summer 2016</t>
  </si>
  <si>
    <t>Unsorted Mass</t>
  </si>
  <si>
    <t>Bag</t>
  </si>
  <si>
    <t>Ash weight w/bag</t>
  </si>
  <si>
    <t>bag</t>
  </si>
  <si>
    <t>Ash w/out bag</t>
  </si>
  <si>
    <t>Basswood w/bag</t>
  </si>
  <si>
    <t>Basswood w/out bag</t>
  </si>
  <si>
    <t>BT Aspen w/ bag</t>
  </si>
  <si>
    <t>BT Aspen w/out bag</t>
  </si>
  <si>
    <t>Oak w/ bag</t>
  </si>
  <si>
    <t>17 (Fall Missing)</t>
  </si>
  <si>
    <t>Total=59</t>
  </si>
  <si>
    <t>Oak w/out bag</t>
  </si>
  <si>
    <t>Beech w/ bag</t>
  </si>
  <si>
    <t>beech w/out bag</t>
  </si>
  <si>
    <t>P Cherry w/ bag</t>
  </si>
  <si>
    <t>P Cherry w/out bag</t>
  </si>
  <si>
    <t>Red M w/ bag</t>
  </si>
  <si>
    <t>Red M w/out bag</t>
  </si>
  <si>
    <t>Sugar M w/ bag</t>
  </si>
  <si>
    <t>Sugar M w/out bag</t>
  </si>
  <si>
    <t>Striped M w/ bag</t>
  </si>
  <si>
    <t>Striped M w/out bag</t>
  </si>
  <si>
    <t>White B w/ bag</t>
  </si>
  <si>
    <t>White B w/out bag</t>
  </si>
  <si>
    <t>Yellow B w/ bag</t>
  </si>
  <si>
    <t>C1 1 B2</t>
  </si>
  <si>
    <t>Yellow B w/out bag</t>
  </si>
  <si>
    <t>Unkown w/ bag</t>
  </si>
  <si>
    <t>Unknown w/out bag</t>
  </si>
  <si>
    <t>Hobble Bush w/ bag</t>
  </si>
  <si>
    <t>Hobble Bush w/out bag</t>
  </si>
  <si>
    <t>Non-Leaf w/ bag</t>
  </si>
  <si>
    <t>Non-Leaf w/out bag</t>
  </si>
  <si>
    <t>C2 3 B2</t>
  </si>
  <si>
    <t>C9 4 C3</t>
  </si>
  <si>
    <t>HBO 3 A3</t>
  </si>
  <si>
    <t>Caterpillars</t>
  </si>
  <si>
    <t>D20</t>
  </si>
  <si>
    <t>bag weights</t>
  </si>
  <si>
    <t>D12</t>
  </si>
  <si>
    <t>D5</t>
  </si>
  <si>
    <t>LC</t>
  </si>
  <si>
    <t>SC</t>
  </si>
  <si>
    <t>NB</t>
  </si>
  <si>
    <t>cornell</t>
  </si>
  <si>
    <t>D16</t>
  </si>
  <si>
    <t>Mass</t>
  </si>
  <si>
    <t>freezer b6</t>
  </si>
  <si>
    <t>freezer behind desk</t>
  </si>
  <si>
    <t>freeezer in b6</t>
  </si>
  <si>
    <t>small chest freezer</t>
  </si>
  <si>
    <t>There is a duplicate</t>
  </si>
  <si>
    <t>Y3</t>
  </si>
  <si>
    <t>MIX UP. NO DATA</t>
  </si>
  <si>
    <t>Ruth: Very strange: leaves are broken down, roots growing through them, let's not count this with 2014 litter</t>
  </si>
  <si>
    <t>BAG IS MISSING</t>
  </si>
  <si>
    <t>FOUND BETWEEN 9/2-9/10! WHO?</t>
  </si>
  <si>
    <t>NP, wet field weight, frozen, unknown bag</t>
  </si>
  <si>
    <t>wet field weight, frozen, uknown bag</t>
  </si>
  <si>
    <t>wet field weight, frozen, unknown bag</t>
  </si>
  <si>
    <t>wet field weight, frozen, unknown bag, double bagged</t>
  </si>
  <si>
    <t>N, wet field weight, frozen, unknown bag, double bagged, tree fell on basket</t>
  </si>
  <si>
    <t>wet field weight, frozen, D16 bag</t>
  </si>
  <si>
    <t>C, wet field weight, frozen, unknown bag, double bagged</t>
  </si>
  <si>
    <t xml:space="preserve">wet field weight, frozen, unknown bag, double bagged
</t>
  </si>
  <si>
    <t>P, wet field weight, frozen, unknown bag</t>
  </si>
  <si>
    <t>Not Sorted</t>
  </si>
  <si>
    <t>Bag was dropped, whole sample may not be present</t>
  </si>
  <si>
    <t>Ripped</t>
  </si>
  <si>
    <t>Basket Cracked at bottom, N</t>
  </si>
  <si>
    <t>Tipped no Collection</t>
  </si>
  <si>
    <t>6.68D5 (NEGATIVE)</t>
  </si>
  <si>
    <t>Weights</t>
  </si>
  <si>
    <t>S</t>
  </si>
  <si>
    <t>M</t>
  </si>
  <si>
    <t>L</t>
  </si>
  <si>
    <t>Bag Type</t>
  </si>
  <si>
    <t>Duplicates of all the samples in thE C6-1 plot</t>
  </si>
  <si>
    <t>SORTED</t>
  </si>
  <si>
    <t>TWO WEIGHTS, BAG EMPTY</t>
  </si>
  <si>
    <t>Fallen branch overhead.</t>
  </si>
  <si>
    <t>No Bag</t>
  </si>
  <si>
    <t>Bag not specified</t>
  </si>
  <si>
    <t>Bag not Specified</t>
  </si>
  <si>
    <t>No bag</t>
  </si>
  <si>
    <t xml:space="preserve">Bag 1:58.22 Bag 2: 33.98 </t>
  </si>
  <si>
    <t>(2) 0.08 NB</t>
  </si>
  <si>
    <t>(2) 0.09 NB</t>
  </si>
  <si>
    <t>(1) 0.08 NB</t>
  </si>
  <si>
    <t>(2) 0.01 NB</t>
  </si>
  <si>
    <t>(3) 0.06 NB</t>
  </si>
  <si>
    <t>0.0 NB</t>
  </si>
  <si>
    <t>0.9 NB</t>
  </si>
  <si>
    <t>.06g, 2 caterp.</t>
  </si>
  <si>
    <t>51.05(bag 1) 56.14 (bag 2)</t>
  </si>
  <si>
    <t>.01g, 2 cat.</t>
  </si>
  <si>
    <t>.05g, 2 cat.</t>
  </si>
  <si>
    <t>0.4g, 4 caterp.</t>
  </si>
  <si>
    <t>.11g, 5 caterp.</t>
  </si>
  <si>
    <t>NO LEAVES COLLECTED</t>
  </si>
  <si>
    <t xml:space="preserve">Basket flipped NO LEAVES COLLECTED </t>
  </si>
  <si>
    <t xml:space="preserve">No LEAVES COLLECTED BASKET DESTROYED </t>
  </si>
  <si>
    <t>15,88</t>
  </si>
  <si>
    <t xml:space="preserve">basket flipped NO LEAVES COLLECTED </t>
  </si>
  <si>
    <t>NO LEAVES COLLECTED BASKET DESTROYED</t>
  </si>
  <si>
    <t>NE</t>
  </si>
  <si>
    <t>BAG EMPTY</t>
  </si>
  <si>
    <t>.</t>
  </si>
  <si>
    <t>Missing</t>
  </si>
  <si>
    <t>-</t>
  </si>
  <si>
    <t>1,45</t>
  </si>
  <si>
    <t>Duro 20</t>
  </si>
  <si>
    <t>Duro 12</t>
  </si>
  <si>
    <t>Duro 5</t>
  </si>
  <si>
    <t>large coin</t>
  </si>
  <si>
    <t>small coin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</si>
</sst>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2">
    <font>
      <sz val="10"/>
      <color rgb="FF000000"/>
      <name val="Arial"/>
    </font>
    <font>
      <sz val="11"/>
      <color rgb="FF000000"/>
      <name val="Calibri"/>
    </font>
    <font>
      <b/>
      <sz val="14"/>
      <name val="Arial"/>
    </font>
    <font>
      <b/>
      <sz val="14"/>
      <color rgb="FF000000"/>
      <name val="Arial"/>
    </font>
    <font>
      <b/>
      <sz val="12"/>
      <name val="Arial"/>
    </font>
    <font>
      <sz val="10"/>
      <name val="Arial"/>
    </font>
    <font>
      <sz val="12"/>
      <name val="Arial"/>
    </font>
    <font>
      <sz val="10"/>
      <name val="Arial"/>
    </font>
    <font>
      <b/>
      <sz val="10"/>
      <name val="Arial"/>
    </font>
    <font>
      <sz val="10"/>
      <color rgb="FF000000"/>
      <name val="Arial"/>
    </font>
    <font>
      <sz val="12"/>
      <color rgb="FF000000"/>
      <name val="Arial"/>
    </font>
    <font>
      <b/>
      <sz val="12"/>
      <color rgb="FF000000"/>
      <name val="Arial"/>
    </font>
    <font>
      <sz val="11"/>
      <name val="Calibri"/>
    </font>
    <font>
      <sz val="10"/>
      <color rgb="FF000000"/>
      <name val="Arial"/>
    </font>
    <font>
      <sz val="11"/>
      <color rgb="FF000000"/>
      <name val="Arial"/>
    </font>
    <font>
      <sz val="11"/>
      <name val="Arial"/>
    </font>
    <font>
      <sz val="12"/>
      <color rgb="FF000000"/>
      <name val="Calibri"/>
    </font>
    <font>
      <b/>
      <sz val="11"/>
      <color rgb="FF000000"/>
      <name val="Calibri"/>
    </font>
    <font>
      <b/>
      <sz val="10"/>
      <name val="Arial"/>
    </font>
    <font>
      <sz val="11"/>
      <name val="Arial"/>
    </font>
    <font>
      <sz val="10"/>
      <name val="Arial"/>
    </font>
    <font>
      <sz val="14"/>
      <name val="Arial"/>
    </font>
  </fonts>
  <fills count="12">
    <fill>
      <patternFill patternType="none"/>
    </fill>
    <fill>
      <patternFill patternType="gray125"/>
    </fill>
    <fill>
      <patternFill patternType="solid">
        <fgColor rgb="FF00B0F0"/>
        <bgColor rgb="FF00B0F0"/>
      </patternFill>
    </fill>
    <fill>
      <patternFill patternType="solid">
        <fgColor rgb="FFFFFF00"/>
        <bgColor rgb="FFFFFF00"/>
      </patternFill>
    </fill>
    <fill>
      <patternFill patternType="solid">
        <fgColor rgb="FFC4BD97"/>
        <bgColor rgb="FFC4BD97"/>
      </patternFill>
    </fill>
    <fill>
      <patternFill patternType="solid">
        <fgColor rgb="FFDBE5F1"/>
        <bgColor rgb="FFDBE5F1"/>
      </patternFill>
    </fill>
    <fill>
      <patternFill patternType="solid">
        <fgColor rgb="FFFFFFFF"/>
        <bgColor rgb="FFFFFFFF"/>
      </patternFill>
    </fill>
    <fill>
      <patternFill patternType="solid">
        <fgColor rgb="FFFFC000"/>
        <bgColor rgb="FFFFC000"/>
      </patternFill>
    </fill>
    <fill>
      <patternFill patternType="solid">
        <fgColor rgb="FF92D050"/>
        <bgColor rgb="FF92D050"/>
      </patternFill>
    </fill>
    <fill>
      <patternFill patternType="solid">
        <fgColor rgb="FFFFF2CC"/>
        <bgColor rgb="FFFFF2CC"/>
      </patternFill>
    </fill>
    <fill>
      <patternFill patternType="solid">
        <fgColor rgb="FFE06666"/>
        <bgColor rgb="FFE06666"/>
      </patternFill>
    </fill>
    <fill>
      <patternFill patternType="solid">
        <fgColor rgb="FFFF0000"/>
        <bgColor rgb="FFFF0000"/>
      </patternFill>
    </fill>
  </fills>
  <borders count="31">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style="medium">
        <color rgb="FF000000"/>
      </right>
      <top/>
      <bottom/>
      <diagonal/>
    </border>
    <border>
      <left style="medium">
        <color rgb="FF000000"/>
      </left>
      <right style="medium">
        <color rgb="FF000000"/>
      </right>
      <top/>
      <bottom/>
      <diagonal/>
    </border>
    <border>
      <left/>
      <right/>
      <top style="thin">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thin">
        <color rgb="FFB7B7B7"/>
      </left>
      <right style="thin">
        <color rgb="FFB7B7B7"/>
      </right>
      <top style="thin">
        <color rgb="FFB7B7B7"/>
      </top>
      <bottom style="thin">
        <color rgb="FFB7B7B7"/>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n">
        <color rgb="FFB7B7B7"/>
      </right>
      <top style="thin">
        <color rgb="FFB7B7B7"/>
      </top>
      <bottom style="thin">
        <color rgb="FFB7B7B7"/>
      </bottom>
      <diagonal/>
    </border>
    <border>
      <left style="thin">
        <color rgb="FFB7B7B7"/>
      </left>
      <right/>
      <top style="thin">
        <color rgb="FFB7B7B7"/>
      </top>
      <bottom/>
      <diagonal/>
    </border>
    <border>
      <left/>
      <right style="thin">
        <color rgb="FFB7B7B7"/>
      </right>
      <top style="thin">
        <color rgb="FFB7B7B7"/>
      </top>
      <bottom/>
      <diagonal/>
    </border>
    <border>
      <left style="thin">
        <color rgb="FFB7B7B7"/>
      </left>
      <right/>
      <top/>
      <bottom/>
      <diagonal/>
    </border>
    <border>
      <left/>
      <right style="thin">
        <color rgb="FFB7B7B7"/>
      </right>
      <top/>
      <bottom/>
      <diagonal/>
    </border>
    <border>
      <left style="thin">
        <color rgb="FFB7B7B7"/>
      </left>
      <right/>
      <top/>
      <bottom style="thin">
        <color rgb="FFB7B7B7"/>
      </bottom>
      <diagonal/>
    </border>
    <border>
      <left/>
      <right style="thin">
        <color rgb="FFB7B7B7"/>
      </right>
      <top/>
      <bottom style="thin">
        <color rgb="FFB7B7B7"/>
      </bottom>
      <diagonal/>
    </border>
  </borders>
  <cellStyleXfs count="1">
    <xf numFmtId="0" fontId="0" fillId="0" borderId="0"/>
  </cellStyleXfs>
  <cellXfs count="135">
    <xf numFmtId="0" fontId="0" fillId="0" borderId="0" xfId="0" applyFont="1" applyAlignment="1"/>
    <xf numFmtId="0" fontId="1" fillId="0" borderId="0" xfId="0" applyFont="1"/>
    <xf numFmtId="0" fontId="3" fillId="0" borderId="0" xfId="0" applyFont="1"/>
    <xf numFmtId="0" fontId="1" fillId="0" borderId="0" xfId="0" applyFont="1" applyAlignment="1">
      <alignment horizontal="left"/>
    </xf>
    <xf numFmtId="0" fontId="1" fillId="2" borderId="0" xfId="0" applyFont="1" applyFill="1" applyBorder="1"/>
    <xf numFmtId="0" fontId="4" fillId="0" borderId="1" xfId="0" applyFont="1" applyBorder="1" applyAlignment="1">
      <alignment vertical="top" wrapText="1"/>
    </xf>
    <xf numFmtId="0" fontId="5" fillId="0" borderId="0" xfId="0" applyFont="1"/>
    <xf numFmtId="0" fontId="6" fillId="0" borderId="2" xfId="0" applyFont="1" applyBorder="1" applyAlignment="1">
      <alignment vertical="top" wrapText="1"/>
    </xf>
    <xf numFmtId="0" fontId="1" fillId="3" borderId="0" xfId="0" applyFont="1" applyFill="1" applyBorder="1"/>
    <xf numFmtId="0" fontId="4" fillId="0" borderId="3" xfId="0" applyFont="1" applyBorder="1" applyAlignment="1">
      <alignment vertical="top" wrapText="1"/>
    </xf>
    <xf numFmtId="0" fontId="1" fillId="4" borderId="0" xfId="0" applyFont="1" applyFill="1" applyBorder="1"/>
    <xf numFmtId="0" fontId="6" fillId="0" borderId="4" xfId="0" applyFont="1" applyBorder="1"/>
    <xf numFmtId="0" fontId="6" fillId="0" borderId="6" xfId="0" applyFont="1" applyBorder="1"/>
    <xf numFmtId="0" fontId="1" fillId="0" borderId="0" xfId="0" applyFont="1" applyAlignment="1"/>
    <xf numFmtId="0" fontId="8" fillId="0" borderId="0" xfId="0" applyFont="1"/>
    <xf numFmtId="1" fontId="1" fillId="0" borderId="0" xfId="0" applyNumberFormat="1" applyFont="1"/>
    <xf numFmtId="0" fontId="4" fillId="0" borderId="0" xfId="0" applyFont="1" applyAlignment="1">
      <alignment wrapText="1"/>
    </xf>
    <xf numFmtId="14" fontId="1" fillId="0" borderId="0" xfId="0" applyNumberFormat="1" applyFont="1"/>
    <xf numFmtId="0" fontId="6" fillId="0" borderId="7" xfId="0" applyFont="1" applyBorder="1" applyAlignment="1">
      <alignment vertical="top" wrapText="1"/>
    </xf>
    <xf numFmtId="0" fontId="4" fillId="0" borderId="8" xfId="0" applyFont="1" applyBorder="1" applyAlignment="1">
      <alignment vertical="top" wrapText="1"/>
    </xf>
    <xf numFmtId="16" fontId="1" fillId="0" borderId="0" xfId="0" applyNumberFormat="1" applyFont="1"/>
    <xf numFmtId="0" fontId="1" fillId="5" borderId="0" xfId="0" applyFont="1" applyFill="1" applyBorder="1"/>
    <xf numFmtId="14" fontId="5" fillId="0" borderId="0" xfId="0" applyNumberFormat="1" applyFont="1" applyAlignment="1">
      <alignment horizontal="left"/>
    </xf>
    <xf numFmtId="0" fontId="6" fillId="0" borderId="10" xfId="0" applyFont="1" applyBorder="1" applyAlignment="1">
      <alignment vertical="top" wrapText="1"/>
    </xf>
    <xf numFmtId="0" fontId="1" fillId="3" borderId="11" xfId="0" applyFont="1" applyFill="1" applyBorder="1"/>
    <xf numFmtId="0" fontId="1" fillId="0" borderId="13" xfId="0" applyFont="1" applyBorder="1"/>
    <xf numFmtId="14" fontId="1" fillId="5" borderId="0" xfId="0" applyNumberFormat="1" applyFont="1" applyFill="1" applyBorder="1"/>
    <xf numFmtId="0" fontId="6" fillId="0" borderId="5" xfId="0" applyFont="1" applyBorder="1" applyAlignment="1">
      <alignment vertical="top" wrapText="1"/>
    </xf>
    <xf numFmtId="0" fontId="7" fillId="0" borderId="0" xfId="0" applyFont="1" applyAlignment="1"/>
    <xf numFmtId="0" fontId="6" fillId="0" borderId="14" xfId="0" applyFont="1" applyBorder="1" applyAlignment="1">
      <alignment vertical="top" wrapText="1"/>
    </xf>
    <xf numFmtId="164" fontId="1" fillId="0" borderId="0" xfId="0" applyNumberFormat="1" applyFont="1"/>
    <xf numFmtId="0" fontId="9" fillId="6" borderId="0" xfId="0" applyFont="1" applyFill="1" applyAlignment="1"/>
    <xf numFmtId="0" fontId="4" fillId="0" borderId="15" xfId="0" applyFont="1" applyBorder="1" applyAlignment="1">
      <alignment vertical="top" wrapText="1"/>
    </xf>
    <xf numFmtId="14" fontId="1" fillId="0" borderId="0" xfId="0" applyNumberFormat="1" applyFont="1" applyAlignment="1"/>
    <xf numFmtId="0" fontId="10" fillId="0" borderId="14" xfId="0" applyFont="1" applyBorder="1" applyAlignment="1">
      <alignment vertical="top" wrapText="1"/>
    </xf>
    <xf numFmtId="0" fontId="1" fillId="7" borderId="0" xfId="0" applyFont="1" applyFill="1" applyBorder="1"/>
    <xf numFmtId="0" fontId="4" fillId="0" borderId="4" xfId="0" applyFont="1" applyBorder="1" applyAlignment="1">
      <alignment vertical="top" wrapText="1"/>
    </xf>
    <xf numFmtId="0" fontId="4" fillId="0" borderId="5" xfId="0" applyFont="1" applyBorder="1" applyAlignment="1">
      <alignment vertical="top" wrapText="1"/>
    </xf>
    <xf numFmtId="0" fontId="10" fillId="0" borderId="6" xfId="0" applyFont="1" applyBorder="1" applyAlignment="1">
      <alignment vertical="top" wrapText="1"/>
    </xf>
    <xf numFmtId="0" fontId="8" fillId="0" borderId="5" xfId="0" applyFont="1" applyBorder="1"/>
    <xf numFmtId="0" fontId="11" fillId="0" borderId="6" xfId="0" applyFont="1" applyBorder="1" applyAlignment="1">
      <alignment vertical="top" wrapText="1"/>
    </xf>
    <xf numFmtId="0" fontId="10" fillId="0" borderId="5" xfId="0" applyFont="1" applyBorder="1" applyAlignment="1">
      <alignment vertical="top" wrapText="1"/>
    </xf>
    <xf numFmtId="0" fontId="6" fillId="0" borderId="6" xfId="0" applyFont="1" applyBorder="1" applyAlignment="1">
      <alignment vertical="top" wrapText="1"/>
    </xf>
    <xf numFmtId="0" fontId="8" fillId="0" borderId="16" xfId="0" applyFont="1" applyBorder="1"/>
    <xf numFmtId="0" fontId="1" fillId="0" borderId="7" xfId="0" applyFont="1" applyBorder="1"/>
    <xf numFmtId="0" fontId="4" fillId="0" borderId="17"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164" fontId="1" fillId="3" borderId="0" xfId="0" applyNumberFormat="1" applyFont="1" applyFill="1" applyBorder="1"/>
    <xf numFmtId="0" fontId="6" fillId="0" borderId="6" xfId="0" applyFont="1" applyBorder="1" applyAlignment="1">
      <alignment wrapText="1"/>
    </xf>
    <xf numFmtId="0" fontId="1" fillId="0" borderId="6" xfId="0" applyFont="1" applyBorder="1"/>
    <xf numFmtId="0" fontId="1" fillId="0" borderId="15" xfId="0" applyFont="1" applyBorder="1"/>
    <xf numFmtId="0" fontId="6" fillId="0" borderId="19" xfId="0" applyFont="1" applyBorder="1" applyAlignment="1">
      <alignment vertical="top" wrapText="1"/>
    </xf>
    <xf numFmtId="0" fontId="6" fillId="0" borderId="20" xfId="0" applyFont="1" applyBorder="1" applyAlignment="1">
      <alignment vertical="top" wrapText="1"/>
    </xf>
    <xf numFmtId="0" fontId="4" fillId="0" borderId="19" xfId="0" applyFont="1" applyBorder="1" applyAlignment="1">
      <alignment vertical="top" wrapText="1"/>
    </xf>
    <xf numFmtId="46" fontId="6" fillId="0" borderId="19" xfId="0" applyNumberFormat="1" applyFont="1" applyBorder="1" applyAlignment="1">
      <alignment wrapText="1"/>
    </xf>
    <xf numFmtId="0" fontId="3" fillId="0" borderId="0" xfId="0" applyFont="1" applyAlignment="1">
      <alignment horizontal="center"/>
    </xf>
    <xf numFmtId="0" fontId="5" fillId="0" borderId="0" xfId="0" applyFont="1"/>
    <xf numFmtId="0" fontId="1" fillId="0" borderId="0" xfId="0" applyFont="1" applyBorder="1"/>
    <xf numFmtId="0" fontId="1" fillId="8" borderId="0" xfId="0" applyFont="1" applyFill="1" applyBorder="1"/>
    <xf numFmtId="164" fontId="12" fillId="3" borderId="0" xfId="0" applyNumberFormat="1" applyFont="1" applyFill="1" applyBorder="1"/>
    <xf numFmtId="0" fontId="1" fillId="0" borderId="0" xfId="0" applyFont="1" applyBorder="1" applyAlignment="1"/>
    <xf numFmtId="164" fontId="1" fillId="6" borderId="0" xfId="0" applyNumberFormat="1" applyFont="1" applyFill="1" applyBorder="1"/>
    <xf numFmtId="164" fontId="1" fillId="4" borderId="0" xfId="0" applyNumberFormat="1" applyFont="1" applyFill="1" applyBorder="1"/>
    <xf numFmtId="164" fontId="5" fillId="0" borderId="0" xfId="0" applyNumberFormat="1" applyFont="1"/>
    <xf numFmtId="0" fontId="5" fillId="8" borderId="0" xfId="0" applyFont="1" applyFill="1" applyBorder="1"/>
    <xf numFmtId="2" fontId="5" fillId="0" borderId="0" xfId="0" applyNumberFormat="1" applyFont="1"/>
    <xf numFmtId="2" fontId="1" fillId="0" borderId="0" xfId="0" applyNumberFormat="1" applyFont="1"/>
    <xf numFmtId="2" fontId="1" fillId="6" borderId="0" xfId="0" applyNumberFormat="1" applyFont="1" applyFill="1" applyBorder="1"/>
    <xf numFmtId="0" fontId="1" fillId="6" borderId="0" xfId="0" applyFont="1" applyFill="1" applyBorder="1"/>
    <xf numFmtId="0" fontId="1" fillId="0" borderId="21" xfId="0" applyFont="1" applyBorder="1"/>
    <xf numFmtId="0" fontId="3" fillId="0" borderId="0" xfId="0" applyFont="1" applyAlignment="1">
      <alignment horizontal="center"/>
    </xf>
    <xf numFmtId="0" fontId="1" fillId="0" borderId="21" xfId="0" applyFont="1" applyBorder="1" applyAlignment="1">
      <alignment horizontal="left"/>
    </xf>
    <xf numFmtId="0" fontId="1" fillId="0" borderId="21" xfId="0" applyFont="1" applyBorder="1" applyAlignment="1">
      <alignment horizontal="left"/>
    </xf>
    <xf numFmtId="0" fontId="1" fillId="0" borderId="0" xfId="0" applyFont="1" applyAlignment="1">
      <alignment horizontal="left"/>
    </xf>
    <xf numFmtId="0" fontId="1" fillId="0" borderId="21" xfId="0" applyFont="1" applyBorder="1" applyAlignment="1"/>
    <xf numFmtId="0" fontId="7" fillId="0" borderId="21" xfId="0" applyFont="1" applyBorder="1" applyAlignment="1"/>
    <xf numFmtId="2" fontId="1" fillId="3" borderId="0" xfId="0" applyNumberFormat="1" applyFont="1" applyFill="1" applyBorder="1"/>
    <xf numFmtId="0" fontId="7" fillId="0" borderId="21" xfId="0" applyFont="1" applyBorder="1"/>
    <xf numFmtId="2" fontId="12" fillId="0" borderId="0" xfId="0" applyNumberFormat="1" applyFont="1"/>
    <xf numFmtId="0" fontId="7" fillId="9" borderId="0" xfId="0" applyFont="1" applyFill="1"/>
    <xf numFmtId="0" fontId="7" fillId="3" borderId="21" xfId="0" applyFont="1" applyFill="1" applyBorder="1" applyAlignment="1"/>
    <xf numFmtId="0" fontId="7" fillId="9" borderId="0" xfId="0" applyFont="1" applyFill="1" applyAlignment="1"/>
    <xf numFmtId="0" fontId="13" fillId="0" borderId="21" xfId="0" applyFont="1" applyBorder="1" applyAlignment="1"/>
    <xf numFmtId="0" fontId="1" fillId="6" borderId="21" xfId="0" applyFont="1" applyFill="1" applyBorder="1"/>
    <xf numFmtId="0" fontId="7" fillId="3" borderId="21" xfId="0" applyFont="1" applyFill="1" applyBorder="1"/>
    <xf numFmtId="0" fontId="14" fillId="0" borderId="0" xfId="0" applyFont="1" applyAlignment="1">
      <alignment horizontal="left"/>
    </xf>
    <xf numFmtId="0" fontId="15" fillId="0" borderId="0" xfId="0" applyFont="1" applyAlignment="1"/>
    <xf numFmtId="0" fontId="7" fillId="0" borderId="0" xfId="0" applyFont="1" applyAlignment="1">
      <alignment horizontal="right"/>
    </xf>
    <xf numFmtId="0" fontId="9" fillId="6" borderId="0" xfId="0" applyFont="1" applyFill="1" applyAlignment="1">
      <alignment horizontal="left"/>
    </xf>
    <xf numFmtId="0" fontId="7" fillId="0" borderId="0" xfId="0" applyFont="1" applyAlignment="1">
      <alignment horizontal="left"/>
    </xf>
    <xf numFmtId="0" fontId="7" fillId="10" borderId="0" xfId="0" applyFont="1" applyFill="1"/>
    <xf numFmtId="0" fontId="16" fillId="0" borderId="0" xfId="0" applyFont="1" applyAlignment="1">
      <alignment horizontal="right"/>
    </xf>
    <xf numFmtId="0" fontId="17" fillId="0" borderId="21" xfId="0" applyFont="1" applyBorder="1" applyAlignment="1">
      <alignment horizontal="left"/>
    </xf>
    <xf numFmtId="0" fontId="18" fillId="0" borderId="0" xfId="0" applyFont="1" applyAlignment="1"/>
    <xf numFmtId="0" fontId="15" fillId="0" borderId="0" xfId="0" applyFont="1"/>
    <xf numFmtId="0" fontId="18" fillId="0" borderId="0" xfId="0" applyFont="1"/>
    <xf numFmtId="0" fontId="1" fillId="6" borderId="21" xfId="0" applyFont="1" applyFill="1" applyBorder="1" applyAlignment="1"/>
    <xf numFmtId="0" fontId="7" fillId="11" borderId="21" xfId="0" applyFont="1" applyFill="1" applyBorder="1" applyAlignment="1"/>
    <xf numFmtId="0" fontId="7" fillId="11" borderId="21" xfId="0" applyFont="1" applyFill="1" applyBorder="1"/>
    <xf numFmtId="0" fontId="7" fillId="6" borderId="0" xfId="0" applyFont="1" applyFill="1"/>
    <xf numFmtId="0" fontId="7" fillId="6" borderId="0" xfId="0" applyFont="1" applyFill="1" applyAlignment="1"/>
    <xf numFmtId="0" fontId="7" fillId="6" borderId="21" xfId="0" applyFont="1" applyFill="1" applyBorder="1" applyAlignment="1"/>
    <xf numFmtId="2" fontId="7" fillId="0" borderId="21" xfId="0" applyNumberFormat="1" applyFont="1" applyBorder="1" applyAlignment="1"/>
    <xf numFmtId="2" fontId="7" fillId="0" borderId="21" xfId="0" applyNumberFormat="1" applyFont="1" applyBorder="1"/>
    <xf numFmtId="0" fontId="19" fillId="6" borderId="0" xfId="0" applyFont="1" applyFill="1" applyAlignment="1">
      <alignment horizontal="left"/>
    </xf>
    <xf numFmtId="0" fontId="7" fillId="11" borderId="0" xfId="0" applyFont="1" applyFill="1" applyAlignment="1"/>
    <xf numFmtId="2" fontId="7" fillId="0" borderId="0" xfId="0" applyNumberFormat="1" applyFont="1" applyAlignment="1"/>
    <xf numFmtId="0" fontId="20" fillId="0" borderId="0" xfId="0" applyFont="1" applyAlignment="1">
      <alignment horizontal="right"/>
    </xf>
    <xf numFmtId="0" fontId="20" fillId="0" borderId="0" xfId="0" applyFont="1" applyAlignment="1"/>
    <xf numFmtId="0" fontId="1" fillId="6" borderId="0" xfId="0" applyFont="1" applyFill="1" applyAlignment="1"/>
    <xf numFmtId="0" fontId="21" fillId="0" borderId="0" xfId="0" applyFont="1" applyAlignment="1">
      <alignment horizontal="center"/>
    </xf>
    <xf numFmtId="0" fontId="15" fillId="0" borderId="0" xfId="0" applyFont="1" applyAlignment="1">
      <alignment horizontal="center"/>
    </xf>
    <xf numFmtId="0" fontId="21" fillId="0" borderId="0" xfId="0" applyFont="1" applyAlignment="1">
      <alignment horizontal="center"/>
    </xf>
    <xf numFmtId="0" fontId="4" fillId="0" borderId="18" xfId="0" applyFont="1" applyBorder="1" applyAlignment="1">
      <alignment horizontal="center" vertical="top" wrapText="1"/>
    </xf>
    <xf numFmtId="0" fontId="0" fillId="0" borderId="0" xfId="0" applyFont="1" applyAlignment="1"/>
    <xf numFmtId="0" fontId="4" fillId="0" borderId="3" xfId="0" applyFont="1" applyBorder="1" applyAlignment="1">
      <alignment vertical="top" wrapText="1"/>
    </xf>
    <xf numFmtId="0" fontId="7" fillId="0" borderId="5" xfId="0" applyFont="1" applyBorder="1"/>
    <xf numFmtId="0" fontId="6" fillId="0" borderId="4" xfId="0" applyFont="1" applyBorder="1" applyAlignment="1">
      <alignment vertical="top" wrapText="1"/>
    </xf>
    <xf numFmtId="0" fontId="7" fillId="0" borderId="6" xfId="0" applyFont="1" applyBorder="1"/>
    <xf numFmtId="0" fontId="4" fillId="0" borderId="9" xfId="0" applyFont="1" applyBorder="1" applyAlignment="1">
      <alignment vertical="top" wrapText="1"/>
    </xf>
    <xf numFmtId="0" fontId="7" fillId="0" borderId="12" xfId="0" applyFont="1" applyBorder="1"/>
    <xf numFmtId="0" fontId="4" fillId="0" borderId="18" xfId="0" applyFont="1" applyBorder="1" applyAlignment="1">
      <alignment vertical="top" wrapText="1"/>
    </xf>
    <xf numFmtId="0" fontId="5"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3" fillId="0" borderId="22" xfId="0" applyFont="1" applyBorder="1" applyAlignment="1">
      <alignment horizontal="center"/>
    </xf>
    <xf numFmtId="0" fontId="7" fillId="0" borderId="23" xfId="0" applyFont="1" applyBorder="1"/>
    <xf numFmtId="0" fontId="7" fillId="0" borderId="24" xfId="0" applyFont="1" applyBorder="1"/>
    <xf numFmtId="0" fontId="1" fillId="0" borderId="25" xfId="0" applyFont="1" applyBorder="1" applyAlignment="1"/>
    <xf numFmtId="0" fontId="7" fillId="0" borderId="26" xfId="0" applyFont="1" applyBorder="1"/>
    <xf numFmtId="0" fontId="7" fillId="0" borderId="27" xfId="0" applyFont="1" applyBorder="1"/>
    <xf numFmtId="0" fontId="7" fillId="0" borderId="28" xfId="0" applyFont="1" applyBorder="1"/>
    <xf numFmtId="0" fontId="7" fillId="0" borderId="29" xfId="0" applyFont="1" applyBorder="1"/>
    <xf numFmtId="0" fontId="7" fillId="0" borderId="30" xfId="0" applyFont="1" applyBorder="1"/>
  </cellXfs>
  <cellStyles count="1">
    <cellStyle name="Normal" xfId="0" builtinId="0"/>
  </cellStyles>
  <dxfs count="1">
    <dxf>
      <fill>
        <patternFill patternType="solid">
          <fgColor rgb="FFB7E1CD"/>
          <bgColor rgb="FFB7E1CD"/>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autoTitleDeleted val="1"/>
    <c:plotArea>
      <c:layout/>
      <c:scatterChart>
        <c:scatterStyle val="lineMarker"/>
        <c:varyColors val="0"/>
        <c:ser>
          <c:idx val="0"/>
          <c:order val="0"/>
          <c:tx>
            <c:strRef>
              <c:f>'litterfall mass summer 2015'!$E$1</c:f>
              <c:strCache>
                <c:ptCount val="1"/>
                <c:pt idx="0">
                  <c:v>Weight</c:v>
                </c:pt>
              </c:strCache>
            </c:strRef>
          </c:tx>
          <c:spPr>
            <a:ln w="47625">
              <a:noFill/>
            </a:ln>
          </c:spPr>
          <c:marker>
            <c:symbol val="circle"/>
            <c:size val="7"/>
            <c:spPr>
              <a:solidFill>
                <a:srgbClr val="3366CC"/>
              </a:solidFill>
              <a:ln cmpd="sng">
                <a:solidFill>
                  <a:srgbClr val="3366CC"/>
                </a:solidFill>
              </a:ln>
            </c:spPr>
          </c:marker>
          <c:xVal>
            <c:strRef>
              <c:f>'litterfall mass summer 2015'!$D$2:$D$221</c:f>
              <c:strCache>
                <c:ptCount val="220"/>
                <c:pt idx="0">
                  <c:v>A1</c:v>
                </c:pt>
                <c:pt idx="1">
                  <c:v>A3</c:v>
                </c:pt>
                <c:pt idx="2">
                  <c:v>B2</c:v>
                </c:pt>
                <c:pt idx="3">
                  <c:v>C1</c:v>
                </c:pt>
                <c:pt idx="4">
                  <c:v>C3</c:v>
                </c:pt>
                <c:pt idx="5">
                  <c:v>A1</c:v>
                </c:pt>
                <c:pt idx="6">
                  <c:v>A3</c:v>
                </c:pt>
                <c:pt idx="7">
                  <c:v>B2</c:v>
                </c:pt>
                <c:pt idx="8">
                  <c:v>C1</c:v>
                </c:pt>
                <c:pt idx="9">
                  <c:v>C3</c:v>
                </c:pt>
                <c:pt idx="10">
                  <c:v>A1</c:v>
                </c:pt>
                <c:pt idx="11">
                  <c:v>A3</c:v>
                </c:pt>
                <c:pt idx="12">
                  <c:v>B2</c:v>
                </c:pt>
                <c:pt idx="13">
                  <c:v>C1</c:v>
                </c:pt>
                <c:pt idx="14">
                  <c:v>C3</c:v>
                </c:pt>
                <c:pt idx="15">
                  <c:v>A1</c:v>
                </c:pt>
                <c:pt idx="16">
                  <c:v>A3</c:v>
                </c:pt>
                <c:pt idx="17">
                  <c:v>B2</c:v>
                </c:pt>
                <c:pt idx="18">
                  <c:v>C1</c:v>
                </c:pt>
                <c:pt idx="19">
                  <c:v>C3</c:v>
                </c:pt>
                <c:pt idx="20">
                  <c:v>A1</c:v>
                </c:pt>
                <c:pt idx="21">
                  <c:v>A3</c:v>
                </c:pt>
                <c:pt idx="22">
                  <c:v>B2</c:v>
                </c:pt>
                <c:pt idx="23">
                  <c:v>C1</c:v>
                </c:pt>
                <c:pt idx="24">
                  <c:v>C3</c:v>
                </c:pt>
                <c:pt idx="25">
                  <c:v>A1</c:v>
                </c:pt>
                <c:pt idx="26">
                  <c:v>A3</c:v>
                </c:pt>
                <c:pt idx="27">
                  <c:v>B2</c:v>
                </c:pt>
                <c:pt idx="28">
                  <c:v>C1</c:v>
                </c:pt>
                <c:pt idx="29">
                  <c:v>C3</c:v>
                </c:pt>
                <c:pt idx="30">
                  <c:v>A1</c:v>
                </c:pt>
                <c:pt idx="31">
                  <c:v>A3</c:v>
                </c:pt>
                <c:pt idx="32">
                  <c:v>B2</c:v>
                </c:pt>
                <c:pt idx="33">
                  <c:v>C1</c:v>
                </c:pt>
                <c:pt idx="34">
                  <c:v>C3</c:v>
                </c:pt>
                <c:pt idx="35">
                  <c:v>A1</c:v>
                </c:pt>
                <c:pt idx="36">
                  <c:v>A3</c:v>
                </c:pt>
                <c:pt idx="37">
                  <c:v>B2</c:v>
                </c:pt>
                <c:pt idx="38">
                  <c:v>C1</c:v>
                </c:pt>
                <c:pt idx="39">
                  <c:v>C3</c:v>
                </c:pt>
                <c:pt idx="40">
                  <c:v>A1</c:v>
                </c:pt>
                <c:pt idx="41">
                  <c:v>A3</c:v>
                </c:pt>
                <c:pt idx="42">
                  <c:v>B2</c:v>
                </c:pt>
                <c:pt idx="43">
                  <c:v>C1</c:v>
                </c:pt>
                <c:pt idx="44">
                  <c:v>C3</c:v>
                </c:pt>
                <c:pt idx="45">
                  <c:v>A1</c:v>
                </c:pt>
                <c:pt idx="46">
                  <c:v>A3</c:v>
                </c:pt>
                <c:pt idx="47">
                  <c:v>B2</c:v>
                </c:pt>
                <c:pt idx="48">
                  <c:v>C1</c:v>
                </c:pt>
                <c:pt idx="49">
                  <c:v>C3</c:v>
                </c:pt>
                <c:pt idx="50">
                  <c:v>A1</c:v>
                </c:pt>
                <c:pt idx="51">
                  <c:v>A3</c:v>
                </c:pt>
                <c:pt idx="52">
                  <c:v>B2</c:v>
                </c:pt>
                <c:pt idx="53">
                  <c:v>C1</c:v>
                </c:pt>
                <c:pt idx="54">
                  <c:v>C3</c:v>
                </c:pt>
                <c:pt idx="55">
                  <c:v>A1</c:v>
                </c:pt>
                <c:pt idx="56">
                  <c:v>A3</c:v>
                </c:pt>
                <c:pt idx="57">
                  <c:v>B2</c:v>
                </c:pt>
                <c:pt idx="58">
                  <c:v>C1</c:v>
                </c:pt>
                <c:pt idx="59">
                  <c:v>C3</c:v>
                </c:pt>
                <c:pt idx="60">
                  <c:v>A1</c:v>
                </c:pt>
                <c:pt idx="61">
                  <c:v>A3</c:v>
                </c:pt>
                <c:pt idx="62">
                  <c:v>B2</c:v>
                </c:pt>
                <c:pt idx="63">
                  <c:v>C1</c:v>
                </c:pt>
                <c:pt idx="64">
                  <c:v>C3</c:v>
                </c:pt>
                <c:pt idx="65">
                  <c:v>A1</c:v>
                </c:pt>
                <c:pt idx="66">
                  <c:v>A3</c:v>
                </c:pt>
                <c:pt idx="67">
                  <c:v>B2</c:v>
                </c:pt>
                <c:pt idx="68">
                  <c:v>C1</c:v>
                </c:pt>
                <c:pt idx="69">
                  <c:v>C3</c:v>
                </c:pt>
                <c:pt idx="70">
                  <c:v>A1</c:v>
                </c:pt>
                <c:pt idx="71">
                  <c:v>A3</c:v>
                </c:pt>
                <c:pt idx="72">
                  <c:v>B2</c:v>
                </c:pt>
                <c:pt idx="73">
                  <c:v>C1</c:v>
                </c:pt>
                <c:pt idx="74">
                  <c:v>C3</c:v>
                </c:pt>
                <c:pt idx="75">
                  <c:v>A1</c:v>
                </c:pt>
                <c:pt idx="76">
                  <c:v>A3</c:v>
                </c:pt>
                <c:pt idx="77">
                  <c:v>B2</c:v>
                </c:pt>
                <c:pt idx="78">
                  <c:v>C1</c:v>
                </c:pt>
                <c:pt idx="79">
                  <c:v>C3</c:v>
                </c:pt>
                <c:pt idx="80">
                  <c:v>A1</c:v>
                </c:pt>
                <c:pt idx="81">
                  <c:v>A3</c:v>
                </c:pt>
                <c:pt idx="82">
                  <c:v>B2</c:v>
                </c:pt>
                <c:pt idx="83">
                  <c:v>C1</c:v>
                </c:pt>
                <c:pt idx="84">
                  <c:v>C3</c:v>
                </c:pt>
                <c:pt idx="85">
                  <c:v>A1</c:v>
                </c:pt>
                <c:pt idx="86">
                  <c:v>A3</c:v>
                </c:pt>
                <c:pt idx="87">
                  <c:v>B2</c:v>
                </c:pt>
                <c:pt idx="88">
                  <c:v>C1</c:v>
                </c:pt>
                <c:pt idx="89">
                  <c:v>C3</c:v>
                </c:pt>
                <c:pt idx="90">
                  <c:v>A1</c:v>
                </c:pt>
                <c:pt idx="91">
                  <c:v>A3</c:v>
                </c:pt>
                <c:pt idx="92">
                  <c:v>B2</c:v>
                </c:pt>
                <c:pt idx="93">
                  <c:v>C1</c:v>
                </c:pt>
                <c:pt idx="94">
                  <c:v>C3</c:v>
                </c:pt>
                <c:pt idx="95">
                  <c:v>A1</c:v>
                </c:pt>
                <c:pt idx="96">
                  <c:v>A3</c:v>
                </c:pt>
                <c:pt idx="97">
                  <c:v>B2</c:v>
                </c:pt>
                <c:pt idx="98">
                  <c:v>C1</c:v>
                </c:pt>
                <c:pt idx="99">
                  <c:v>C3</c:v>
                </c:pt>
                <c:pt idx="100">
                  <c:v>A1</c:v>
                </c:pt>
                <c:pt idx="101">
                  <c:v>A3</c:v>
                </c:pt>
                <c:pt idx="102">
                  <c:v>B2</c:v>
                </c:pt>
                <c:pt idx="103">
                  <c:v>C1</c:v>
                </c:pt>
                <c:pt idx="104">
                  <c:v>C3</c:v>
                </c:pt>
                <c:pt idx="105">
                  <c:v>A1</c:v>
                </c:pt>
                <c:pt idx="106">
                  <c:v>A3</c:v>
                </c:pt>
                <c:pt idx="107">
                  <c:v>B2</c:v>
                </c:pt>
                <c:pt idx="108">
                  <c:v>C1</c:v>
                </c:pt>
                <c:pt idx="109">
                  <c:v>C3</c:v>
                </c:pt>
                <c:pt idx="110">
                  <c:v>A1</c:v>
                </c:pt>
                <c:pt idx="111">
                  <c:v>A3</c:v>
                </c:pt>
                <c:pt idx="112">
                  <c:v>B2</c:v>
                </c:pt>
                <c:pt idx="113">
                  <c:v>C1</c:v>
                </c:pt>
                <c:pt idx="114">
                  <c:v>C3</c:v>
                </c:pt>
                <c:pt idx="115">
                  <c:v>A1</c:v>
                </c:pt>
                <c:pt idx="116">
                  <c:v>A3</c:v>
                </c:pt>
                <c:pt idx="117">
                  <c:v>B2</c:v>
                </c:pt>
                <c:pt idx="118">
                  <c:v>C1</c:v>
                </c:pt>
                <c:pt idx="119">
                  <c:v>C3</c:v>
                </c:pt>
                <c:pt idx="120">
                  <c:v>A1</c:v>
                </c:pt>
                <c:pt idx="121">
                  <c:v>A3</c:v>
                </c:pt>
                <c:pt idx="122">
                  <c:v>B2</c:v>
                </c:pt>
                <c:pt idx="123">
                  <c:v>C1</c:v>
                </c:pt>
                <c:pt idx="124">
                  <c:v>C3</c:v>
                </c:pt>
                <c:pt idx="125">
                  <c:v>A1</c:v>
                </c:pt>
                <c:pt idx="126">
                  <c:v>A3</c:v>
                </c:pt>
                <c:pt idx="127">
                  <c:v>B2</c:v>
                </c:pt>
                <c:pt idx="128">
                  <c:v>C1</c:v>
                </c:pt>
                <c:pt idx="129">
                  <c:v>C3</c:v>
                </c:pt>
                <c:pt idx="130">
                  <c:v>A1</c:v>
                </c:pt>
                <c:pt idx="131">
                  <c:v>A3</c:v>
                </c:pt>
                <c:pt idx="132">
                  <c:v>B2</c:v>
                </c:pt>
                <c:pt idx="133">
                  <c:v>C1</c:v>
                </c:pt>
                <c:pt idx="134">
                  <c:v>C3</c:v>
                </c:pt>
                <c:pt idx="135">
                  <c:v>A1</c:v>
                </c:pt>
                <c:pt idx="136">
                  <c:v>A3</c:v>
                </c:pt>
                <c:pt idx="137">
                  <c:v>B2</c:v>
                </c:pt>
                <c:pt idx="138">
                  <c:v>C1</c:v>
                </c:pt>
                <c:pt idx="139">
                  <c:v>C3</c:v>
                </c:pt>
                <c:pt idx="140">
                  <c:v>A1</c:v>
                </c:pt>
                <c:pt idx="141">
                  <c:v>A2</c:v>
                </c:pt>
                <c:pt idx="142">
                  <c:v>B1</c:v>
                </c:pt>
                <c:pt idx="143">
                  <c:v>B2</c:v>
                </c:pt>
                <c:pt idx="144">
                  <c:v>C1</c:v>
                </c:pt>
                <c:pt idx="145">
                  <c:v>A1</c:v>
                </c:pt>
                <c:pt idx="146">
                  <c:v>A2</c:v>
                </c:pt>
                <c:pt idx="147">
                  <c:v>B1</c:v>
                </c:pt>
                <c:pt idx="148">
                  <c:v>B2</c:v>
                </c:pt>
                <c:pt idx="149">
                  <c:v>C1</c:v>
                </c:pt>
                <c:pt idx="150">
                  <c:v>A1</c:v>
                </c:pt>
                <c:pt idx="151">
                  <c:v>A2</c:v>
                </c:pt>
                <c:pt idx="152">
                  <c:v>B1</c:v>
                </c:pt>
                <c:pt idx="153">
                  <c:v>B2</c:v>
                </c:pt>
                <c:pt idx="154">
                  <c:v>C1</c:v>
                </c:pt>
                <c:pt idx="155">
                  <c:v>A1</c:v>
                </c:pt>
                <c:pt idx="156">
                  <c:v>A2</c:v>
                </c:pt>
                <c:pt idx="157">
                  <c:v>B1</c:v>
                </c:pt>
                <c:pt idx="158">
                  <c:v>B2</c:v>
                </c:pt>
                <c:pt idx="159">
                  <c:v>C1</c:v>
                </c:pt>
                <c:pt idx="160">
                  <c:v>A1</c:v>
                </c:pt>
                <c:pt idx="161">
                  <c:v>A3</c:v>
                </c:pt>
                <c:pt idx="162">
                  <c:v>B2</c:v>
                </c:pt>
                <c:pt idx="163">
                  <c:v>C1</c:v>
                </c:pt>
                <c:pt idx="164">
                  <c:v>C3</c:v>
                </c:pt>
                <c:pt idx="165">
                  <c:v>A1</c:v>
                </c:pt>
                <c:pt idx="166">
                  <c:v>A3</c:v>
                </c:pt>
                <c:pt idx="167">
                  <c:v>B2</c:v>
                </c:pt>
                <c:pt idx="168">
                  <c:v>C1</c:v>
                </c:pt>
                <c:pt idx="169">
                  <c:v>C3</c:v>
                </c:pt>
                <c:pt idx="170">
                  <c:v>A1</c:v>
                </c:pt>
                <c:pt idx="171">
                  <c:v>A3</c:v>
                </c:pt>
                <c:pt idx="172">
                  <c:v>B2</c:v>
                </c:pt>
                <c:pt idx="173">
                  <c:v>C1</c:v>
                </c:pt>
                <c:pt idx="174">
                  <c:v>C3</c:v>
                </c:pt>
                <c:pt idx="175">
                  <c:v>A1</c:v>
                </c:pt>
                <c:pt idx="176">
                  <c:v>A3</c:v>
                </c:pt>
                <c:pt idx="177">
                  <c:v>B2</c:v>
                </c:pt>
                <c:pt idx="178">
                  <c:v>C1</c:v>
                </c:pt>
                <c:pt idx="179">
                  <c:v>C3</c:v>
                </c:pt>
                <c:pt idx="180">
                  <c:v>A1</c:v>
                </c:pt>
                <c:pt idx="181">
                  <c:v>A2</c:v>
                </c:pt>
                <c:pt idx="182">
                  <c:v>B1</c:v>
                </c:pt>
                <c:pt idx="183">
                  <c:v>B2</c:v>
                </c:pt>
                <c:pt idx="184">
                  <c:v>Center</c:v>
                </c:pt>
                <c:pt idx="185">
                  <c:v>A1</c:v>
                </c:pt>
                <c:pt idx="186">
                  <c:v>A2</c:v>
                </c:pt>
                <c:pt idx="187">
                  <c:v>B1</c:v>
                </c:pt>
                <c:pt idx="188">
                  <c:v>B2</c:v>
                </c:pt>
                <c:pt idx="189">
                  <c:v>Center</c:v>
                </c:pt>
                <c:pt idx="190">
                  <c:v>A1</c:v>
                </c:pt>
                <c:pt idx="191">
                  <c:v>A2</c:v>
                </c:pt>
                <c:pt idx="192">
                  <c:v>B1</c:v>
                </c:pt>
                <c:pt idx="193">
                  <c:v>B2</c:v>
                </c:pt>
                <c:pt idx="194">
                  <c:v>Center</c:v>
                </c:pt>
                <c:pt idx="195">
                  <c:v>A1</c:v>
                </c:pt>
                <c:pt idx="196">
                  <c:v>A2</c:v>
                </c:pt>
                <c:pt idx="197">
                  <c:v>B1</c:v>
                </c:pt>
                <c:pt idx="198">
                  <c:v>B2</c:v>
                </c:pt>
                <c:pt idx="199">
                  <c:v>Center</c:v>
                </c:pt>
                <c:pt idx="200">
                  <c:v>A1</c:v>
                </c:pt>
                <c:pt idx="201">
                  <c:v>A3</c:v>
                </c:pt>
                <c:pt idx="202">
                  <c:v>B2</c:v>
                </c:pt>
                <c:pt idx="203">
                  <c:v>C1</c:v>
                </c:pt>
                <c:pt idx="204">
                  <c:v>C3</c:v>
                </c:pt>
                <c:pt idx="205">
                  <c:v>A1</c:v>
                </c:pt>
                <c:pt idx="206">
                  <c:v>A3</c:v>
                </c:pt>
                <c:pt idx="207">
                  <c:v>B2</c:v>
                </c:pt>
                <c:pt idx="208">
                  <c:v>C1</c:v>
                </c:pt>
                <c:pt idx="209">
                  <c:v>C3</c:v>
                </c:pt>
                <c:pt idx="210">
                  <c:v>A1</c:v>
                </c:pt>
                <c:pt idx="211">
                  <c:v>A3</c:v>
                </c:pt>
                <c:pt idx="212">
                  <c:v>B2</c:v>
                </c:pt>
                <c:pt idx="213">
                  <c:v>C1</c:v>
                </c:pt>
                <c:pt idx="214">
                  <c:v>C3</c:v>
                </c:pt>
                <c:pt idx="215">
                  <c:v>A1</c:v>
                </c:pt>
                <c:pt idx="216">
                  <c:v>A3</c:v>
                </c:pt>
                <c:pt idx="217">
                  <c:v>B2</c:v>
                </c:pt>
                <c:pt idx="218">
                  <c:v>C1</c:v>
                </c:pt>
                <c:pt idx="219">
                  <c:v>C3</c:v>
                </c:pt>
              </c:strCache>
            </c:strRef>
          </c:xVal>
          <c:yVal>
            <c:numRef>
              <c:f>'litterfall mass summer 2015'!$E$2:$E$221</c:f>
              <c:numCache>
                <c:formatCode>General</c:formatCode>
                <c:ptCount val="220"/>
                <c:pt idx="0">
                  <c:v>3.29</c:v>
                </c:pt>
                <c:pt idx="1">
                  <c:v>2.59</c:v>
                </c:pt>
                <c:pt idx="2">
                  <c:v>1.32</c:v>
                </c:pt>
                <c:pt idx="3">
                  <c:v>2.7</c:v>
                </c:pt>
                <c:pt idx="4">
                  <c:v>3.38</c:v>
                </c:pt>
                <c:pt idx="5">
                  <c:v>2.0499999999999998</c:v>
                </c:pt>
                <c:pt idx="6">
                  <c:v>1.86</c:v>
                </c:pt>
                <c:pt idx="7">
                  <c:v>0.68</c:v>
                </c:pt>
                <c:pt idx="8">
                  <c:v>3.37</c:v>
                </c:pt>
                <c:pt idx="9">
                  <c:v>1.71</c:v>
                </c:pt>
                <c:pt idx="10">
                  <c:v>1.49</c:v>
                </c:pt>
                <c:pt idx="11">
                  <c:v>2.67</c:v>
                </c:pt>
                <c:pt idx="12">
                  <c:v>2.48</c:v>
                </c:pt>
                <c:pt idx="13">
                  <c:v>2.2599999999999998</c:v>
                </c:pt>
                <c:pt idx="14">
                  <c:v>1.55</c:v>
                </c:pt>
                <c:pt idx="15">
                  <c:v>3.28</c:v>
                </c:pt>
                <c:pt idx="16">
                  <c:v>1.91</c:v>
                </c:pt>
                <c:pt idx="17">
                  <c:v>2.04</c:v>
                </c:pt>
                <c:pt idx="18">
                  <c:v>3.01</c:v>
                </c:pt>
                <c:pt idx="19">
                  <c:v>3.2</c:v>
                </c:pt>
                <c:pt idx="20">
                  <c:v>0.8</c:v>
                </c:pt>
                <c:pt idx="21">
                  <c:v>2.86</c:v>
                </c:pt>
                <c:pt idx="22">
                  <c:v>2.06</c:v>
                </c:pt>
                <c:pt idx="23">
                  <c:v>2.34</c:v>
                </c:pt>
                <c:pt idx="24">
                  <c:v>2.5</c:v>
                </c:pt>
                <c:pt idx="25">
                  <c:v>1.61</c:v>
                </c:pt>
                <c:pt idx="26">
                  <c:v>5.0999999999999996</c:v>
                </c:pt>
                <c:pt idx="27">
                  <c:v>2.2999999999999998</c:v>
                </c:pt>
                <c:pt idx="28">
                  <c:v>2.52</c:v>
                </c:pt>
                <c:pt idx="29">
                  <c:v>1.69</c:v>
                </c:pt>
                <c:pt idx="30">
                  <c:v>2.84</c:v>
                </c:pt>
                <c:pt idx="31">
                  <c:v>1.88</c:v>
                </c:pt>
                <c:pt idx="32">
                  <c:v>0.72</c:v>
                </c:pt>
                <c:pt idx="33">
                  <c:v>2.31</c:v>
                </c:pt>
                <c:pt idx="34">
                  <c:v>1.3</c:v>
                </c:pt>
                <c:pt idx="35">
                  <c:v>3.16</c:v>
                </c:pt>
                <c:pt idx="36">
                  <c:v>2.2000000000000002</c:v>
                </c:pt>
                <c:pt idx="37">
                  <c:v>1.92</c:v>
                </c:pt>
                <c:pt idx="38">
                  <c:v>3.33</c:v>
                </c:pt>
                <c:pt idx="39">
                  <c:v>1.51</c:v>
                </c:pt>
                <c:pt idx="40">
                  <c:v>2.29</c:v>
                </c:pt>
                <c:pt idx="41">
                  <c:v>3.08</c:v>
                </c:pt>
                <c:pt idx="42">
                  <c:v>2.78</c:v>
                </c:pt>
                <c:pt idx="43">
                  <c:v>4.9800000000000004</c:v>
                </c:pt>
                <c:pt idx="44">
                  <c:v>2.78</c:v>
                </c:pt>
                <c:pt idx="45">
                  <c:v>2.2000000000000002</c:v>
                </c:pt>
                <c:pt idx="46">
                  <c:v>2.93</c:v>
                </c:pt>
                <c:pt idx="47">
                  <c:v>3.8</c:v>
                </c:pt>
                <c:pt idx="48">
                  <c:v>2.91</c:v>
                </c:pt>
                <c:pt idx="49">
                  <c:v>5.24</c:v>
                </c:pt>
                <c:pt idx="50">
                  <c:v>2</c:v>
                </c:pt>
                <c:pt idx="51">
                  <c:v>0.56999999999999995</c:v>
                </c:pt>
                <c:pt idx="52">
                  <c:v>0.94</c:v>
                </c:pt>
                <c:pt idx="53">
                  <c:v>1.28</c:v>
                </c:pt>
                <c:pt idx="54">
                  <c:v>1.32</c:v>
                </c:pt>
                <c:pt idx="55">
                  <c:v>1.85</c:v>
                </c:pt>
                <c:pt idx="56">
                  <c:v>1.98</c:v>
                </c:pt>
                <c:pt idx="57">
                  <c:v>0.66</c:v>
                </c:pt>
                <c:pt idx="58">
                  <c:v>1.1000000000000001</c:v>
                </c:pt>
                <c:pt idx="59">
                  <c:v>3.67</c:v>
                </c:pt>
                <c:pt idx="60">
                  <c:v>2.99</c:v>
                </c:pt>
                <c:pt idx="61">
                  <c:v>1.91</c:v>
                </c:pt>
                <c:pt idx="62">
                  <c:v>1.95</c:v>
                </c:pt>
                <c:pt idx="63">
                  <c:v>2.12</c:v>
                </c:pt>
                <c:pt idx="64">
                  <c:v>2.2599999999999998</c:v>
                </c:pt>
                <c:pt idx="65">
                  <c:v>0.93</c:v>
                </c:pt>
                <c:pt idx="66">
                  <c:v>1.52</c:v>
                </c:pt>
                <c:pt idx="67">
                  <c:v>1.21</c:v>
                </c:pt>
                <c:pt idx="68">
                  <c:v>1.33</c:v>
                </c:pt>
                <c:pt idx="69">
                  <c:v>2.0699999999999998</c:v>
                </c:pt>
                <c:pt idx="70">
                  <c:v>2.2599999999999998</c:v>
                </c:pt>
                <c:pt idx="71">
                  <c:v>1.52</c:v>
                </c:pt>
                <c:pt idx="72">
                  <c:v>2.21</c:v>
                </c:pt>
                <c:pt idx="73">
                  <c:v>5.0599999999999996</c:v>
                </c:pt>
                <c:pt idx="74">
                  <c:v>1.24</c:v>
                </c:pt>
                <c:pt idx="75">
                  <c:v>0.86</c:v>
                </c:pt>
                <c:pt idx="76">
                  <c:v>1.95</c:v>
                </c:pt>
                <c:pt idx="77">
                  <c:v>2.2200000000000002</c:v>
                </c:pt>
                <c:pt idx="78">
                  <c:v>1.92</c:v>
                </c:pt>
                <c:pt idx="79">
                  <c:v>3.22</c:v>
                </c:pt>
                <c:pt idx="80">
                  <c:v>1.94</c:v>
                </c:pt>
                <c:pt idx="81">
                  <c:v>1.96</c:v>
                </c:pt>
                <c:pt idx="82">
                  <c:v>0.9</c:v>
                </c:pt>
                <c:pt idx="83">
                  <c:v>1.64</c:v>
                </c:pt>
                <c:pt idx="84">
                  <c:v>4.43</c:v>
                </c:pt>
                <c:pt idx="85">
                  <c:v>2</c:v>
                </c:pt>
                <c:pt idx="86">
                  <c:v>0.76</c:v>
                </c:pt>
                <c:pt idx="87">
                  <c:v>1.28</c:v>
                </c:pt>
                <c:pt idx="88">
                  <c:v>1.29</c:v>
                </c:pt>
                <c:pt idx="89">
                  <c:v>1.28</c:v>
                </c:pt>
                <c:pt idx="90">
                  <c:v>1.48</c:v>
                </c:pt>
                <c:pt idx="91">
                  <c:v>0.9</c:v>
                </c:pt>
                <c:pt idx="92">
                  <c:v>1.1100000000000001</c:v>
                </c:pt>
                <c:pt idx="93">
                  <c:v>2.4300000000000002</c:v>
                </c:pt>
                <c:pt idx="94">
                  <c:v>2.2599999999999998</c:v>
                </c:pt>
                <c:pt idx="95">
                  <c:v>5.28</c:v>
                </c:pt>
                <c:pt idx="96">
                  <c:v>2.91</c:v>
                </c:pt>
                <c:pt idx="97">
                  <c:v>1.72</c:v>
                </c:pt>
                <c:pt idx="98">
                  <c:v>2.5099999999999998</c:v>
                </c:pt>
                <c:pt idx="99">
                  <c:v>1.56</c:v>
                </c:pt>
                <c:pt idx="100">
                  <c:v>2.0699999999999998</c:v>
                </c:pt>
                <c:pt idx="101">
                  <c:v>2.5499999999999998</c:v>
                </c:pt>
                <c:pt idx="102">
                  <c:v>0.52</c:v>
                </c:pt>
                <c:pt idx="103">
                  <c:v>1.87</c:v>
                </c:pt>
                <c:pt idx="104">
                  <c:v>0.98</c:v>
                </c:pt>
                <c:pt idx="105">
                  <c:v>3.5</c:v>
                </c:pt>
                <c:pt idx="106">
                  <c:v>3.75</c:v>
                </c:pt>
                <c:pt idx="107">
                  <c:v>1.46</c:v>
                </c:pt>
                <c:pt idx="108">
                  <c:v>1.1399999999999999</c:v>
                </c:pt>
                <c:pt idx="109">
                  <c:v>1.64</c:v>
                </c:pt>
                <c:pt idx="110">
                  <c:v>1.7</c:v>
                </c:pt>
                <c:pt idx="111">
                  <c:v>1.72</c:v>
                </c:pt>
                <c:pt idx="112">
                  <c:v>1.62</c:v>
                </c:pt>
                <c:pt idx="113">
                  <c:v>1.06</c:v>
                </c:pt>
                <c:pt idx="114">
                  <c:v>1.03</c:v>
                </c:pt>
                <c:pt idx="115">
                  <c:v>1.1000000000000001</c:v>
                </c:pt>
                <c:pt idx="116">
                  <c:v>0.82</c:v>
                </c:pt>
                <c:pt idx="117">
                  <c:v>1</c:v>
                </c:pt>
                <c:pt idx="118">
                  <c:v>0.84</c:v>
                </c:pt>
                <c:pt idx="119">
                  <c:v>0.98</c:v>
                </c:pt>
                <c:pt idx="120">
                  <c:v>1.67</c:v>
                </c:pt>
                <c:pt idx="121">
                  <c:v>1.76</c:v>
                </c:pt>
                <c:pt idx="122">
                  <c:v>10.6</c:v>
                </c:pt>
                <c:pt idx="123">
                  <c:v>0.94</c:v>
                </c:pt>
                <c:pt idx="124">
                  <c:v>0.56000000000000005</c:v>
                </c:pt>
                <c:pt idx="125">
                  <c:v>3.05</c:v>
                </c:pt>
                <c:pt idx="126">
                  <c:v>1.74</c:v>
                </c:pt>
                <c:pt idx="127">
                  <c:v>1.1399999999999999</c:v>
                </c:pt>
                <c:pt idx="128">
                  <c:v>1.52</c:v>
                </c:pt>
                <c:pt idx="129">
                  <c:v>1.86</c:v>
                </c:pt>
                <c:pt idx="130">
                  <c:v>1.6</c:v>
                </c:pt>
                <c:pt idx="131">
                  <c:v>0.98</c:v>
                </c:pt>
                <c:pt idx="132">
                  <c:v>2.12</c:v>
                </c:pt>
                <c:pt idx="133">
                  <c:v>1.26</c:v>
                </c:pt>
                <c:pt idx="134">
                  <c:v>1.33</c:v>
                </c:pt>
                <c:pt idx="135">
                  <c:v>0.71</c:v>
                </c:pt>
                <c:pt idx="136">
                  <c:v>1.63</c:v>
                </c:pt>
                <c:pt idx="137">
                  <c:v>1.47</c:v>
                </c:pt>
                <c:pt idx="138">
                  <c:v>0.84</c:v>
                </c:pt>
                <c:pt idx="139">
                  <c:v>1.72</c:v>
                </c:pt>
                <c:pt idx="140">
                  <c:v>1.34</c:v>
                </c:pt>
                <c:pt idx="141">
                  <c:v>1.17</c:v>
                </c:pt>
                <c:pt idx="142">
                  <c:v>2.91</c:v>
                </c:pt>
                <c:pt idx="143">
                  <c:v>2.59</c:v>
                </c:pt>
                <c:pt idx="144">
                  <c:v>4.57</c:v>
                </c:pt>
                <c:pt idx="145">
                  <c:v>1.23</c:v>
                </c:pt>
                <c:pt idx="146">
                  <c:v>4.83</c:v>
                </c:pt>
                <c:pt idx="147">
                  <c:v>2.17</c:v>
                </c:pt>
                <c:pt idx="148">
                  <c:v>2.56</c:v>
                </c:pt>
                <c:pt idx="149">
                  <c:v>4.8600000000000003</c:v>
                </c:pt>
                <c:pt idx="150">
                  <c:v>1.88</c:v>
                </c:pt>
                <c:pt idx="151">
                  <c:v>1.1100000000000001</c:v>
                </c:pt>
                <c:pt idx="152">
                  <c:v>2.16</c:v>
                </c:pt>
                <c:pt idx="153">
                  <c:v>1.79</c:v>
                </c:pt>
                <c:pt idx="154">
                  <c:v>2.84</c:v>
                </c:pt>
                <c:pt idx="155">
                  <c:v>2.29</c:v>
                </c:pt>
                <c:pt idx="156">
                  <c:v>1.98</c:v>
                </c:pt>
                <c:pt idx="157">
                  <c:v>0.86</c:v>
                </c:pt>
                <c:pt idx="158">
                  <c:v>1.61</c:v>
                </c:pt>
                <c:pt idx="159">
                  <c:v>1.82</c:v>
                </c:pt>
                <c:pt idx="160">
                  <c:v>0.48</c:v>
                </c:pt>
                <c:pt idx="161">
                  <c:v>1.24</c:v>
                </c:pt>
                <c:pt idx="162">
                  <c:v>0.5</c:v>
                </c:pt>
                <c:pt idx="163">
                  <c:v>0.53</c:v>
                </c:pt>
                <c:pt idx="164">
                  <c:v>1.24</c:v>
                </c:pt>
                <c:pt idx="165">
                  <c:v>0</c:v>
                </c:pt>
                <c:pt idx="166">
                  <c:v>0.7</c:v>
                </c:pt>
                <c:pt idx="167">
                  <c:v>2.0299999999999998</c:v>
                </c:pt>
                <c:pt idx="168">
                  <c:v>1.03</c:v>
                </c:pt>
                <c:pt idx="169">
                  <c:v>1.1499999999999999</c:v>
                </c:pt>
                <c:pt idx="170">
                  <c:v>1.45</c:v>
                </c:pt>
                <c:pt idx="171">
                  <c:v>0.95</c:v>
                </c:pt>
                <c:pt idx="172">
                  <c:v>0.68</c:v>
                </c:pt>
                <c:pt idx="173">
                  <c:v>0.97</c:v>
                </c:pt>
                <c:pt idx="174">
                  <c:v>0.98</c:v>
                </c:pt>
                <c:pt idx="175">
                  <c:v>0.8</c:v>
                </c:pt>
                <c:pt idx="176">
                  <c:v>2.12</c:v>
                </c:pt>
                <c:pt idx="177">
                  <c:v>3.09</c:v>
                </c:pt>
                <c:pt idx="178">
                  <c:v>3.53</c:v>
                </c:pt>
                <c:pt idx="179">
                  <c:v>1.26</c:v>
                </c:pt>
                <c:pt idx="180">
                  <c:v>0.57999999999999996</c:v>
                </c:pt>
                <c:pt idx="181">
                  <c:v>1.71</c:v>
                </c:pt>
                <c:pt idx="182">
                  <c:v>0</c:v>
                </c:pt>
                <c:pt idx="183">
                  <c:v>0.82</c:v>
                </c:pt>
                <c:pt idx="184">
                  <c:v>0.53</c:v>
                </c:pt>
                <c:pt idx="185">
                  <c:v>0.95</c:v>
                </c:pt>
                <c:pt idx="186">
                  <c:v>0.52</c:v>
                </c:pt>
                <c:pt idx="187">
                  <c:v>1.67</c:v>
                </c:pt>
                <c:pt idx="188">
                  <c:v>0.52</c:v>
                </c:pt>
                <c:pt idx="189">
                  <c:v>1.0900000000000001</c:v>
                </c:pt>
                <c:pt idx="190">
                  <c:v>1.48</c:v>
                </c:pt>
                <c:pt idx="191">
                  <c:v>1.68</c:v>
                </c:pt>
                <c:pt idx="192">
                  <c:v>0.7</c:v>
                </c:pt>
                <c:pt idx="193">
                  <c:v>0.57999999999999996</c:v>
                </c:pt>
                <c:pt idx="194">
                  <c:v>0.89</c:v>
                </c:pt>
                <c:pt idx="195">
                  <c:v>1.31</c:v>
                </c:pt>
                <c:pt idx="196">
                  <c:v>0.87</c:v>
                </c:pt>
                <c:pt idx="197">
                  <c:v>0.53</c:v>
                </c:pt>
                <c:pt idx="198">
                  <c:v>2.31</c:v>
                </c:pt>
                <c:pt idx="199">
                  <c:v>1.72</c:v>
                </c:pt>
                <c:pt idx="200">
                  <c:v>0.19</c:v>
                </c:pt>
                <c:pt idx="201">
                  <c:v>1.5</c:v>
                </c:pt>
                <c:pt idx="202">
                  <c:v>1.07</c:v>
                </c:pt>
                <c:pt idx="203">
                  <c:v>0.63</c:v>
                </c:pt>
                <c:pt idx="204">
                  <c:v>0.54</c:v>
                </c:pt>
                <c:pt idx="205">
                  <c:v>0.82</c:v>
                </c:pt>
                <c:pt idx="206">
                  <c:v>0.66</c:v>
                </c:pt>
                <c:pt idx="207">
                  <c:v>1.47</c:v>
                </c:pt>
                <c:pt idx="208">
                  <c:v>2.66</c:v>
                </c:pt>
                <c:pt idx="209">
                  <c:v>0.79</c:v>
                </c:pt>
                <c:pt idx="210">
                  <c:v>0.86</c:v>
                </c:pt>
                <c:pt idx="211">
                  <c:v>1.2</c:v>
                </c:pt>
                <c:pt idx="212">
                  <c:v>2.94</c:v>
                </c:pt>
                <c:pt idx="213">
                  <c:v>1.03</c:v>
                </c:pt>
                <c:pt idx="214">
                  <c:v>0.83</c:v>
                </c:pt>
                <c:pt idx="215">
                  <c:v>0.67</c:v>
                </c:pt>
                <c:pt idx="216">
                  <c:v>0.84</c:v>
                </c:pt>
                <c:pt idx="217">
                  <c:v>0.52</c:v>
                </c:pt>
                <c:pt idx="218">
                  <c:v>1.1000000000000001</c:v>
                </c:pt>
                <c:pt idx="219">
                  <c:v>0.65</c:v>
                </c:pt>
              </c:numCache>
            </c:numRef>
          </c:yVal>
          <c:smooth val="1"/>
        </c:ser>
        <c:dLbls>
          <c:showLegendKey val="0"/>
          <c:showVal val="0"/>
          <c:showCatName val="0"/>
          <c:showSerName val="0"/>
          <c:showPercent val="0"/>
          <c:showBubbleSize val="0"/>
        </c:dLbls>
        <c:axId val="95851264"/>
        <c:axId val="95853568"/>
      </c:scatterChart>
      <c:valAx>
        <c:axId val="95851264"/>
        <c:scaling>
          <c:orientation val="minMax"/>
        </c:scaling>
        <c:delete val="0"/>
        <c:axPos val="b"/>
        <c:majorGridlines>
          <c:spPr>
            <a:ln>
              <a:solidFill>
                <a:srgbClr val="B7B7B7"/>
              </a:solidFill>
            </a:ln>
          </c:spPr>
        </c:majorGridlines>
        <c:title>
          <c:tx>
            <c:rich>
              <a:bodyPr/>
              <a:lstStyle/>
              <a:p>
                <a:pPr lvl="0">
                  <a:defRPr/>
                </a:pPr>
                <a:r>
                  <a:t>Basket</a:t>
                </a:r>
              </a:p>
            </c:rich>
          </c:tx>
          <c:overlay val="0"/>
        </c:title>
        <c:numFmt formatCode="General" sourceLinked="1"/>
        <c:majorTickMark val="cross"/>
        <c:minorTickMark val="cross"/>
        <c:tickLblPos val="nextTo"/>
        <c:spPr>
          <a:ln w="47625">
            <a:noFill/>
          </a:ln>
        </c:spPr>
        <c:txPr>
          <a:bodyPr/>
          <a:lstStyle/>
          <a:p>
            <a:pPr lvl="0">
              <a:defRPr/>
            </a:pPr>
            <a:endParaRPr lang="en-US"/>
          </a:p>
        </c:txPr>
        <c:crossAx val="95853568"/>
        <c:crosses val="autoZero"/>
        <c:crossBetween val="midCat"/>
      </c:valAx>
      <c:valAx>
        <c:axId val="95853568"/>
        <c:scaling>
          <c:orientation val="minMax"/>
        </c:scaling>
        <c:delete val="0"/>
        <c:axPos val="l"/>
        <c:majorGridlines>
          <c:spPr>
            <a:ln>
              <a:solidFill>
                <a:srgbClr val="B7B7B7"/>
              </a:solidFill>
            </a:ln>
          </c:spPr>
        </c:majorGridlines>
        <c:title>
          <c:tx>
            <c:rich>
              <a:bodyPr/>
              <a:lstStyle/>
              <a:p>
                <a:pPr lvl="0">
                  <a:defRPr/>
                </a:pPr>
                <a:r>
                  <a:t>Weight</a:t>
                </a:r>
              </a:p>
            </c:rich>
          </c:tx>
          <c:overlay val="0"/>
        </c:title>
        <c:numFmt formatCode="General" sourceLinked="1"/>
        <c:majorTickMark val="cross"/>
        <c:minorTickMark val="cross"/>
        <c:tickLblPos val="nextTo"/>
        <c:spPr>
          <a:ln w="47625">
            <a:noFill/>
          </a:ln>
        </c:spPr>
        <c:txPr>
          <a:bodyPr/>
          <a:lstStyle/>
          <a:p>
            <a:pPr lvl="0">
              <a:defRPr/>
            </a:pPr>
            <a:endParaRPr lang="en-US"/>
          </a:p>
        </c:txPr>
        <c:crossAx val="95851264"/>
        <c:crosses val="autoZero"/>
        <c:crossBetween val="midCat"/>
      </c:valAx>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26</xdr:row>
      <xdr:rowOff>19050</xdr:rowOff>
    </xdr:from>
    <xdr:to>
      <xdr:col>1</xdr:col>
      <xdr:colOff>5362575</xdr:colOff>
      <xdr:row>45</xdr:row>
      <xdr:rowOff>66675</xdr:rowOff>
    </xdr:to>
    <xdr:pic>
      <xdr:nvPicPr>
        <xdr:cNvPr id="2" name="image01.png"/>
        <xdr:cNvPicPr preferRelativeResize="0"/>
      </xdr:nvPicPr>
      <xdr:blipFill>
        <a:blip xmlns:r="http://schemas.openxmlformats.org/officeDocument/2006/relationships" r:embed="rId1" cstate="print"/>
        <a:stretch>
          <a:fillRect/>
        </a:stretch>
      </xdr:blipFill>
      <xdr:spPr>
        <a:xfrm>
          <a:off x="0" y="0"/>
          <a:ext cx="5334000" cy="3667125"/>
        </a:xfrm>
        <a:prstGeom prst="rect">
          <a:avLst/>
        </a:prstGeom>
        <a:noFill/>
      </xdr:spPr>
    </xdr:pic>
    <xdr:clientData fLocksWithSheet="0"/>
  </xdr:twoCellAnchor>
  <xdr:twoCellAnchor>
    <xdr:from>
      <xdr:col>0</xdr:col>
      <xdr:colOff>1619250</xdr:colOff>
      <xdr:row>11</xdr:row>
      <xdr:rowOff>838200</xdr:rowOff>
    </xdr:from>
    <xdr:to>
      <xdr:col>1</xdr:col>
      <xdr:colOff>5753100</xdr:colOff>
      <xdr:row>13</xdr:row>
      <xdr:rowOff>1809750</xdr:rowOff>
    </xdr:to>
    <xdr:pic>
      <xdr:nvPicPr>
        <xdr:cNvPr id="3" name="image02.png"/>
        <xdr:cNvPicPr preferRelativeResize="0"/>
      </xdr:nvPicPr>
      <xdr:blipFill>
        <a:blip xmlns:r="http://schemas.openxmlformats.org/officeDocument/2006/relationships" r:embed="rId2" cstate="print"/>
        <a:stretch>
          <a:fillRect/>
        </a:stretch>
      </xdr:blipFill>
      <xdr:spPr>
        <a:xfrm>
          <a:off x="0" y="0"/>
          <a:ext cx="5762625" cy="2952750"/>
        </a:xfrm>
        <a:prstGeom prst="rect">
          <a:avLst/>
        </a:prstGeom>
        <a:noFill/>
      </xdr:spPr>
    </xdr:pic>
    <xdr:clientData fLocksWithSheet="0"/>
  </xdr:twoCellAnchor>
  <xdr:twoCellAnchor>
    <xdr:from>
      <xdr:col>1</xdr:col>
      <xdr:colOff>57150</xdr:colOff>
      <xdr:row>2</xdr:row>
      <xdr:rowOff>0</xdr:rowOff>
    </xdr:from>
    <xdr:to>
      <xdr:col>2</xdr:col>
      <xdr:colOff>28575</xdr:colOff>
      <xdr:row>5</xdr:row>
      <xdr:rowOff>0</xdr:rowOff>
    </xdr:to>
    <xdr:pic>
      <xdr:nvPicPr>
        <xdr:cNvPr id="4" name="image03.png" title="Image"/>
        <xdr:cNvPicPr preferRelativeResize="0"/>
      </xdr:nvPicPr>
      <xdr:blipFill>
        <a:blip xmlns:r="http://schemas.openxmlformats.org/officeDocument/2006/relationships" r:embed="rId3" cstate="print"/>
        <a:stretch>
          <a:fillRect/>
        </a:stretch>
      </xdr:blipFill>
      <xdr:spPr>
        <a:xfrm>
          <a:off x="0" y="0"/>
          <a:ext cx="5762625" cy="1866900"/>
        </a:xfrm>
        <a:prstGeom prst="rect">
          <a:avLst/>
        </a:prstGeom>
        <a:noFill/>
      </xdr:spPr>
    </xdr:pic>
    <xdr:clientData fLocksWithSheet="0"/>
  </xdr:twoCellAnchor>
  <xdr:twoCellAnchor>
    <xdr:from>
      <xdr:col>0</xdr:col>
      <xdr:colOff>1543050</xdr:colOff>
      <xdr:row>13</xdr:row>
      <xdr:rowOff>295275</xdr:rowOff>
    </xdr:from>
    <xdr:to>
      <xdr:col>1</xdr:col>
      <xdr:colOff>5676900</xdr:colOff>
      <xdr:row>13</xdr:row>
      <xdr:rowOff>1666875</xdr:rowOff>
    </xdr:to>
    <xdr:pic>
      <xdr:nvPicPr>
        <xdr:cNvPr id="5" name="image04.png" title="Image"/>
        <xdr:cNvPicPr preferRelativeResize="0"/>
      </xdr:nvPicPr>
      <xdr:blipFill>
        <a:blip xmlns:r="http://schemas.openxmlformats.org/officeDocument/2006/relationships" r:embed="rId4" cstate="print"/>
        <a:stretch>
          <a:fillRect/>
        </a:stretch>
      </xdr:blipFill>
      <xdr:spPr>
        <a:xfrm>
          <a:off x="0" y="0"/>
          <a:ext cx="5762625" cy="1371600"/>
        </a:xfrm>
        <a:prstGeom prst="rect">
          <a:avLst/>
        </a:prstGeom>
        <a:noFill/>
      </xdr:spPr>
    </xdr:pic>
    <xdr:clientData fLocksWithSheet="0"/>
  </xdr:twoCellAnchor>
</xdr:wsDr>
</file>

<file path=xl/drawings/drawing2.xml><?xml version="1.0" encoding="utf-8"?>
<xdr:wsDr xmlns:xdr="http://schemas.openxmlformats.org/drawingml/2006/spreadsheetDrawing" xmlns:a="http://schemas.openxmlformats.org/drawingml/2006/main">
  <xdr:twoCellAnchor>
    <xdr:from>
      <xdr:col>9</xdr:col>
      <xdr:colOff>57150</xdr:colOff>
      <xdr:row>11</xdr:row>
      <xdr:rowOff>28575</xdr:rowOff>
    </xdr:from>
    <xdr:to>
      <xdr:col>16</xdr:col>
      <xdr:colOff>219075</xdr:colOff>
      <xdr:row>23</xdr:row>
      <xdr:rowOff>142875</xdr:rowOff>
    </xdr:to>
    <xdr:pic>
      <xdr:nvPicPr>
        <xdr:cNvPr id="2" name="image00.png" title="Image"/>
        <xdr:cNvPicPr preferRelativeResize="0"/>
      </xdr:nvPicPr>
      <xdr:blipFill>
        <a:blip xmlns:r="http://schemas.openxmlformats.org/officeDocument/2006/relationships" r:embed="rId1" cstate="print"/>
        <a:stretch>
          <a:fillRect/>
        </a:stretch>
      </xdr:blipFill>
      <xdr:spPr>
        <a:xfrm>
          <a:off x="0" y="0"/>
          <a:ext cx="4229100" cy="24003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600075</xdr:colOff>
      <xdr:row>49</xdr:row>
      <xdr:rowOff>152400</xdr:rowOff>
    </xdr:to>
    <xdr:sp macro="" textlink="">
      <xdr:nvSpPr>
        <xdr:cNvPr id="1026" name="Rectangle 2"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647700</xdr:colOff>
      <xdr:row>47</xdr:row>
      <xdr:rowOff>123825</xdr:rowOff>
    </xdr:to>
    <xdr:sp macro="" textlink="">
      <xdr:nvSpPr>
        <xdr:cNvPr id="2055" name="Rectangle 7" hidden="1"/>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371475</xdr:colOff>
      <xdr:row>205</xdr:row>
      <xdr:rowOff>66675</xdr:rowOff>
    </xdr:from>
    <xdr:to>
      <xdr:col>11</xdr:col>
      <xdr:colOff>323850</xdr:colOff>
      <xdr:row>223</xdr:row>
      <xdr:rowOff>171450</xdr:rowOff>
    </xdr:to>
    <xdr:graphicFrame macro="">
      <xdr:nvGraphicFramePr>
        <xdr:cNvPr id="2" name="Chart 1"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tabSelected="1" workbookViewId="0"/>
  </sheetViews>
  <sheetFormatPr defaultColWidth="17.28515625" defaultRowHeight="15" customHeight="1"/>
  <cols>
    <col min="1" max="1" width="24.42578125" customWidth="1"/>
    <col min="2" max="2" width="86.85546875" customWidth="1"/>
    <col min="3" max="11" width="11.42578125" customWidth="1"/>
    <col min="12" max="12" width="86.85546875" customWidth="1"/>
  </cols>
  <sheetData>
    <row r="1" spans="1:12" ht="16.5" customHeight="1">
      <c r="A1" s="5"/>
      <c r="B1" s="7" t="s">
        <v>28</v>
      </c>
      <c r="C1" s="1"/>
      <c r="D1" s="1"/>
      <c r="E1" s="1"/>
      <c r="F1" s="1"/>
      <c r="G1" s="6"/>
      <c r="H1" s="6"/>
      <c r="I1" s="6"/>
      <c r="J1" s="6"/>
      <c r="K1" s="6"/>
      <c r="L1" s="6"/>
    </row>
    <row r="2" spans="1:12" ht="15.75" customHeight="1">
      <c r="A2" s="116" t="s">
        <v>30</v>
      </c>
      <c r="B2" s="11"/>
      <c r="C2" s="1"/>
      <c r="D2" s="1"/>
      <c r="E2" s="1"/>
      <c r="F2" s="1"/>
      <c r="G2" s="6"/>
      <c r="H2" s="6"/>
      <c r="I2" s="6"/>
      <c r="J2" s="6"/>
      <c r="K2" s="6"/>
      <c r="L2" s="6"/>
    </row>
    <row r="3" spans="1:12" ht="15.75" customHeight="1">
      <c r="A3" s="117"/>
      <c r="B3" s="12"/>
      <c r="C3" s="1"/>
      <c r="D3" s="13"/>
      <c r="E3" s="1"/>
      <c r="F3" s="1"/>
      <c r="G3" s="6"/>
      <c r="H3" s="6"/>
      <c r="I3" s="6"/>
      <c r="J3" s="6"/>
      <c r="K3" s="6"/>
      <c r="L3" s="6"/>
    </row>
    <row r="4" spans="1:12" ht="15" customHeight="1">
      <c r="A4" s="14"/>
      <c r="B4" s="1"/>
      <c r="C4" s="1"/>
      <c r="D4" s="1"/>
      <c r="E4" s="1"/>
      <c r="F4" s="1"/>
      <c r="G4" s="6"/>
      <c r="H4" s="6"/>
      <c r="I4" s="6"/>
      <c r="J4" s="6"/>
      <c r="K4" s="6"/>
      <c r="L4" s="6"/>
    </row>
    <row r="5" spans="1:12" ht="116.25" customHeight="1">
      <c r="A5" s="16"/>
      <c r="B5" s="18"/>
      <c r="C5" s="1"/>
      <c r="D5" s="1"/>
      <c r="E5" s="1"/>
      <c r="F5" s="1"/>
      <c r="G5" s="6"/>
      <c r="H5" s="6"/>
      <c r="I5" s="6"/>
      <c r="J5" s="6"/>
      <c r="K5" s="6"/>
      <c r="L5" s="6"/>
    </row>
    <row r="6" spans="1:12" ht="47.25" customHeight="1">
      <c r="A6" s="19" t="s">
        <v>43</v>
      </c>
      <c r="C6" s="1"/>
      <c r="D6" s="1"/>
      <c r="E6" s="1"/>
      <c r="F6" s="1"/>
      <c r="G6" s="6"/>
      <c r="H6" s="6"/>
      <c r="I6" s="6"/>
      <c r="J6" s="6"/>
      <c r="K6" s="6"/>
      <c r="L6" s="6"/>
    </row>
    <row r="7" spans="1:12" ht="15" customHeight="1">
      <c r="A7" s="120" t="s">
        <v>44</v>
      </c>
      <c r="B7" s="23" t="s">
        <v>47</v>
      </c>
      <c r="C7" s="1"/>
      <c r="D7" s="1"/>
      <c r="E7" s="1"/>
      <c r="F7" s="1"/>
      <c r="G7" s="6"/>
      <c r="H7" s="6"/>
      <c r="I7" s="6"/>
      <c r="J7" s="6"/>
      <c r="K7" s="6"/>
      <c r="L7" s="6"/>
    </row>
    <row r="8" spans="1:12" ht="15" customHeight="1">
      <c r="A8" s="121"/>
      <c r="B8" s="25"/>
      <c r="C8" s="1"/>
      <c r="D8" s="1"/>
      <c r="E8" s="1"/>
      <c r="F8" s="1"/>
      <c r="G8" s="6"/>
      <c r="H8" s="6"/>
      <c r="I8" s="6"/>
      <c r="J8" s="6"/>
      <c r="K8" s="6"/>
      <c r="L8" s="6"/>
    </row>
    <row r="9" spans="1:12" ht="9.75" customHeight="1">
      <c r="A9" s="121"/>
      <c r="B9" s="27"/>
      <c r="C9" s="1"/>
      <c r="D9" s="1"/>
      <c r="E9" s="1"/>
      <c r="F9" s="1"/>
      <c r="G9" s="6"/>
      <c r="H9" s="6"/>
      <c r="I9" s="6"/>
      <c r="J9" s="6"/>
      <c r="K9" s="6"/>
      <c r="L9" s="6"/>
    </row>
    <row r="10" spans="1:12" ht="15" hidden="1" customHeight="1">
      <c r="A10" s="121"/>
      <c r="B10" s="27"/>
      <c r="C10" s="1"/>
      <c r="D10" s="1"/>
      <c r="E10" s="1"/>
      <c r="F10" s="1"/>
      <c r="G10" s="6"/>
      <c r="H10" s="6"/>
      <c r="I10" s="6"/>
      <c r="J10" s="6"/>
      <c r="K10" s="6"/>
      <c r="L10" s="6"/>
    </row>
    <row r="11" spans="1:12" ht="10.5" hidden="1" customHeight="1">
      <c r="A11" s="121"/>
      <c r="B11" s="29"/>
      <c r="C11" s="1"/>
      <c r="D11" s="1"/>
      <c r="E11" s="1"/>
      <c r="F11" s="1"/>
      <c r="G11" s="6"/>
      <c r="H11" s="6"/>
      <c r="I11" s="6"/>
      <c r="J11" s="6"/>
      <c r="K11" s="6"/>
      <c r="L11" s="6"/>
    </row>
    <row r="12" spans="1:12" ht="68.25" customHeight="1">
      <c r="A12" s="32" t="s">
        <v>50</v>
      </c>
      <c r="B12" s="34" t="s">
        <v>54</v>
      </c>
      <c r="C12" s="1"/>
      <c r="D12" s="1"/>
      <c r="E12" s="1"/>
      <c r="F12" s="1"/>
      <c r="G12" s="6"/>
      <c r="H12" s="6"/>
      <c r="I12" s="6"/>
      <c r="J12" s="6"/>
      <c r="K12" s="6"/>
      <c r="L12" s="6"/>
    </row>
    <row r="13" spans="1:12" ht="87.75" customHeight="1">
      <c r="A13" s="9" t="s">
        <v>56</v>
      </c>
      <c r="B13" s="36"/>
      <c r="C13" s="1"/>
      <c r="D13" s="1"/>
      <c r="E13" s="1"/>
      <c r="F13" s="1"/>
      <c r="G13" s="6"/>
      <c r="H13" s="6"/>
      <c r="I13" s="6"/>
      <c r="J13" s="6"/>
      <c r="K13" s="6"/>
      <c r="L13" s="6"/>
    </row>
    <row r="14" spans="1:12" ht="159" customHeight="1">
      <c r="A14" s="37"/>
      <c r="B14" s="38"/>
      <c r="C14" s="1"/>
      <c r="D14" s="1"/>
      <c r="E14" s="1"/>
      <c r="F14" s="1"/>
      <c r="G14" s="6"/>
      <c r="H14" s="6"/>
      <c r="I14" s="6"/>
      <c r="J14" s="6"/>
      <c r="K14" s="6"/>
      <c r="L14" s="6"/>
    </row>
    <row r="15" spans="1:12" ht="33" customHeight="1">
      <c r="A15" s="37"/>
      <c r="B15" s="38"/>
      <c r="C15" s="1"/>
      <c r="D15" s="1"/>
      <c r="E15" s="1"/>
      <c r="F15" s="1"/>
      <c r="G15" s="6"/>
      <c r="H15" s="6"/>
      <c r="I15" s="6"/>
      <c r="J15" s="6"/>
      <c r="K15" s="6"/>
      <c r="L15" s="6"/>
    </row>
    <row r="16" spans="1:12" ht="52.5" customHeight="1">
      <c r="A16" s="39"/>
      <c r="B16" s="40"/>
      <c r="C16" s="1"/>
      <c r="D16" s="1"/>
      <c r="E16" s="1"/>
      <c r="F16" s="1"/>
      <c r="G16" s="6"/>
      <c r="H16" s="6"/>
      <c r="I16" s="6"/>
      <c r="J16" s="6"/>
      <c r="K16" s="6"/>
      <c r="L16" s="6"/>
    </row>
    <row r="17" spans="1:12" ht="15" customHeight="1">
      <c r="A17" s="39"/>
      <c r="B17" s="41"/>
      <c r="C17" s="1"/>
      <c r="D17" s="1"/>
      <c r="E17" s="1"/>
      <c r="F17" s="1"/>
      <c r="G17" s="6"/>
      <c r="H17" s="6"/>
      <c r="I17" s="6"/>
      <c r="J17" s="6"/>
      <c r="K17" s="6"/>
      <c r="L17" s="6"/>
    </row>
    <row r="18" spans="1:12" ht="15" customHeight="1">
      <c r="A18" s="14"/>
      <c r="B18" s="38"/>
      <c r="C18" s="1"/>
      <c r="D18" s="1"/>
      <c r="E18" s="1"/>
      <c r="F18" s="1"/>
      <c r="G18" s="6"/>
      <c r="H18" s="6"/>
      <c r="I18" s="6"/>
      <c r="J18" s="6"/>
      <c r="K18" s="6"/>
      <c r="L18" s="6"/>
    </row>
    <row r="19" spans="1:12" ht="15" customHeight="1">
      <c r="A19" s="14"/>
      <c r="B19" s="42"/>
      <c r="C19" s="1"/>
      <c r="D19" s="1"/>
      <c r="E19" s="1"/>
      <c r="F19" s="1"/>
      <c r="G19" s="6"/>
      <c r="H19" s="6"/>
      <c r="I19" s="6"/>
      <c r="J19" s="6"/>
      <c r="K19" s="6"/>
      <c r="L19" s="6"/>
    </row>
    <row r="20" spans="1:12" ht="36.75" customHeight="1">
      <c r="A20" s="43"/>
      <c r="B20" s="42"/>
      <c r="C20" s="1"/>
      <c r="D20" s="1"/>
      <c r="E20" s="44"/>
      <c r="F20" s="1"/>
      <c r="G20" s="6"/>
      <c r="H20" s="6"/>
      <c r="I20" s="6"/>
      <c r="J20" s="6"/>
      <c r="K20" s="6"/>
      <c r="L20" s="6"/>
    </row>
    <row r="21" spans="1:12" ht="15.75" customHeight="1">
      <c r="A21" s="45" t="s">
        <v>57</v>
      </c>
      <c r="B21" s="46" t="s">
        <v>58</v>
      </c>
      <c r="C21" s="1"/>
      <c r="D21" s="1"/>
      <c r="E21" s="1"/>
      <c r="F21" s="1"/>
      <c r="G21" s="6"/>
      <c r="H21" s="6"/>
      <c r="I21" s="6"/>
      <c r="J21" s="6"/>
      <c r="K21" s="6"/>
      <c r="L21" s="6"/>
    </row>
    <row r="22" spans="1:12" ht="81" customHeight="1">
      <c r="A22" s="32" t="s">
        <v>59</v>
      </c>
      <c r="B22" s="47" t="s">
        <v>60</v>
      </c>
      <c r="C22" s="1"/>
      <c r="D22" s="1"/>
      <c r="E22" s="1"/>
      <c r="F22" s="1"/>
      <c r="G22" s="6"/>
      <c r="H22" s="6"/>
      <c r="I22" s="6"/>
      <c r="J22" s="6"/>
      <c r="K22" s="6"/>
      <c r="L22" s="6"/>
    </row>
    <row r="23" spans="1:12" ht="45.75" customHeight="1">
      <c r="A23" s="45" t="s">
        <v>61</v>
      </c>
      <c r="B23" s="47" t="s">
        <v>62</v>
      </c>
      <c r="C23" s="1"/>
      <c r="D23" s="1"/>
      <c r="E23" s="1"/>
      <c r="F23" s="1"/>
      <c r="G23" s="6"/>
      <c r="H23" s="6"/>
      <c r="I23" s="6"/>
      <c r="J23" s="6"/>
      <c r="K23" s="6"/>
      <c r="L23" s="6"/>
    </row>
    <row r="24" spans="1:12" ht="15.75" customHeight="1">
      <c r="A24" s="122" t="s">
        <v>63</v>
      </c>
      <c r="B24" s="49" t="s">
        <v>64</v>
      </c>
      <c r="C24" s="1"/>
      <c r="D24" s="1"/>
      <c r="E24" s="1"/>
      <c r="F24" s="1"/>
      <c r="G24" s="6"/>
      <c r="H24" s="6"/>
      <c r="I24" s="6"/>
      <c r="J24" s="6"/>
      <c r="K24" s="6"/>
      <c r="L24" s="6"/>
    </row>
    <row r="25" spans="1:12" ht="15.75" customHeight="1">
      <c r="A25" s="115"/>
      <c r="B25" s="12" t="s">
        <v>65</v>
      </c>
      <c r="C25" s="1"/>
      <c r="D25" s="1"/>
      <c r="E25" s="1"/>
      <c r="F25" s="1"/>
      <c r="G25" s="6"/>
      <c r="H25" s="6"/>
      <c r="I25" s="6"/>
      <c r="J25" s="6"/>
      <c r="K25" s="6"/>
      <c r="L25" s="6"/>
    </row>
    <row r="26" spans="1:12" ht="15.75" customHeight="1">
      <c r="A26" s="115"/>
      <c r="B26" s="12" t="s">
        <v>66</v>
      </c>
      <c r="C26" s="1"/>
      <c r="D26" s="1"/>
      <c r="E26" s="1"/>
      <c r="F26" s="1"/>
      <c r="G26" s="6"/>
      <c r="H26" s="6"/>
      <c r="I26" s="6"/>
      <c r="J26" s="6"/>
      <c r="K26" s="6"/>
      <c r="L26" s="6"/>
    </row>
    <row r="27" spans="1:12" ht="15" customHeight="1">
      <c r="A27" s="115"/>
      <c r="B27" s="50"/>
      <c r="C27" s="1"/>
      <c r="D27" s="1"/>
      <c r="E27" s="1"/>
      <c r="F27" s="1"/>
      <c r="G27" s="6"/>
      <c r="H27" s="6"/>
      <c r="I27" s="6"/>
      <c r="J27" s="6"/>
      <c r="K27" s="6"/>
      <c r="L27" s="6"/>
    </row>
    <row r="28" spans="1:12" ht="15" customHeight="1">
      <c r="A28" s="115"/>
      <c r="B28" s="50"/>
      <c r="C28" s="1"/>
      <c r="D28" s="1"/>
      <c r="E28" s="1"/>
      <c r="F28" s="1"/>
      <c r="G28" s="6"/>
      <c r="H28" s="6"/>
      <c r="I28" s="6"/>
      <c r="J28" s="6"/>
      <c r="K28" s="6"/>
      <c r="L28" s="6"/>
    </row>
    <row r="29" spans="1:12" ht="15" customHeight="1">
      <c r="A29" s="115"/>
      <c r="B29" s="50"/>
      <c r="C29" s="1"/>
      <c r="D29" s="1"/>
      <c r="E29" s="1"/>
      <c r="F29" s="1"/>
      <c r="G29" s="6"/>
      <c r="H29" s="6"/>
      <c r="I29" s="6"/>
      <c r="J29" s="6"/>
      <c r="K29" s="6"/>
      <c r="L29" s="6"/>
    </row>
    <row r="30" spans="1:12" ht="15" customHeight="1">
      <c r="A30" s="115"/>
      <c r="B30" s="50"/>
      <c r="C30" s="1"/>
      <c r="D30" s="1"/>
      <c r="E30" s="1"/>
      <c r="F30" s="1"/>
      <c r="G30" s="6"/>
      <c r="H30" s="6"/>
      <c r="I30" s="6"/>
      <c r="J30" s="6"/>
      <c r="K30" s="6"/>
      <c r="L30" s="6"/>
    </row>
    <row r="31" spans="1:12" ht="15" customHeight="1">
      <c r="A31" s="115"/>
      <c r="B31" s="50"/>
      <c r="C31" s="1"/>
      <c r="D31" s="1"/>
      <c r="E31" s="1"/>
      <c r="F31" s="1"/>
      <c r="G31" s="6"/>
      <c r="H31" s="6"/>
      <c r="I31" s="6"/>
      <c r="J31" s="6"/>
      <c r="K31" s="6"/>
      <c r="L31" s="6"/>
    </row>
    <row r="32" spans="1:12" ht="15" customHeight="1">
      <c r="A32" s="115"/>
      <c r="B32" s="50"/>
      <c r="C32" s="1"/>
      <c r="D32" s="1"/>
      <c r="E32" s="1"/>
      <c r="F32" s="1"/>
      <c r="G32" s="6"/>
      <c r="H32" s="6"/>
      <c r="I32" s="6"/>
      <c r="J32" s="6"/>
      <c r="K32" s="6"/>
      <c r="L32" s="6"/>
    </row>
    <row r="33" spans="1:12" ht="15" customHeight="1">
      <c r="A33" s="115"/>
      <c r="B33" s="50"/>
      <c r="C33" s="1"/>
      <c r="D33" s="1"/>
      <c r="E33" s="1"/>
      <c r="F33" s="1"/>
      <c r="G33" s="6"/>
      <c r="H33" s="6"/>
      <c r="I33" s="6"/>
      <c r="J33" s="6"/>
      <c r="K33" s="6"/>
      <c r="L33" s="6"/>
    </row>
    <row r="34" spans="1:12" ht="15" customHeight="1">
      <c r="A34" s="115"/>
      <c r="B34" s="50"/>
      <c r="C34" s="1"/>
      <c r="D34" s="1"/>
      <c r="E34" s="1"/>
      <c r="F34" s="1"/>
      <c r="G34" s="6"/>
      <c r="H34" s="6"/>
      <c r="I34" s="6"/>
      <c r="J34" s="6"/>
      <c r="K34" s="6"/>
      <c r="L34" s="6"/>
    </row>
    <row r="35" spans="1:12" ht="15" customHeight="1">
      <c r="A35" s="115"/>
      <c r="B35" s="50"/>
      <c r="C35" s="1"/>
      <c r="D35" s="1"/>
      <c r="E35" s="1"/>
      <c r="F35" s="1"/>
      <c r="G35" s="6"/>
      <c r="H35" s="6"/>
      <c r="I35" s="6"/>
      <c r="J35" s="6"/>
      <c r="K35" s="6"/>
      <c r="L35" s="6"/>
    </row>
    <row r="36" spans="1:12" ht="15" customHeight="1">
      <c r="A36" s="115"/>
      <c r="B36" s="50"/>
      <c r="C36" s="1"/>
      <c r="D36" s="1"/>
      <c r="E36" s="1"/>
      <c r="F36" s="1"/>
      <c r="G36" s="6"/>
      <c r="H36" s="6"/>
      <c r="I36" s="6"/>
      <c r="J36" s="6"/>
      <c r="K36" s="6"/>
      <c r="L36" s="6"/>
    </row>
    <row r="37" spans="1:12" ht="15" customHeight="1">
      <c r="A37" s="115"/>
      <c r="B37" s="50"/>
      <c r="C37" s="1"/>
      <c r="D37" s="1"/>
      <c r="E37" s="1"/>
      <c r="F37" s="1"/>
      <c r="G37" s="6"/>
      <c r="H37" s="6"/>
      <c r="I37" s="6"/>
      <c r="J37" s="6"/>
      <c r="K37" s="6"/>
      <c r="L37" s="6"/>
    </row>
    <row r="38" spans="1:12" ht="15" customHeight="1">
      <c r="A38" s="115"/>
      <c r="B38" s="50"/>
      <c r="C38" s="1"/>
      <c r="D38" s="1"/>
      <c r="E38" s="1"/>
      <c r="F38" s="1"/>
      <c r="G38" s="6"/>
      <c r="H38" s="6"/>
      <c r="I38" s="6"/>
      <c r="J38" s="6"/>
      <c r="K38" s="6"/>
      <c r="L38" s="6"/>
    </row>
    <row r="39" spans="1:12" ht="15" customHeight="1">
      <c r="A39" s="115"/>
      <c r="B39" s="50"/>
      <c r="C39" s="1"/>
      <c r="D39" s="1"/>
      <c r="E39" s="1"/>
      <c r="F39" s="1"/>
      <c r="G39" s="6"/>
      <c r="H39" s="6"/>
      <c r="I39" s="6"/>
      <c r="J39" s="6"/>
      <c r="K39" s="6"/>
      <c r="L39" s="6"/>
    </row>
    <row r="40" spans="1:12" ht="15" customHeight="1">
      <c r="A40" s="115"/>
      <c r="B40" s="50"/>
      <c r="C40" s="1"/>
      <c r="D40" s="1"/>
      <c r="E40" s="1"/>
      <c r="F40" s="1"/>
      <c r="G40" s="6"/>
      <c r="H40" s="6"/>
      <c r="I40" s="6"/>
      <c r="J40" s="6"/>
      <c r="K40" s="6"/>
      <c r="L40" s="6"/>
    </row>
    <row r="41" spans="1:12" ht="15" customHeight="1">
      <c r="A41" s="115"/>
      <c r="B41" s="50"/>
      <c r="C41" s="1"/>
      <c r="D41" s="1"/>
      <c r="E41" s="1"/>
      <c r="F41" s="1"/>
      <c r="G41" s="6"/>
      <c r="H41" s="6"/>
      <c r="I41" s="6"/>
      <c r="J41" s="6"/>
      <c r="K41" s="6"/>
      <c r="L41" s="6"/>
    </row>
    <row r="42" spans="1:12" ht="15" customHeight="1">
      <c r="A42" s="115"/>
      <c r="B42" s="50"/>
      <c r="C42" s="1"/>
      <c r="D42" s="1"/>
      <c r="E42" s="1"/>
      <c r="F42" s="1"/>
      <c r="G42" s="6"/>
      <c r="H42" s="6"/>
      <c r="I42" s="6"/>
      <c r="J42" s="6"/>
      <c r="K42" s="6"/>
      <c r="L42" s="6"/>
    </row>
    <row r="43" spans="1:12" ht="15" customHeight="1">
      <c r="A43" s="115"/>
      <c r="B43" s="50"/>
      <c r="C43" s="1"/>
      <c r="D43" s="1"/>
      <c r="E43" s="1"/>
      <c r="F43" s="1"/>
      <c r="G43" s="6"/>
      <c r="H43" s="6"/>
      <c r="I43" s="6"/>
      <c r="J43" s="6"/>
      <c r="K43" s="6"/>
      <c r="L43" s="6"/>
    </row>
    <row r="44" spans="1:12" ht="15" customHeight="1">
      <c r="A44" s="115"/>
      <c r="B44" s="50"/>
      <c r="C44" s="1"/>
      <c r="D44" s="1"/>
      <c r="E44" s="1"/>
      <c r="F44" s="1"/>
      <c r="G44" s="6"/>
      <c r="H44" s="6"/>
      <c r="I44" s="6"/>
      <c r="J44" s="6"/>
      <c r="K44" s="6"/>
      <c r="L44" s="6"/>
    </row>
    <row r="45" spans="1:12" ht="15" customHeight="1">
      <c r="A45" s="115"/>
      <c r="B45" s="50"/>
      <c r="C45" s="1"/>
      <c r="D45" s="1"/>
      <c r="E45" s="1"/>
      <c r="F45" s="1"/>
      <c r="G45" s="6"/>
      <c r="H45" s="6"/>
      <c r="I45" s="6"/>
      <c r="J45" s="6"/>
      <c r="K45" s="6"/>
      <c r="L45" s="6"/>
    </row>
    <row r="46" spans="1:12" ht="15" customHeight="1">
      <c r="A46" s="115"/>
      <c r="B46" s="50"/>
      <c r="C46" s="1"/>
      <c r="D46" s="1"/>
      <c r="E46" s="1"/>
      <c r="F46" s="1"/>
      <c r="G46" s="6"/>
      <c r="H46" s="6"/>
      <c r="I46" s="6"/>
      <c r="J46" s="6"/>
      <c r="K46" s="6"/>
      <c r="L46" s="6"/>
    </row>
    <row r="47" spans="1:12" ht="10.5" customHeight="1">
      <c r="A47" s="115"/>
      <c r="B47" s="50"/>
      <c r="C47" s="1"/>
      <c r="D47" s="1"/>
      <c r="E47" s="1"/>
      <c r="F47" s="1"/>
      <c r="G47" s="6"/>
      <c r="H47" s="6"/>
      <c r="I47" s="6"/>
      <c r="J47" s="6"/>
      <c r="K47" s="6"/>
      <c r="L47" s="6"/>
    </row>
    <row r="48" spans="1:12" ht="15.75" hidden="1" customHeight="1">
      <c r="A48" s="115"/>
      <c r="B48" s="50"/>
      <c r="C48" s="1"/>
      <c r="D48" s="1"/>
      <c r="E48" s="1"/>
      <c r="F48" s="1"/>
      <c r="G48" s="6"/>
      <c r="H48" s="6"/>
      <c r="I48" s="6"/>
      <c r="J48" s="6"/>
      <c r="K48" s="6"/>
      <c r="L48" s="6"/>
    </row>
    <row r="49" spans="1:12" ht="15.75" hidden="1" customHeight="1">
      <c r="A49" s="115"/>
      <c r="B49" s="50"/>
      <c r="C49" s="1"/>
      <c r="D49" s="1"/>
      <c r="E49" s="1"/>
      <c r="F49" s="1"/>
      <c r="G49" s="6"/>
      <c r="H49" s="6"/>
      <c r="I49" s="6"/>
      <c r="J49" s="6"/>
      <c r="K49" s="6"/>
      <c r="L49" s="6"/>
    </row>
    <row r="50" spans="1:12" ht="15.75" hidden="1" customHeight="1">
      <c r="A50" s="115"/>
      <c r="B50" s="50"/>
      <c r="C50" s="1"/>
      <c r="D50" s="1"/>
      <c r="E50" s="1"/>
      <c r="F50" s="1"/>
      <c r="G50" s="6"/>
      <c r="H50" s="6"/>
      <c r="I50" s="6"/>
      <c r="J50" s="6"/>
      <c r="K50" s="6"/>
      <c r="L50" s="6"/>
    </row>
    <row r="51" spans="1:12" ht="15.75" hidden="1" customHeight="1">
      <c r="A51" s="115"/>
      <c r="B51" s="50"/>
      <c r="C51" s="1"/>
      <c r="D51" s="1"/>
      <c r="E51" s="1"/>
      <c r="F51" s="1"/>
      <c r="G51" s="6"/>
      <c r="H51" s="6"/>
      <c r="I51" s="6"/>
      <c r="J51" s="6"/>
      <c r="K51" s="6"/>
      <c r="L51" s="6"/>
    </row>
    <row r="52" spans="1:12" ht="15.75" hidden="1" customHeight="1">
      <c r="A52" s="115"/>
      <c r="B52" s="51"/>
      <c r="C52" s="1"/>
      <c r="D52" s="1"/>
      <c r="E52" s="1"/>
      <c r="F52" s="1"/>
      <c r="G52" s="6"/>
      <c r="H52" s="6"/>
      <c r="I52" s="6"/>
      <c r="J52" s="6"/>
      <c r="K52" s="6"/>
      <c r="L52" s="6"/>
    </row>
    <row r="53" spans="1:12" ht="12" customHeight="1">
      <c r="A53" s="116" t="s">
        <v>67</v>
      </c>
      <c r="B53" s="118" t="s">
        <v>68</v>
      </c>
      <c r="C53" s="1"/>
      <c r="D53" s="1"/>
      <c r="E53" s="1"/>
      <c r="F53" s="1"/>
      <c r="G53" s="6"/>
      <c r="H53" s="6"/>
      <c r="I53" s="6"/>
      <c r="J53" s="6"/>
      <c r="K53" s="6"/>
      <c r="L53" s="6"/>
    </row>
    <row r="54" spans="1:12" ht="15.75" customHeight="1">
      <c r="A54" s="117"/>
      <c r="B54" s="119"/>
      <c r="C54" s="1"/>
      <c r="D54" s="1"/>
      <c r="E54" s="1"/>
      <c r="F54" s="1"/>
      <c r="G54" s="6"/>
      <c r="H54" s="6"/>
      <c r="I54" s="6"/>
      <c r="J54" s="6"/>
      <c r="K54" s="6"/>
      <c r="L54" s="6"/>
    </row>
    <row r="55" spans="1:12" ht="31.5" customHeight="1">
      <c r="A55" s="114" t="s">
        <v>69</v>
      </c>
      <c r="B55" s="52" t="s">
        <v>70</v>
      </c>
      <c r="C55" s="1"/>
      <c r="D55" s="1"/>
      <c r="E55" s="1"/>
      <c r="F55" s="1"/>
      <c r="G55" s="6"/>
      <c r="H55" s="6"/>
      <c r="I55" s="6"/>
      <c r="J55" s="6"/>
      <c r="K55" s="6"/>
      <c r="L55" s="6"/>
    </row>
    <row r="56" spans="1:12" ht="66" customHeight="1">
      <c r="A56" s="115"/>
      <c r="B56" s="53" t="s">
        <v>71</v>
      </c>
      <c r="C56" s="1"/>
      <c r="D56" s="1"/>
      <c r="E56" s="1"/>
      <c r="F56" s="1"/>
      <c r="G56" s="6"/>
      <c r="H56" s="6"/>
      <c r="I56" s="6"/>
      <c r="J56" s="6"/>
      <c r="K56" s="6"/>
      <c r="L56" s="6"/>
    </row>
    <row r="57" spans="1:12" ht="74.25" customHeight="1">
      <c r="A57" s="115"/>
      <c r="B57" s="42" t="s">
        <v>72</v>
      </c>
      <c r="C57" s="1"/>
      <c r="D57" s="1"/>
      <c r="E57" s="1"/>
      <c r="F57" s="1"/>
      <c r="G57" s="6"/>
      <c r="H57" s="6"/>
      <c r="I57" s="6"/>
      <c r="J57" s="6"/>
      <c r="K57" s="6"/>
      <c r="L57" s="6"/>
    </row>
    <row r="58" spans="1:12" ht="52.5" customHeight="1">
      <c r="A58" s="115"/>
      <c r="B58" s="42" t="s">
        <v>73</v>
      </c>
      <c r="C58" s="1"/>
      <c r="D58" s="1"/>
      <c r="E58" s="1"/>
      <c r="F58" s="1"/>
      <c r="G58" s="6"/>
      <c r="H58" s="6"/>
      <c r="I58" s="6"/>
      <c r="J58" s="6"/>
      <c r="K58" s="6"/>
      <c r="L58" s="6"/>
    </row>
    <row r="59" spans="1:12" ht="51.75" customHeight="1">
      <c r="A59" s="115"/>
      <c r="B59" s="42" t="s">
        <v>74</v>
      </c>
      <c r="C59" s="1"/>
      <c r="D59" s="1"/>
      <c r="E59" s="1"/>
      <c r="F59" s="1"/>
      <c r="G59" s="6"/>
      <c r="H59" s="6"/>
      <c r="I59" s="6"/>
      <c r="J59" s="6"/>
      <c r="K59" s="6"/>
      <c r="L59" s="6"/>
    </row>
    <row r="60" spans="1:12" ht="31.5" customHeight="1">
      <c r="A60" s="54" t="s">
        <v>75</v>
      </c>
      <c r="B60" s="55" t="s">
        <v>76</v>
      </c>
      <c r="C60" s="1"/>
      <c r="D60" s="1"/>
      <c r="E60" s="1"/>
      <c r="F60" s="1"/>
      <c r="G60" s="6"/>
      <c r="H60" s="6"/>
      <c r="I60" s="6"/>
      <c r="J60" s="6"/>
      <c r="K60" s="6"/>
      <c r="L60" s="6"/>
    </row>
  </sheetData>
  <mergeCells count="6">
    <mergeCell ref="A55:A59"/>
    <mergeCell ref="A53:A54"/>
    <mergeCell ref="B53:B54"/>
    <mergeCell ref="A2:A3"/>
    <mergeCell ref="A7:A11"/>
    <mergeCell ref="A24:A52"/>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workbookViewId="0"/>
  </sheetViews>
  <sheetFormatPr defaultColWidth="17.28515625" defaultRowHeight="15" customHeight="1"/>
  <sheetData>
    <row r="1" spans="1:10">
      <c r="A1" s="72" t="s">
        <v>3</v>
      </c>
      <c r="B1" s="72" t="s">
        <v>5</v>
      </c>
      <c r="C1" s="72" t="s">
        <v>6</v>
      </c>
      <c r="D1" s="72" t="s">
        <v>7</v>
      </c>
      <c r="E1" s="28" t="s">
        <v>36</v>
      </c>
      <c r="F1" s="28" t="s">
        <v>218</v>
      </c>
      <c r="G1" s="28" t="s">
        <v>219</v>
      </c>
      <c r="H1" s="28" t="s">
        <v>189</v>
      </c>
      <c r="I1" s="72"/>
      <c r="J1" s="28"/>
    </row>
    <row r="2" spans="1:10">
      <c r="A2" s="70" t="s">
        <v>37</v>
      </c>
      <c r="B2" s="70" t="s">
        <v>39</v>
      </c>
      <c r="C2" s="70">
        <v>1</v>
      </c>
      <c r="D2" s="70" t="s">
        <v>94</v>
      </c>
      <c r="E2" s="28">
        <v>3.29</v>
      </c>
      <c r="F2" s="28">
        <f>AVERAGE(E2:E6)</f>
        <v>2.6560000000000001</v>
      </c>
      <c r="I2" s="70"/>
      <c r="J2" s="28"/>
    </row>
    <row r="3" spans="1:10">
      <c r="A3" s="70"/>
      <c r="B3" s="70"/>
      <c r="C3" s="70">
        <v>1</v>
      </c>
      <c r="D3" s="70" t="s">
        <v>95</v>
      </c>
      <c r="E3" s="28">
        <v>2.59</v>
      </c>
      <c r="F3" s="28"/>
      <c r="I3" s="70"/>
      <c r="J3" s="28"/>
    </row>
    <row r="4" spans="1:10">
      <c r="A4" s="70"/>
      <c r="B4" s="70"/>
      <c r="C4" s="70">
        <v>1</v>
      </c>
      <c r="D4" s="70" t="s">
        <v>96</v>
      </c>
      <c r="E4" s="28">
        <v>1.32</v>
      </c>
      <c r="F4" s="28"/>
      <c r="I4" s="70"/>
      <c r="J4" s="28"/>
    </row>
    <row r="5" spans="1:10">
      <c r="A5" s="70"/>
      <c r="B5" s="70"/>
      <c r="C5" s="70">
        <v>1</v>
      </c>
      <c r="D5" s="70" t="s">
        <v>39</v>
      </c>
      <c r="E5" s="28">
        <v>2.7</v>
      </c>
      <c r="F5" s="28"/>
      <c r="I5" s="70"/>
      <c r="J5" s="28"/>
    </row>
    <row r="6" spans="1:10">
      <c r="A6" s="70"/>
      <c r="B6" s="70"/>
      <c r="C6" s="70">
        <v>1</v>
      </c>
      <c r="D6" s="70" t="s">
        <v>97</v>
      </c>
      <c r="E6" s="28">
        <v>3.38</v>
      </c>
      <c r="F6" s="28"/>
      <c r="I6" s="70"/>
      <c r="J6" s="28"/>
    </row>
    <row r="7" spans="1:10">
      <c r="A7" s="70"/>
      <c r="B7" s="70"/>
      <c r="C7" s="70">
        <v>2</v>
      </c>
      <c r="D7" s="70" t="s">
        <v>94</v>
      </c>
      <c r="E7" s="28">
        <v>2.0499999999999998</v>
      </c>
      <c r="F7" s="28">
        <f>AVERAGE(E7:E11)</f>
        <v>1.9339999999999999</v>
      </c>
      <c r="I7" s="70"/>
      <c r="J7" s="28"/>
    </row>
    <row r="8" spans="1:10">
      <c r="A8" s="70"/>
      <c r="B8" s="70"/>
      <c r="C8" s="70">
        <v>2</v>
      </c>
      <c r="D8" s="70" t="s">
        <v>95</v>
      </c>
      <c r="E8" s="28">
        <v>1.86</v>
      </c>
      <c r="F8" s="28"/>
      <c r="I8" s="70"/>
      <c r="J8" s="28"/>
    </row>
    <row r="9" spans="1:10">
      <c r="A9" s="70"/>
      <c r="B9" s="70"/>
      <c r="C9" s="70">
        <v>2</v>
      </c>
      <c r="D9" s="70" t="s">
        <v>96</v>
      </c>
      <c r="E9" s="28">
        <v>0.68</v>
      </c>
      <c r="F9" s="28"/>
      <c r="I9" s="70"/>
      <c r="J9" s="28"/>
    </row>
    <row r="10" spans="1:10">
      <c r="A10" s="70"/>
      <c r="B10" s="70"/>
      <c r="C10" s="70">
        <v>2</v>
      </c>
      <c r="D10" s="70" t="s">
        <v>39</v>
      </c>
      <c r="E10" s="28">
        <v>3.37</v>
      </c>
      <c r="F10" s="28"/>
      <c r="I10" s="70"/>
      <c r="J10" s="28"/>
    </row>
    <row r="11" spans="1:10">
      <c r="A11" s="70"/>
      <c r="B11" s="70"/>
      <c r="C11" s="70">
        <v>2</v>
      </c>
      <c r="D11" s="70" t="s">
        <v>97</v>
      </c>
      <c r="E11" s="28">
        <v>1.71</v>
      </c>
      <c r="F11" s="28"/>
      <c r="I11" s="70"/>
      <c r="J11" s="28"/>
    </row>
    <row r="12" spans="1:10">
      <c r="A12" s="70"/>
      <c r="B12" s="70"/>
      <c r="C12" s="70">
        <v>3</v>
      </c>
      <c r="D12" s="70" t="s">
        <v>94</v>
      </c>
      <c r="E12" s="28">
        <v>1.49</v>
      </c>
      <c r="F12" s="28">
        <f>AVERAGE(E12:E16)</f>
        <v>2.0900000000000003</v>
      </c>
      <c r="I12" s="70"/>
      <c r="J12" s="28"/>
    </row>
    <row r="13" spans="1:10">
      <c r="A13" s="70"/>
      <c r="B13" s="70"/>
      <c r="C13" s="70">
        <v>3</v>
      </c>
      <c r="D13" s="70" t="s">
        <v>95</v>
      </c>
      <c r="E13" s="28">
        <v>2.67</v>
      </c>
      <c r="F13" s="28"/>
      <c r="I13" s="70"/>
      <c r="J13" s="28"/>
    </row>
    <row r="14" spans="1:10">
      <c r="A14" s="70"/>
      <c r="B14" s="70"/>
      <c r="C14" s="70">
        <v>3</v>
      </c>
      <c r="D14" s="70" t="s">
        <v>96</v>
      </c>
      <c r="E14" s="28">
        <v>2.48</v>
      </c>
      <c r="F14" s="28"/>
      <c r="I14" s="70"/>
      <c r="J14" s="28"/>
    </row>
    <row r="15" spans="1:10">
      <c r="A15" s="70"/>
      <c r="B15" s="70"/>
      <c r="C15" s="70">
        <v>3</v>
      </c>
      <c r="D15" s="70" t="s">
        <v>39</v>
      </c>
      <c r="E15" s="28">
        <v>2.2599999999999998</v>
      </c>
      <c r="F15" s="28"/>
      <c r="I15" s="70"/>
      <c r="J15" s="28"/>
    </row>
    <row r="16" spans="1:10">
      <c r="A16" s="70"/>
      <c r="B16" s="70"/>
      <c r="C16" s="70">
        <v>3</v>
      </c>
      <c r="D16" s="70" t="s">
        <v>97</v>
      </c>
      <c r="E16" s="28">
        <v>1.55</v>
      </c>
      <c r="F16" s="28"/>
      <c r="I16" s="70"/>
      <c r="J16" s="28"/>
    </row>
    <row r="17" spans="1:10">
      <c r="A17" s="70"/>
      <c r="B17" s="70"/>
      <c r="C17" s="70">
        <v>4</v>
      </c>
      <c r="D17" s="70" t="s">
        <v>94</v>
      </c>
      <c r="E17" s="28">
        <v>3.28</v>
      </c>
      <c r="F17" s="28">
        <f>AVERAGE(E17:E21)</f>
        <v>2.6879999999999997</v>
      </c>
      <c r="I17" s="70"/>
      <c r="J17" s="28"/>
    </row>
    <row r="18" spans="1:10">
      <c r="A18" s="70"/>
      <c r="B18" s="70"/>
      <c r="C18" s="70">
        <v>4</v>
      </c>
      <c r="D18" s="70" t="s">
        <v>95</v>
      </c>
      <c r="E18" s="28">
        <v>1.91</v>
      </c>
      <c r="F18" s="28"/>
      <c r="I18" s="70"/>
      <c r="J18" s="28"/>
    </row>
    <row r="19" spans="1:10">
      <c r="A19" s="70"/>
      <c r="B19" s="70"/>
      <c r="C19" s="70">
        <v>4</v>
      </c>
      <c r="D19" s="70" t="s">
        <v>96</v>
      </c>
      <c r="E19" s="28">
        <v>2.04</v>
      </c>
      <c r="F19" s="28"/>
      <c r="I19" s="70"/>
      <c r="J19" s="28"/>
    </row>
    <row r="20" spans="1:10">
      <c r="A20" s="70"/>
      <c r="B20" s="70"/>
      <c r="C20" s="70">
        <v>4</v>
      </c>
      <c r="D20" s="70" t="s">
        <v>39</v>
      </c>
      <c r="E20" s="28">
        <v>3.01</v>
      </c>
      <c r="I20" s="70"/>
      <c r="J20" s="28"/>
    </row>
    <row r="21" spans="1:10">
      <c r="A21" s="70"/>
      <c r="B21" s="70"/>
      <c r="C21" s="70">
        <v>4</v>
      </c>
      <c r="D21" s="70" t="s">
        <v>97</v>
      </c>
      <c r="E21" s="28">
        <v>3.2</v>
      </c>
      <c r="I21" s="70"/>
      <c r="J21" s="28"/>
    </row>
    <row r="22" spans="1:10">
      <c r="A22" s="70" t="s">
        <v>37</v>
      </c>
      <c r="B22" s="70" t="s">
        <v>77</v>
      </c>
      <c r="C22" s="70">
        <v>1</v>
      </c>
      <c r="D22" s="70" t="s">
        <v>94</v>
      </c>
      <c r="E22" s="28">
        <v>0.8</v>
      </c>
      <c r="F22">
        <f>AVERAGE(E22:E26)</f>
        <v>2.1120000000000001</v>
      </c>
      <c r="I22" s="70"/>
      <c r="J22" s="28"/>
    </row>
    <row r="23" spans="1:10">
      <c r="A23" s="70"/>
      <c r="B23" s="70"/>
      <c r="C23" s="70">
        <v>1</v>
      </c>
      <c r="D23" s="70" t="s">
        <v>95</v>
      </c>
      <c r="E23" s="28">
        <v>2.86</v>
      </c>
      <c r="I23" s="70"/>
      <c r="J23" s="28"/>
    </row>
    <row r="24" spans="1:10">
      <c r="A24" s="70"/>
      <c r="B24" s="70"/>
      <c r="C24" s="70">
        <v>1</v>
      </c>
      <c r="D24" s="70" t="s">
        <v>96</v>
      </c>
      <c r="E24" s="28">
        <v>2.06</v>
      </c>
      <c r="I24" s="70"/>
      <c r="J24" s="28"/>
    </row>
    <row r="25" spans="1:10">
      <c r="A25" s="70"/>
      <c r="B25" s="70"/>
      <c r="C25" s="70">
        <v>1</v>
      </c>
      <c r="D25" s="70" t="s">
        <v>39</v>
      </c>
      <c r="E25" s="28">
        <v>2.34</v>
      </c>
      <c r="I25" s="70"/>
      <c r="J25" s="28"/>
    </row>
    <row r="26" spans="1:10">
      <c r="A26" s="70"/>
      <c r="B26" s="70"/>
      <c r="C26" s="70">
        <v>1</v>
      </c>
      <c r="D26" s="70" t="s">
        <v>97</v>
      </c>
      <c r="E26" s="28">
        <v>2.5</v>
      </c>
      <c r="I26" s="70"/>
      <c r="J26" s="28"/>
    </row>
    <row r="27" spans="1:10">
      <c r="A27" s="70"/>
      <c r="B27" s="70"/>
      <c r="C27" s="70">
        <v>2</v>
      </c>
      <c r="D27" s="70" t="s">
        <v>94</v>
      </c>
      <c r="E27" s="28">
        <v>1.61</v>
      </c>
      <c r="F27" s="28">
        <f>AVERAGE(E27:E31)</f>
        <v>2.6439999999999997</v>
      </c>
      <c r="G27" s="28">
        <v>13</v>
      </c>
      <c r="I27" s="70"/>
      <c r="J27" s="28"/>
    </row>
    <row r="28" spans="1:10">
      <c r="A28" s="70"/>
      <c r="B28" s="70"/>
      <c r="C28" s="70">
        <v>2</v>
      </c>
      <c r="D28" s="70" t="s">
        <v>95</v>
      </c>
      <c r="E28" s="28">
        <v>5.0999999999999996</v>
      </c>
      <c r="I28" s="70"/>
      <c r="J28" s="28"/>
    </row>
    <row r="29" spans="1:10">
      <c r="A29" s="70"/>
      <c r="B29" s="70"/>
      <c r="C29" s="70">
        <v>2</v>
      </c>
      <c r="D29" s="70" t="s">
        <v>96</v>
      </c>
      <c r="E29" s="28">
        <v>2.2999999999999998</v>
      </c>
      <c r="I29" s="70"/>
      <c r="J29" s="28"/>
    </row>
    <row r="30" spans="1:10">
      <c r="A30" s="70"/>
      <c r="B30" s="70"/>
      <c r="C30" s="70">
        <v>2</v>
      </c>
      <c r="D30" s="70" t="s">
        <v>39</v>
      </c>
      <c r="E30" s="28">
        <v>2.52</v>
      </c>
      <c r="F30" s="28"/>
      <c r="G30" s="28">
        <v>37</v>
      </c>
      <c r="I30" s="70"/>
      <c r="J30" s="28"/>
    </row>
    <row r="31" spans="1:10">
      <c r="A31" s="70"/>
      <c r="B31" s="70"/>
      <c r="C31" s="70">
        <v>2</v>
      </c>
      <c r="D31" s="70" t="s">
        <v>97</v>
      </c>
      <c r="E31" s="28">
        <v>1.69</v>
      </c>
      <c r="I31" s="70"/>
      <c r="J31" s="28"/>
    </row>
    <row r="32" spans="1:10">
      <c r="A32" s="70"/>
      <c r="B32" s="70"/>
      <c r="C32" s="70">
        <v>3</v>
      </c>
      <c r="D32" s="70" t="s">
        <v>94</v>
      </c>
      <c r="E32" s="28">
        <v>2.84</v>
      </c>
      <c r="F32" s="28">
        <f>AVERAGE(E32:E36)</f>
        <v>1.81</v>
      </c>
      <c r="G32" s="28">
        <v>28</v>
      </c>
      <c r="I32" s="70"/>
      <c r="J32" s="28"/>
    </row>
    <row r="33" spans="1:10">
      <c r="A33" s="70"/>
      <c r="B33" s="70"/>
      <c r="C33" s="70">
        <v>3</v>
      </c>
      <c r="D33" s="70" t="s">
        <v>95</v>
      </c>
      <c r="E33" s="28">
        <v>1.88</v>
      </c>
      <c r="I33" s="70"/>
      <c r="J33" s="28"/>
    </row>
    <row r="34" spans="1:10">
      <c r="A34" s="70"/>
      <c r="B34" s="70"/>
      <c r="C34" s="70">
        <v>3</v>
      </c>
      <c r="D34" s="70" t="s">
        <v>96</v>
      </c>
      <c r="E34" s="28">
        <v>0.72</v>
      </c>
      <c r="I34" s="70"/>
      <c r="J34" s="28"/>
    </row>
    <row r="35" spans="1:10">
      <c r="A35" s="70"/>
      <c r="B35" s="70"/>
      <c r="C35" s="70">
        <v>3</v>
      </c>
      <c r="D35" s="70" t="s">
        <v>39</v>
      </c>
      <c r="E35" s="28">
        <v>2.31</v>
      </c>
      <c r="I35" s="70"/>
      <c r="J35" s="28"/>
    </row>
    <row r="36" spans="1:10">
      <c r="A36" s="70"/>
      <c r="B36" s="70"/>
      <c r="C36" s="70">
        <v>3</v>
      </c>
      <c r="D36" s="70" t="s">
        <v>97</v>
      </c>
      <c r="E36" s="28">
        <v>1.3</v>
      </c>
      <c r="I36" s="70"/>
      <c r="J36" s="28"/>
    </row>
    <row r="37" spans="1:10">
      <c r="A37" s="70"/>
      <c r="B37" s="70"/>
      <c r="C37" s="70">
        <v>4</v>
      </c>
      <c r="D37" s="70" t="s">
        <v>94</v>
      </c>
      <c r="E37" s="28">
        <v>3.16</v>
      </c>
      <c r="F37" s="28">
        <f>AVERAGE(E37:E41)</f>
        <v>2.4239999999999999</v>
      </c>
      <c r="G37" s="28">
        <v>7</v>
      </c>
      <c r="I37" s="70"/>
      <c r="J37" s="28"/>
    </row>
    <row r="38" spans="1:10">
      <c r="A38" s="70"/>
      <c r="B38" s="70"/>
      <c r="C38" s="70">
        <v>4</v>
      </c>
      <c r="D38" s="70" t="s">
        <v>95</v>
      </c>
      <c r="E38" s="28">
        <v>2.2000000000000002</v>
      </c>
      <c r="I38" s="70"/>
      <c r="J38" s="28"/>
    </row>
    <row r="39" spans="1:10">
      <c r="A39" s="70"/>
      <c r="B39" s="70"/>
      <c r="C39" s="70">
        <v>4</v>
      </c>
      <c r="D39" s="70" t="s">
        <v>96</v>
      </c>
      <c r="E39" s="28">
        <v>1.92</v>
      </c>
      <c r="I39" s="70"/>
      <c r="J39" s="28"/>
    </row>
    <row r="40" spans="1:10">
      <c r="A40" s="70"/>
      <c r="B40" s="70"/>
      <c r="C40" s="70">
        <v>4</v>
      </c>
      <c r="D40" s="70" t="s">
        <v>39</v>
      </c>
      <c r="E40" s="28">
        <v>3.33</v>
      </c>
      <c r="I40" s="70"/>
      <c r="J40" s="28"/>
    </row>
    <row r="41" spans="1:10">
      <c r="A41" s="70"/>
      <c r="B41" s="70"/>
      <c r="C41" s="70">
        <v>4</v>
      </c>
      <c r="D41" s="70" t="s">
        <v>97</v>
      </c>
      <c r="E41" s="28">
        <v>1.51</v>
      </c>
      <c r="I41" s="70"/>
      <c r="J41" s="28"/>
    </row>
    <row r="42" spans="1:10">
      <c r="A42" s="70" t="s">
        <v>37</v>
      </c>
      <c r="B42" s="70" t="s">
        <v>85</v>
      </c>
      <c r="C42" s="70">
        <v>1</v>
      </c>
      <c r="D42" s="70" t="s">
        <v>94</v>
      </c>
      <c r="E42" s="28">
        <v>2.29</v>
      </c>
      <c r="F42" s="28">
        <f>AVERAGE(E42:E46)</f>
        <v>3.1819999999999999</v>
      </c>
      <c r="I42" s="70"/>
      <c r="J42" s="28"/>
    </row>
    <row r="43" spans="1:10">
      <c r="A43" s="70"/>
      <c r="B43" s="70"/>
      <c r="C43" s="70">
        <v>1</v>
      </c>
      <c r="D43" s="70" t="s">
        <v>95</v>
      </c>
      <c r="E43" s="28">
        <v>3.08</v>
      </c>
      <c r="I43" s="70"/>
      <c r="J43" s="28"/>
    </row>
    <row r="44" spans="1:10">
      <c r="A44" s="70"/>
      <c r="B44" s="70"/>
      <c r="C44" s="70">
        <v>1</v>
      </c>
      <c r="D44" s="70" t="s">
        <v>96</v>
      </c>
      <c r="E44" s="28">
        <v>2.78</v>
      </c>
      <c r="I44" s="70"/>
      <c r="J44" s="28"/>
    </row>
    <row r="45" spans="1:10">
      <c r="A45" s="70"/>
      <c r="B45" s="70"/>
      <c r="C45" s="70">
        <v>1</v>
      </c>
      <c r="D45" s="70" t="s">
        <v>39</v>
      </c>
      <c r="E45" s="28">
        <v>4.9800000000000004</v>
      </c>
      <c r="I45" s="70"/>
      <c r="J45" s="28"/>
    </row>
    <row r="46" spans="1:10">
      <c r="A46" s="70"/>
      <c r="B46" s="70"/>
      <c r="C46" s="70">
        <v>1</v>
      </c>
      <c r="D46" s="70" t="s">
        <v>97</v>
      </c>
      <c r="E46" s="28">
        <v>2.78</v>
      </c>
      <c r="F46" s="28"/>
      <c r="G46" s="28">
        <v>5</v>
      </c>
      <c r="I46" s="70"/>
      <c r="J46" s="28"/>
    </row>
    <row r="47" spans="1:10">
      <c r="A47" s="70"/>
      <c r="B47" s="70"/>
      <c r="C47" s="70">
        <v>2</v>
      </c>
      <c r="D47" s="70" t="s">
        <v>94</v>
      </c>
      <c r="E47" s="28">
        <v>2.2000000000000002</v>
      </c>
      <c r="F47" s="28">
        <f>AVERAGE(E47:E51)</f>
        <v>3.4159999999999995</v>
      </c>
      <c r="I47" s="70"/>
      <c r="J47" s="28"/>
    </row>
    <row r="48" spans="1:10">
      <c r="A48" s="70"/>
      <c r="B48" s="70"/>
      <c r="C48" s="70">
        <v>2</v>
      </c>
      <c r="D48" s="70" t="s">
        <v>95</v>
      </c>
      <c r="E48" s="28">
        <v>2.93</v>
      </c>
      <c r="I48" s="70"/>
      <c r="J48" s="28"/>
    </row>
    <row r="49" spans="1:10">
      <c r="A49" s="70"/>
      <c r="B49" s="70"/>
      <c r="C49" s="70">
        <v>2</v>
      </c>
      <c r="D49" s="70" t="s">
        <v>96</v>
      </c>
      <c r="E49" s="28">
        <v>3.8</v>
      </c>
      <c r="I49" s="70"/>
      <c r="J49" s="28"/>
    </row>
    <row r="50" spans="1:10">
      <c r="A50" s="70"/>
      <c r="B50" s="70"/>
      <c r="C50" s="70">
        <v>2</v>
      </c>
      <c r="D50" s="70" t="s">
        <v>39</v>
      </c>
      <c r="E50" s="28">
        <v>2.91</v>
      </c>
      <c r="I50" s="70"/>
      <c r="J50" s="28"/>
    </row>
    <row r="51" spans="1:10">
      <c r="A51" s="70"/>
      <c r="B51" s="70"/>
      <c r="C51" s="70">
        <v>2</v>
      </c>
      <c r="D51" s="70" t="s">
        <v>97</v>
      </c>
      <c r="E51" s="28">
        <v>5.24</v>
      </c>
      <c r="I51" s="70"/>
      <c r="J51" s="28"/>
    </row>
    <row r="52" spans="1:10">
      <c r="A52" s="70"/>
      <c r="B52" s="70"/>
      <c r="C52" s="70">
        <v>3</v>
      </c>
      <c r="D52" s="70" t="s">
        <v>94</v>
      </c>
      <c r="E52" s="28">
        <v>2</v>
      </c>
      <c r="F52" s="28">
        <f>AVERAGE(E52:E56)</f>
        <v>1.222</v>
      </c>
      <c r="I52" s="70"/>
      <c r="J52" s="28"/>
    </row>
    <row r="53" spans="1:10">
      <c r="A53" s="70"/>
      <c r="B53" s="70"/>
      <c r="C53" s="70">
        <v>3</v>
      </c>
      <c r="D53" s="70" t="s">
        <v>95</v>
      </c>
      <c r="E53" s="28">
        <v>0.56999999999999995</v>
      </c>
      <c r="I53" s="70"/>
      <c r="J53" s="28"/>
    </row>
    <row r="54" spans="1:10">
      <c r="A54" s="70"/>
      <c r="B54" s="70"/>
      <c r="C54" s="70">
        <v>3</v>
      </c>
      <c r="D54" s="70" t="s">
        <v>96</v>
      </c>
      <c r="E54" s="28">
        <v>0.94</v>
      </c>
      <c r="I54" s="70"/>
      <c r="J54" s="28"/>
    </row>
    <row r="55" spans="1:10">
      <c r="A55" s="70"/>
      <c r="B55" s="70"/>
      <c r="C55" s="70">
        <v>3</v>
      </c>
      <c r="D55" s="70" t="s">
        <v>39</v>
      </c>
      <c r="E55" s="28">
        <v>1.28</v>
      </c>
      <c r="I55" s="70"/>
      <c r="J55" s="28"/>
    </row>
    <row r="56" spans="1:10">
      <c r="A56" s="70"/>
      <c r="B56" s="70"/>
      <c r="C56" s="70">
        <v>3</v>
      </c>
      <c r="D56" s="70" t="s">
        <v>97</v>
      </c>
      <c r="E56" s="28">
        <v>1.32</v>
      </c>
      <c r="F56" s="28"/>
      <c r="G56" s="28">
        <v>7</v>
      </c>
      <c r="I56" s="70"/>
      <c r="J56" s="28"/>
    </row>
    <row r="57" spans="1:10">
      <c r="A57" s="70"/>
      <c r="B57" s="70"/>
      <c r="C57" s="70">
        <v>4</v>
      </c>
      <c r="D57" s="70" t="s">
        <v>94</v>
      </c>
      <c r="E57" s="28">
        <v>1.85</v>
      </c>
      <c r="F57" s="28">
        <f>AVERAGE(E57:E61)</f>
        <v>1.8519999999999999</v>
      </c>
      <c r="I57" s="70"/>
      <c r="J57" s="28"/>
    </row>
    <row r="58" spans="1:10">
      <c r="A58" s="70"/>
      <c r="B58" s="70"/>
      <c r="C58" s="70">
        <v>4</v>
      </c>
      <c r="D58" s="70" t="s">
        <v>95</v>
      </c>
      <c r="E58" s="28">
        <v>1.98</v>
      </c>
      <c r="I58" s="70"/>
      <c r="J58" s="28"/>
    </row>
    <row r="59" spans="1:10">
      <c r="A59" s="70"/>
      <c r="B59" s="70"/>
      <c r="C59" s="70">
        <v>4</v>
      </c>
      <c r="D59" s="70" t="s">
        <v>96</v>
      </c>
      <c r="E59" s="28">
        <v>0.66</v>
      </c>
      <c r="I59" s="70"/>
      <c r="J59" s="28"/>
    </row>
    <row r="60" spans="1:10">
      <c r="A60" s="70"/>
      <c r="B60" s="70"/>
      <c r="C60" s="70">
        <v>4</v>
      </c>
      <c r="D60" s="70" t="s">
        <v>39</v>
      </c>
      <c r="E60" s="28">
        <v>1.1000000000000001</v>
      </c>
      <c r="I60" s="70"/>
      <c r="J60" s="28"/>
    </row>
    <row r="61" spans="1:10">
      <c r="A61" s="70"/>
      <c r="B61" s="70"/>
      <c r="C61" s="70">
        <v>4</v>
      </c>
      <c r="D61" s="70" t="s">
        <v>97</v>
      </c>
      <c r="E61" s="28">
        <v>3.67</v>
      </c>
      <c r="I61" s="70"/>
      <c r="J61" s="28"/>
    </row>
    <row r="62" spans="1:10">
      <c r="A62" s="70" t="s">
        <v>37</v>
      </c>
      <c r="B62" s="70" t="s">
        <v>98</v>
      </c>
      <c r="C62" s="70">
        <v>1</v>
      </c>
      <c r="D62" s="70" t="s">
        <v>94</v>
      </c>
      <c r="E62" s="28">
        <v>2.99</v>
      </c>
      <c r="F62" s="28">
        <f>AVERAGE(E62:E66)</f>
        <v>2.246</v>
      </c>
      <c r="I62" s="70"/>
      <c r="J62" s="28"/>
    </row>
    <row r="63" spans="1:10">
      <c r="A63" s="70"/>
      <c r="B63" s="70"/>
      <c r="C63" s="70">
        <v>1</v>
      </c>
      <c r="D63" s="70" t="s">
        <v>95</v>
      </c>
      <c r="E63" s="28">
        <v>1.91</v>
      </c>
      <c r="F63" s="28"/>
      <c r="G63" s="28">
        <v>16</v>
      </c>
      <c r="I63" s="70"/>
      <c r="J63" s="28"/>
    </row>
    <row r="64" spans="1:10">
      <c r="A64" s="70"/>
      <c r="B64" s="70"/>
      <c r="C64" s="70">
        <v>1</v>
      </c>
      <c r="D64" s="70" t="s">
        <v>96</v>
      </c>
      <c r="E64" s="28">
        <v>1.95</v>
      </c>
      <c r="I64" s="70"/>
      <c r="J64" s="28"/>
    </row>
    <row r="65" spans="1:10">
      <c r="A65" s="70"/>
      <c r="B65" s="70"/>
      <c r="C65" s="70">
        <v>1</v>
      </c>
      <c r="D65" s="70" t="s">
        <v>39</v>
      </c>
      <c r="E65" s="28">
        <v>2.12</v>
      </c>
      <c r="I65" s="70"/>
      <c r="J65" s="28"/>
    </row>
    <row r="66" spans="1:10">
      <c r="A66" s="70"/>
      <c r="B66" s="70"/>
      <c r="C66" s="70">
        <v>1</v>
      </c>
      <c r="D66" s="70" t="s">
        <v>97</v>
      </c>
      <c r="E66" s="28">
        <v>2.2599999999999998</v>
      </c>
      <c r="F66" s="28"/>
      <c r="G66" s="28">
        <v>152</v>
      </c>
      <c r="I66" s="70"/>
      <c r="J66" s="28"/>
    </row>
    <row r="67" spans="1:10">
      <c r="A67" s="70"/>
      <c r="B67" s="70"/>
      <c r="C67" s="70">
        <v>2</v>
      </c>
      <c r="D67" s="70" t="s">
        <v>94</v>
      </c>
      <c r="E67" s="28">
        <v>0.93</v>
      </c>
      <c r="F67" s="28">
        <f>AVERAGE(E67:E71)</f>
        <v>1.4120000000000001</v>
      </c>
      <c r="I67" s="70"/>
      <c r="J67" s="28"/>
    </row>
    <row r="68" spans="1:10">
      <c r="A68" s="70"/>
      <c r="B68" s="70"/>
      <c r="C68" s="70">
        <v>2</v>
      </c>
      <c r="D68" s="70" t="s">
        <v>95</v>
      </c>
      <c r="E68" s="28">
        <v>1.52</v>
      </c>
      <c r="F68" s="28"/>
      <c r="G68" s="28">
        <v>5</v>
      </c>
      <c r="I68" s="70"/>
      <c r="J68" s="28"/>
    </row>
    <row r="69" spans="1:10">
      <c r="A69" s="70"/>
      <c r="B69" s="70"/>
      <c r="C69" s="70">
        <v>2</v>
      </c>
      <c r="D69" s="70" t="s">
        <v>96</v>
      </c>
      <c r="E69" s="28">
        <v>1.21</v>
      </c>
      <c r="F69" s="28"/>
      <c r="G69" s="28">
        <v>1</v>
      </c>
      <c r="I69" s="70"/>
      <c r="J69" s="28"/>
    </row>
    <row r="70" spans="1:10">
      <c r="A70" s="70"/>
      <c r="B70" s="70"/>
      <c r="C70" s="70">
        <v>2</v>
      </c>
      <c r="D70" s="70" t="s">
        <v>39</v>
      </c>
      <c r="E70" s="28">
        <v>1.33</v>
      </c>
      <c r="I70" s="70"/>
      <c r="J70" s="28"/>
    </row>
    <row r="71" spans="1:10">
      <c r="A71" s="70"/>
      <c r="B71" s="70"/>
      <c r="C71" s="70">
        <v>2</v>
      </c>
      <c r="D71" s="70" t="s">
        <v>97</v>
      </c>
      <c r="E71" s="28">
        <v>2.0699999999999998</v>
      </c>
      <c r="I71" s="70"/>
      <c r="J71" s="28"/>
    </row>
    <row r="72" spans="1:10">
      <c r="A72" s="70"/>
      <c r="B72" s="70"/>
      <c r="C72" s="70">
        <v>3</v>
      </c>
      <c r="D72" s="70" t="s">
        <v>94</v>
      </c>
      <c r="E72" s="28">
        <v>2.2599999999999998</v>
      </c>
      <c r="F72" s="28">
        <f>AVERAGE(E72:E76)</f>
        <v>2.4580000000000002</v>
      </c>
      <c r="I72" s="70"/>
      <c r="J72" s="28"/>
    </row>
    <row r="73" spans="1:10">
      <c r="A73" s="70"/>
      <c r="B73" s="70"/>
      <c r="C73" s="70">
        <v>3</v>
      </c>
      <c r="D73" s="70" t="s">
        <v>95</v>
      </c>
      <c r="E73" s="28">
        <v>1.52</v>
      </c>
      <c r="I73" s="70"/>
      <c r="J73" s="28"/>
    </row>
    <row r="74" spans="1:10">
      <c r="A74" s="70"/>
      <c r="B74" s="70"/>
      <c r="C74" s="70">
        <v>3</v>
      </c>
      <c r="D74" s="70" t="s">
        <v>96</v>
      </c>
      <c r="E74" s="28">
        <v>2.21</v>
      </c>
      <c r="I74" s="70"/>
      <c r="J74" s="28"/>
    </row>
    <row r="75" spans="1:10">
      <c r="A75" s="70"/>
      <c r="B75" s="70"/>
      <c r="C75" s="70">
        <v>3</v>
      </c>
      <c r="D75" s="70" t="s">
        <v>39</v>
      </c>
      <c r="E75" s="28">
        <v>5.0599999999999996</v>
      </c>
      <c r="I75" s="70"/>
      <c r="J75" s="28"/>
    </row>
    <row r="76" spans="1:10">
      <c r="A76" s="70"/>
      <c r="B76" s="70"/>
      <c r="C76" s="70">
        <v>3</v>
      </c>
      <c r="D76" s="70" t="s">
        <v>97</v>
      </c>
      <c r="E76" s="28">
        <v>1.24</v>
      </c>
      <c r="I76" s="70"/>
      <c r="J76" s="28"/>
    </row>
    <row r="77" spans="1:10">
      <c r="A77" s="70"/>
      <c r="B77" s="70"/>
      <c r="C77" s="70">
        <v>4</v>
      </c>
      <c r="D77" s="70" t="s">
        <v>94</v>
      </c>
      <c r="E77" s="28">
        <v>0.86</v>
      </c>
      <c r="F77" s="28">
        <f>AVERAGE(E77:E81)</f>
        <v>2.0339999999999998</v>
      </c>
      <c r="I77" s="70"/>
      <c r="J77" s="28"/>
    </row>
    <row r="78" spans="1:10">
      <c r="A78" s="70"/>
      <c r="B78" s="70"/>
      <c r="C78" s="70">
        <v>4</v>
      </c>
      <c r="D78" s="70" t="s">
        <v>95</v>
      </c>
      <c r="E78" s="28">
        <v>1.95</v>
      </c>
      <c r="I78" s="70"/>
      <c r="J78" s="28"/>
    </row>
    <row r="79" spans="1:10">
      <c r="A79" s="70"/>
      <c r="B79" s="70"/>
      <c r="C79" s="70">
        <v>4</v>
      </c>
      <c r="D79" s="70" t="s">
        <v>96</v>
      </c>
      <c r="E79" s="28">
        <v>2.2200000000000002</v>
      </c>
      <c r="F79" s="28"/>
      <c r="G79" s="28">
        <v>9</v>
      </c>
      <c r="I79" s="70"/>
      <c r="J79" s="28"/>
    </row>
    <row r="80" spans="1:10">
      <c r="A80" s="70"/>
      <c r="B80" s="70"/>
      <c r="C80" s="70">
        <v>4</v>
      </c>
      <c r="D80" s="70" t="s">
        <v>39</v>
      </c>
      <c r="E80" s="28">
        <v>1.92</v>
      </c>
      <c r="I80" s="70"/>
      <c r="J80" s="28"/>
    </row>
    <row r="81" spans="1:10">
      <c r="A81" s="70"/>
      <c r="B81" s="70"/>
      <c r="C81" s="70">
        <v>4</v>
      </c>
      <c r="D81" s="70" t="s">
        <v>97</v>
      </c>
      <c r="E81" s="28">
        <v>3.22</v>
      </c>
      <c r="I81" s="70"/>
      <c r="J81" s="28"/>
    </row>
    <row r="82" spans="1:10">
      <c r="A82" s="70" t="s">
        <v>37</v>
      </c>
      <c r="B82" s="70" t="s">
        <v>99</v>
      </c>
      <c r="C82" s="70">
        <v>1</v>
      </c>
      <c r="D82" s="70" t="s">
        <v>94</v>
      </c>
      <c r="E82" s="28">
        <v>1.94</v>
      </c>
      <c r="F82" s="28">
        <f>AVERAGE(E82:E86)</f>
        <v>2.1739999999999999</v>
      </c>
      <c r="I82" s="70"/>
      <c r="J82" s="28"/>
    </row>
    <row r="83" spans="1:10">
      <c r="A83" s="70"/>
      <c r="B83" s="70"/>
      <c r="C83" s="70">
        <v>1</v>
      </c>
      <c r="D83" s="70" t="s">
        <v>95</v>
      </c>
      <c r="E83" s="28">
        <v>1.96</v>
      </c>
      <c r="I83" s="70"/>
      <c r="J83" s="28"/>
    </row>
    <row r="84" spans="1:10">
      <c r="A84" s="70"/>
      <c r="B84" s="70"/>
      <c r="C84" s="70">
        <v>1</v>
      </c>
      <c r="D84" s="70" t="s">
        <v>96</v>
      </c>
      <c r="E84" s="28">
        <v>0.9</v>
      </c>
      <c r="I84" s="70"/>
      <c r="J84" s="28"/>
    </row>
    <row r="85" spans="1:10">
      <c r="A85" s="70"/>
      <c r="B85" s="70"/>
      <c r="C85" s="70">
        <v>1</v>
      </c>
      <c r="D85" s="70" t="s">
        <v>39</v>
      </c>
      <c r="E85" s="28">
        <v>1.64</v>
      </c>
      <c r="I85" s="70"/>
      <c r="J85" s="28"/>
    </row>
    <row r="86" spans="1:10">
      <c r="A86" s="70"/>
      <c r="B86" s="70"/>
      <c r="C86" s="70">
        <v>1</v>
      </c>
      <c r="D86" s="70" t="s">
        <v>97</v>
      </c>
      <c r="E86" s="28">
        <v>4.43</v>
      </c>
      <c r="I86" s="70"/>
      <c r="J86" s="28"/>
    </row>
    <row r="87" spans="1:10">
      <c r="A87" s="70"/>
      <c r="B87" s="70"/>
      <c r="C87" s="70">
        <v>2</v>
      </c>
      <c r="D87" s="70" t="s">
        <v>94</v>
      </c>
      <c r="E87" s="28">
        <v>2</v>
      </c>
      <c r="F87" s="28">
        <f>AVERAGE(E87:E91)</f>
        <v>1.3220000000000001</v>
      </c>
      <c r="I87" s="70"/>
      <c r="J87" s="28"/>
    </row>
    <row r="88" spans="1:10">
      <c r="A88" s="70"/>
      <c r="B88" s="70"/>
      <c r="C88" s="70">
        <v>2</v>
      </c>
      <c r="D88" s="70" t="s">
        <v>95</v>
      </c>
      <c r="E88" s="28">
        <v>0.76</v>
      </c>
      <c r="I88" s="70"/>
      <c r="J88" s="28"/>
    </row>
    <row r="89" spans="1:10">
      <c r="A89" s="70"/>
      <c r="B89" s="70"/>
      <c r="C89" s="70">
        <v>2</v>
      </c>
      <c r="D89" s="70" t="s">
        <v>96</v>
      </c>
      <c r="E89" s="28">
        <v>1.28</v>
      </c>
      <c r="I89" s="70"/>
      <c r="J89" s="28"/>
    </row>
    <row r="90" spans="1:10">
      <c r="A90" s="70"/>
      <c r="B90" s="70"/>
      <c r="C90" s="70">
        <v>2</v>
      </c>
      <c r="D90" s="70" t="s">
        <v>39</v>
      </c>
      <c r="E90" s="28">
        <v>1.29</v>
      </c>
      <c r="I90" s="70"/>
      <c r="J90" s="28"/>
    </row>
    <row r="91" spans="1:10">
      <c r="A91" s="70"/>
      <c r="B91" s="70"/>
      <c r="C91" s="70">
        <v>2</v>
      </c>
      <c r="D91" s="70" t="s">
        <v>97</v>
      </c>
      <c r="E91" s="28">
        <v>1.28</v>
      </c>
      <c r="I91" s="70"/>
      <c r="J91" s="28"/>
    </row>
    <row r="92" spans="1:10">
      <c r="A92" s="70"/>
      <c r="B92" s="70"/>
      <c r="C92" s="70">
        <v>3</v>
      </c>
      <c r="D92" s="70" t="s">
        <v>94</v>
      </c>
      <c r="E92" s="28">
        <v>1.48</v>
      </c>
      <c r="F92" s="28">
        <f>AVERAGE(E92:E96)</f>
        <v>1.6359999999999999</v>
      </c>
      <c r="I92" s="70"/>
      <c r="J92" s="28"/>
    </row>
    <row r="93" spans="1:10">
      <c r="A93" s="70"/>
      <c r="B93" s="70"/>
      <c r="C93" s="70">
        <v>3</v>
      </c>
      <c r="D93" s="70" t="s">
        <v>95</v>
      </c>
      <c r="E93" s="28">
        <v>0.9</v>
      </c>
      <c r="I93" s="70"/>
      <c r="J93" s="28"/>
    </row>
    <row r="94" spans="1:10">
      <c r="A94" s="70"/>
      <c r="B94" s="70"/>
      <c r="C94" s="70">
        <v>3</v>
      </c>
      <c r="D94" s="70" t="s">
        <v>96</v>
      </c>
      <c r="E94" s="28">
        <v>1.1100000000000001</v>
      </c>
      <c r="I94" s="70"/>
      <c r="J94" s="28"/>
    </row>
    <row r="95" spans="1:10">
      <c r="A95" s="70"/>
      <c r="B95" s="70"/>
      <c r="C95" s="70">
        <v>3</v>
      </c>
      <c r="D95" s="70" t="s">
        <v>39</v>
      </c>
      <c r="E95" s="28">
        <v>2.4300000000000002</v>
      </c>
      <c r="I95" s="70"/>
      <c r="J95" s="28"/>
    </row>
    <row r="96" spans="1:10">
      <c r="A96" s="70"/>
      <c r="B96" s="70"/>
      <c r="C96" s="70">
        <v>3</v>
      </c>
      <c r="D96" s="70" t="s">
        <v>97</v>
      </c>
      <c r="E96" s="28">
        <v>2.2599999999999998</v>
      </c>
      <c r="I96" s="70"/>
      <c r="J96" s="28"/>
    </row>
    <row r="97" spans="1:10">
      <c r="A97" s="70"/>
      <c r="B97" s="70"/>
      <c r="C97" s="70">
        <v>4</v>
      </c>
      <c r="D97" s="70" t="s">
        <v>94</v>
      </c>
      <c r="E97" s="28">
        <v>5.28</v>
      </c>
      <c r="F97" s="28">
        <f>AVERAGE(E97:E101)</f>
        <v>2.7960000000000003</v>
      </c>
      <c r="H97" s="28" t="s">
        <v>223</v>
      </c>
      <c r="I97" s="70"/>
      <c r="J97" s="28"/>
    </row>
    <row r="98" spans="1:10">
      <c r="A98" s="70"/>
      <c r="B98" s="70"/>
      <c r="C98" s="70">
        <v>4</v>
      </c>
      <c r="D98" s="70" t="s">
        <v>95</v>
      </c>
      <c r="E98" s="28">
        <v>2.91</v>
      </c>
      <c r="I98" s="70"/>
      <c r="J98" s="28"/>
    </row>
    <row r="99" spans="1:10">
      <c r="A99" s="70"/>
      <c r="B99" s="70"/>
      <c r="C99" s="70">
        <v>4</v>
      </c>
      <c r="D99" s="70" t="s">
        <v>96</v>
      </c>
      <c r="E99" s="28">
        <v>1.72</v>
      </c>
      <c r="I99" s="70"/>
      <c r="J99" s="28"/>
    </row>
    <row r="100" spans="1:10">
      <c r="A100" s="70"/>
      <c r="B100" s="70"/>
      <c r="C100" s="70">
        <v>4</v>
      </c>
      <c r="D100" s="70" t="s">
        <v>39</v>
      </c>
      <c r="E100" s="28">
        <v>2.5099999999999998</v>
      </c>
      <c r="I100" s="70"/>
      <c r="J100" s="28"/>
    </row>
    <row r="101" spans="1:10">
      <c r="A101" s="70"/>
      <c r="B101" s="70"/>
      <c r="C101" s="70">
        <v>4</v>
      </c>
      <c r="D101" s="70" t="s">
        <v>97</v>
      </c>
      <c r="E101" s="28">
        <v>1.56</v>
      </c>
      <c r="I101" s="70"/>
      <c r="J101" s="28"/>
    </row>
    <row r="102" spans="1:10">
      <c r="A102" s="70" t="s">
        <v>37</v>
      </c>
      <c r="B102" s="70" t="s">
        <v>101</v>
      </c>
      <c r="C102" s="70">
        <v>1</v>
      </c>
      <c r="D102" s="70" t="s">
        <v>94</v>
      </c>
      <c r="E102" s="28">
        <v>2.0699999999999998</v>
      </c>
      <c r="F102" s="28">
        <f>AVERAGE(E102:E106)</f>
        <v>1.5979999999999996</v>
      </c>
      <c r="I102" s="70"/>
      <c r="J102" s="28"/>
    </row>
    <row r="103" spans="1:10">
      <c r="A103" s="70"/>
      <c r="B103" s="70"/>
      <c r="C103" s="70">
        <v>1</v>
      </c>
      <c r="D103" s="70" t="s">
        <v>95</v>
      </c>
      <c r="E103" s="28">
        <v>2.5499999999999998</v>
      </c>
      <c r="I103" s="70"/>
      <c r="J103" s="28"/>
    </row>
    <row r="104" spans="1:10">
      <c r="A104" s="70"/>
      <c r="B104" s="70"/>
      <c r="C104" s="70">
        <v>1</v>
      </c>
      <c r="D104" s="70" t="s">
        <v>96</v>
      </c>
      <c r="E104" s="28">
        <v>0.52</v>
      </c>
      <c r="I104" s="70"/>
      <c r="J104" s="28"/>
    </row>
    <row r="105" spans="1:10">
      <c r="A105" s="70"/>
      <c r="B105" s="70"/>
      <c r="C105" s="70">
        <v>1</v>
      </c>
      <c r="D105" s="70" t="s">
        <v>39</v>
      </c>
      <c r="E105" s="28">
        <v>1.87</v>
      </c>
      <c r="I105" s="70"/>
      <c r="J105" s="28"/>
    </row>
    <row r="106" spans="1:10">
      <c r="A106" s="70"/>
      <c r="B106" s="70"/>
      <c r="C106" s="70">
        <v>1</v>
      </c>
      <c r="D106" s="70" t="s">
        <v>97</v>
      </c>
      <c r="E106" s="28">
        <v>0.98</v>
      </c>
      <c r="I106" s="70"/>
      <c r="J106" s="28"/>
    </row>
    <row r="107" spans="1:10">
      <c r="A107" s="70"/>
      <c r="B107" s="70"/>
      <c r="C107" s="70">
        <v>2</v>
      </c>
      <c r="D107" s="70" t="s">
        <v>94</v>
      </c>
      <c r="E107" s="28">
        <v>3.5</v>
      </c>
      <c r="F107" s="28">
        <f>AVERAGE(E107:E111)</f>
        <v>2.2980000000000005</v>
      </c>
      <c r="I107" s="70"/>
      <c r="J107" s="28"/>
    </row>
    <row r="108" spans="1:10">
      <c r="A108" s="70"/>
      <c r="B108" s="70"/>
      <c r="C108" s="70">
        <v>2</v>
      </c>
      <c r="D108" s="70" t="s">
        <v>95</v>
      </c>
      <c r="E108" s="28">
        <v>3.75</v>
      </c>
      <c r="I108" s="70"/>
      <c r="J108" s="28"/>
    </row>
    <row r="109" spans="1:10">
      <c r="A109" s="70"/>
      <c r="B109" s="70"/>
      <c r="C109" s="70">
        <v>2</v>
      </c>
      <c r="D109" s="70" t="s">
        <v>96</v>
      </c>
      <c r="E109" s="28">
        <v>1.46</v>
      </c>
      <c r="F109" s="28"/>
      <c r="G109" s="28">
        <v>3</v>
      </c>
      <c r="I109" s="70"/>
      <c r="J109" s="28"/>
    </row>
    <row r="110" spans="1:10">
      <c r="A110" s="70"/>
      <c r="B110" s="70"/>
      <c r="C110" s="70">
        <v>2</v>
      </c>
      <c r="D110" s="70" t="s">
        <v>39</v>
      </c>
      <c r="E110" s="28">
        <v>1.1399999999999999</v>
      </c>
      <c r="I110" s="70"/>
      <c r="J110" s="28"/>
    </row>
    <row r="111" spans="1:10">
      <c r="A111" s="70"/>
      <c r="B111" s="70"/>
      <c r="C111" s="70">
        <v>2</v>
      </c>
      <c r="D111" s="70" t="s">
        <v>97</v>
      </c>
      <c r="E111" s="28">
        <v>1.64</v>
      </c>
      <c r="I111" s="70"/>
      <c r="J111" s="28"/>
    </row>
    <row r="112" spans="1:10">
      <c r="A112" s="70"/>
      <c r="B112" s="70"/>
      <c r="C112" s="70">
        <v>3</v>
      </c>
      <c r="D112" s="70" t="s">
        <v>94</v>
      </c>
      <c r="E112" s="28">
        <v>1.7</v>
      </c>
      <c r="F112" s="28">
        <f>AVERAGE(E112:E116)</f>
        <v>1.4259999999999999</v>
      </c>
      <c r="I112" s="70"/>
      <c r="J112" s="28"/>
    </row>
    <row r="113" spans="1:10">
      <c r="A113" s="70"/>
      <c r="B113" s="70"/>
      <c r="C113" s="70">
        <v>3</v>
      </c>
      <c r="D113" s="70" t="s">
        <v>95</v>
      </c>
      <c r="E113" s="28">
        <v>1.72</v>
      </c>
      <c r="I113" s="70"/>
      <c r="J113" s="28"/>
    </row>
    <row r="114" spans="1:10">
      <c r="A114" s="70"/>
      <c r="B114" s="70"/>
      <c r="C114" s="70">
        <v>3</v>
      </c>
      <c r="D114" s="70" t="s">
        <v>96</v>
      </c>
      <c r="E114" s="28">
        <v>1.62</v>
      </c>
      <c r="I114" s="70"/>
      <c r="J114" s="28"/>
    </row>
    <row r="115" spans="1:10">
      <c r="A115" s="70"/>
      <c r="B115" s="70"/>
      <c r="C115" s="70">
        <v>3</v>
      </c>
      <c r="D115" s="70" t="s">
        <v>39</v>
      </c>
      <c r="E115" s="28">
        <v>1.06</v>
      </c>
      <c r="I115" s="70"/>
      <c r="J115" s="28"/>
    </row>
    <row r="116" spans="1:10">
      <c r="A116" s="70"/>
      <c r="B116" s="70"/>
      <c r="C116" s="70">
        <v>3</v>
      </c>
      <c r="D116" s="70" t="s">
        <v>97</v>
      </c>
      <c r="E116" s="28">
        <v>1.03</v>
      </c>
      <c r="I116" s="70"/>
      <c r="J116" s="28"/>
    </row>
    <row r="117" spans="1:10">
      <c r="A117" s="70"/>
      <c r="B117" s="70"/>
      <c r="C117" s="70">
        <v>4</v>
      </c>
      <c r="D117" s="70" t="s">
        <v>94</v>
      </c>
      <c r="E117" s="28">
        <v>1.1000000000000001</v>
      </c>
      <c r="F117" s="28">
        <f>AVERAGE(E117:E121)</f>
        <v>0.94800000000000006</v>
      </c>
      <c r="I117" s="70"/>
      <c r="J117" s="28"/>
    </row>
    <row r="118" spans="1:10">
      <c r="A118" s="70"/>
      <c r="B118" s="70"/>
      <c r="C118" s="70">
        <v>4</v>
      </c>
      <c r="D118" s="70" t="s">
        <v>95</v>
      </c>
      <c r="E118" s="28">
        <v>0.82</v>
      </c>
      <c r="I118" s="70"/>
      <c r="J118" s="28"/>
    </row>
    <row r="119" spans="1:10">
      <c r="A119" s="70"/>
      <c r="B119" s="70"/>
      <c r="C119" s="70">
        <v>4</v>
      </c>
      <c r="D119" s="70" t="s">
        <v>96</v>
      </c>
      <c r="E119" s="28">
        <v>1</v>
      </c>
      <c r="I119" s="70"/>
      <c r="J119" s="28"/>
    </row>
    <row r="120" spans="1:10">
      <c r="A120" s="70"/>
      <c r="B120" s="70"/>
      <c r="C120" s="70">
        <v>4</v>
      </c>
      <c r="D120" s="70" t="s">
        <v>39</v>
      </c>
      <c r="E120" s="28">
        <v>0.84</v>
      </c>
      <c r="I120" s="70"/>
      <c r="J120" s="28"/>
    </row>
    <row r="121" spans="1:10">
      <c r="A121" s="70"/>
      <c r="B121" s="70"/>
      <c r="C121" s="70">
        <v>4</v>
      </c>
      <c r="D121" s="70" t="s">
        <v>97</v>
      </c>
      <c r="E121" s="28">
        <v>0.98</v>
      </c>
      <c r="I121" s="70"/>
      <c r="J121" s="28"/>
    </row>
    <row r="122" spans="1:10">
      <c r="A122" s="70" t="s">
        <v>37</v>
      </c>
      <c r="B122" s="70" t="s">
        <v>102</v>
      </c>
      <c r="C122" s="70">
        <v>1</v>
      </c>
      <c r="D122" s="70" t="s">
        <v>94</v>
      </c>
      <c r="E122" s="28">
        <v>1.67</v>
      </c>
      <c r="F122" s="28">
        <f>AVERAGE(E122:E126)</f>
        <v>3.1059999999999999</v>
      </c>
      <c r="I122" s="70"/>
      <c r="J122" s="28"/>
    </row>
    <row r="123" spans="1:10">
      <c r="A123" s="70"/>
      <c r="B123" s="70"/>
      <c r="C123" s="70">
        <v>1</v>
      </c>
      <c r="D123" s="70" t="s">
        <v>95</v>
      </c>
      <c r="E123" s="28">
        <v>1.76</v>
      </c>
      <c r="I123" s="70"/>
      <c r="J123" s="28"/>
    </row>
    <row r="124" spans="1:10">
      <c r="A124" s="70"/>
      <c r="B124" s="70"/>
      <c r="C124" s="70">
        <v>1</v>
      </c>
      <c r="D124" s="70" t="s">
        <v>96</v>
      </c>
      <c r="E124" s="28">
        <v>10.6</v>
      </c>
      <c r="H124" s="28" t="s">
        <v>227</v>
      </c>
      <c r="I124" s="70"/>
      <c r="J124" s="28"/>
    </row>
    <row r="125" spans="1:10">
      <c r="A125" s="70"/>
      <c r="B125" s="70"/>
      <c r="C125" s="70">
        <v>1</v>
      </c>
      <c r="D125" s="70" t="s">
        <v>39</v>
      </c>
      <c r="E125" s="28">
        <v>0.94</v>
      </c>
      <c r="I125" s="70"/>
      <c r="J125" s="28"/>
    </row>
    <row r="126" spans="1:10">
      <c r="A126" s="70"/>
      <c r="B126" s="70"/>
      <c r="C126" s="70">
        <v>1</v>
      </c>
      <c r="D126" s="70" t="s">
        <v>97</v>
      </c>
      <c r="E126" s="28">
        <v>0.56000000000000005</v>
      </c>
      <c r="I126" s="70"/>
      <c r="J126" s="28"/>
    </row>
    <row r="127" spans="1:10">
      <c r="A127" s="70"/>
      <c r="B127" s="70"/>
      <c r="C127" s="70">
        <v>2</v>
      </c>
      <c r="D127" s="70" t="s">
        <v>94</v>
      </c>
      <c r="E127" s="28">
        <v>3.05</v>
      </c>
      <c r="F127" s="28">
        <f>AVERAGE(E127:E131)</f>
        <v>1.8619999999999997</v>
      </c>
      <c r="I127" s="70"/>
      <c r="J127" s="28"/>
    </row>
    <row r="128" spans="1:10">
      <c r="A128" s="70"/>
      <c r="B128" s="70"/>
      <c r="C128" s="70">
        <v>2</v>
      </c>
      <c r="D128" s="70" t="s">
        <v>95</v>
      </c>
      <c r="E128" s="28">
        <v>1.74</v>
      </c>
      <c r="H128" s="28" t="s">
        <v>228</v>
      </c>
      <c r="I128" s="70"/>
      <c r="J128" s="28"/>
    </row>
    <row r="129" spans="1:10">
      <c r="A129" s="70"/>
      <c r="B129" s="70"/>
      <c r="C129" s="70">
        <v>2</v>
      </c>
      <c r="D129" s="70" t="s">
        <v>96</v>
      </c>
      <c r="E129" s="28">
        <v>1.1399999999999999</v>
      </c>
      <c r="I129" s="70"/>
      <c r="J129" s="28"/>
    </row>
    <row r="130" spans="1:10">
      <c r="A130" s="70"/>
      <c r="B130" s="70"/>
      <c r="C130" s="70">
        <v>2</v>
      </c>
      <c r="D130" s="70" t="s">
        <v>39</v>
      </c>
      <c r="E130" s="28">
        <v>1.52</v>
      </c>
      <c r="I130" s="70"/>
      <c r="J130" s="28"/>
    </row>
    <row r="131" spans="1:10">
      <c r="A131" s="70"/>
      <c r="B131" s="70"/>
      <c r="C131" s="70">
        <v>2</v>
      </c>
      <c r="D131" s="70" t="s">
        <v>97</v>
      </c>
      <c r="E131" s="28">
        <v>1.86</v>
      </c>
      <c r="I131" s="70"/>
      <c r="J131" s="28"/>
    </row>
    <row r="132" spans="1:10">
      <c r="A132" s="70"/>
      <c r="B132" s="70"/>
      <c r="C132" s="70">
        <v>3</v>
      </c>
      <c r="D132" s="70" t="s">
        <v>94</v>
      </c>
      <c r="E132" s="28">
        <v>1.6</v>
      </c>
      <c r="F132" s="28">
        <f>AVERAGE(E132:E136)</f>
        <v>1.458</v>
      </c>
      <c r="I132" s="70"/>
      <c r="J132" s="28"/>
    </row>
    <row r="133" spans="1:10">
      <c r="A133" s="70"/>
      <c r="B133" s="70"/>
      <c r="C133" s="70">
        <v>3</v>
      </c>
      <c r="D133" s="70" t="s">
        <v>95</v>
      </c>
      <c r="E133" s="28">
        <v>0.98</v>
      </c>
      <c r="I133" s="70"/>
      <c r="J133" s="28"/>
    </row>
    <row r="134" spans="1:10">
      <c r="A134" s="70"/>
      <c r="B134" s="70"/>
      <c r="C134" s="70">
        <v>3</v>
      </c>
      <c r="D134" s="70" t="s">
        <v>96</v>
      </c>
      <c r="E134" s="28">
        <v>2.12</v>
      </c>
      <c r="I134" s="70"/>
      <c r="J134" s="28"/>
    </row>
    <row r="135" spans="1:10">
      <c r="A135" s="70"/>
      <c r="B135" s="70"/>
      <c r="C135" s="70">
        <v>3</v>
      </c>
      <c r="D135" s="70" t="s">
        <v>39</v>
      </c>
      <c r="E135" s="28">
        <v>1.26</v>
      </c>
      <c r="I135" s="70"/>
      <c r="J135" s="28"/>
    </row>
    <row r="136" spans="1:10">
      <c r="A136" s="70"/>
      <c r="B136" s="70"/>
      <c r="C136" s="70">
        <v>3</v>
      </c>
      <c r="D136" s="70" t="s">
        <v>97</v>
      </c>
      <c r="E136" s="28">
        <v>1.33</v>
      </c>
      <c r="I136" s="70"/>
      <c r="J136" s="28"/>
    </row>
    <row r="137" spans="1:10">
      <c r="A137" s="70"/>
      <c r="B137" s="70"/>
      <c r="C137" s="70">
        <v>4</v>
      </c>
      <c r="D137" s="70" t="s">
        <v>94</v>
      </c>
      <c r="E137" s="28">
        <v>0.71</v>
      </c>
      <c r="F137" s="28">
        <f>AVERAGE(E137:E141)</f>
        <v>1.2739999999999998</v>
      </c>
      <c r="I137" s="70"/>
      <c r="J137" s="28"/>
    </row>
    <row r="138" spans="1:10">
      <c r="A138" s="70"/>
      <c r="B138" s="70"/>
      <c r="C138" s="70">
        <v>4</v>
      </c>
      <c r="D138" s="70" t="s">
        <v>95</v>
      </c>
      <c r="E138" s="28">
        <v>1.63</v>
      </c>
      <c r="I138" s="70"/>
      <c r="J138" s="28"/>
    </row>
    <row r="139" spans="1:10">
      <c r="A139" s="70"/>
      <c r="B139" s="70"/>
      <c r="C139" s="70">
        <v>4</v>
      </c>
      <c r="D139" s="70" t="s">
        <v>96</v>
      </c>
      <c r="E139" s="28">
        <v>1.47</v>
      </c>
      <c r="I139" s="70"/>
      <c r="J139" s="28"/>
    </row>
    <row r="140" spans="1:10">
      <c r="A140" s="70"/>
      <c r="B140" s="70"/>
      <c r="C140" s="70">
        <v>4</v>
      </c>
      <c r="D140" s="70" t="s">
        <v>39</v>
      </c>
      <c r="E140" s="28">
        <v>0.84</v>
      </c>
      <c r="I140" s="70"/>
      <c r="J140" s="28"/>
    </row>
    <row r="141" spans="1:10">
      <c r="A141" s="70"/>
      <c r="B141" s="70"/>
      <c r="C141" s="70">
        <v>4</v>
      </c>
      <c r="D141" s="70" t="s">
        <v>97</v>
      </c>
      <c r="E141" s="28">
        <v>1.72</v>
      </c>
      <c r="I141" s="70"/>
      <c r="J141" s="28"/>
    </row>
    <row r="142" spans="1:10">
      <c r="A142" s="70" t="s">
        <v>103</v>
      </c>
      <c r="B142" s="70" t="s">
        <v>106</v>
      </c>
      <c r="C142" s="70">
        <v>1</v>
      </c>
      <c r="D142" s="70" t="s">
        <v>94</v>
      </c>
      <c r="E142" s="28">
        <v>1.34</v>
      </c>
      <c r="F142" s="28">
        <f>AVERAGE(E142:E146)</f>
        <v>2.516</v>
      </c>
      <c r="I142" s="70"/>
      <c r="J142" s="28"/>
    </row>
    <row r="143" spans="1:10">
      <c r="A143" s="70"/>
      <c r="B143" s="70"/>
      <c r="C143" s="70">
        <v>1</v>
      </c>
      <c r="D143" s="70" t="s">
        <v>107</v>
      </c>
      <c r="E143" s="28">
        <v>1.17</v>
      </c>
      <c r="I143" s="70"/>
      <c r="J143" s="28"/>
    </row>
    <row r="144" spans="1:10">
      <c r="A144" s="70"/>
      <c r="B144" s="70"/>
      <c r="C144" s="70">
        <v>1</v>
      </c>
      <c r="D144" s="70" t="s">
        <v>108</v>
      </c>
      <c r="E144" s="28">
        <v>2.91</v>
      </c>
      <c r="I144" s="70"/>
      <c r="J144" s="28"/>
    </row>
    <row r="145" spans="1:10">
      <c r="A145" s="70"/>
      <c r="B145" s="70"/>
      <c r="C145" s="70">
        <v>1</v>
      </c>
      <c r="D145" s="70" t="s">
        <v>96</v>
      </c>
      <c r="E145" s="28">
        <v>2.59</v>
      </c>
      <c r="I145" s="70"/>
      <c r="J145" s="28"/>
    </row>
    <row r="146" spans="1:10">
      <c r="A146" s="70"/>
      <c r="B146" s="70"/>
      <c r="C146" s="70">
        <v>1</v>
      </c>
      <c r="D146" s="70" t="s">
        <v>39</v>
      </c>
      <c r="E146" s="28">
        <v>4.57</v>
      </c>
      <c r="I146" s="70"/>
      <c r="J146" s="28"/>
    </row>
    <row r="147" spans="1:10">
      <c r="A147" s="70"/>
      <c r="B147" s="70"/>
      <c r="C147" s="70">
        <v>2</v>
      </c>
      <c r="D147" s="70" t="s">
        <v>94</v>
      </c>
      <c r="E147" s="28">
        <v>1.23</v>
      </c>
      <c r="F147" s="28">
        <f>AVERAGE(E147:E151)</f>
        <v>3.1300000000000003</v>
      </c>
      <c r="H147" s="28" t="s">
        <v>229</v>
      </c>
      <c r="I147" s="70"/>
      <c r="J147" s="28"/>
    </row>
    <row r="148" spans="1:10">
      <c r="A148" s="70"/>
      <c r="B148" s="70"/>
      <c r="C148" s="70">
        <v>2</v>
      </c>
      <c r="D148" s="70" t="s">
        <v>107</v>
      </c>
      <c r="E148" s="28">
        <v>4.83</v>
      </c>
      <c r="I148" s="70"/>
      <c r="J148" s="28"/>
    </row>
    <row r="149" spans="1:10">
      <c r="A149" s="70"/>
      <c r="B149" s="70"/>
      <c r="C149" s="70">
        <v>2</v>
      </c>
      <c r="D149" s="70" t="s">
        <v>108</v>
      </c>
      <c r="E149" s="28">
        <v>2.17</v>
      </c>
      <c r="I149" s="70"/>
      <c r="J149" s="28"/>
    </row>
    <row r="150" spans="1:10">
      <c r="A150" s="70"/>
      <c r="B150" s="70"/>
      <c r="C150" s="70">
        <v>2</v>
      </c>
      <c r="D150" s="70" t="s">
        <v>96</v>
      </c>
      <c r="E150" s="28">
        <v>2.56</v>
      </c>
      <c r="I150" s="70"/>
      <c r="J150" s="28"/>
    </row>
    <row r="151" spans="1:10">
      <c r="A151" s="70"/>
      <c r="B151" s="70"/>
      <c r="C151" s="70">
        <v>2</v>
      </c>
      <c r="D151" s="70" t="s">
        <v>39</v>
      </c>
      <c r="E151" s="28">
        <v>4.8600000000000003</v>
      </c>
      <c r="H151" s="28" t="s">
        <v>231</v>
      </c>
      <c r="I151" s="70"/>
      <c r="J151" s="28"/>
    </row>
    <row r="152" spans="1:10">
      <c r="A152" s="70"/>
      <c r="B152" s="70"/>
      <c r="C152" s="70">
        <v>3</v>
      </c>
      <c r="D152" s="70" t="s">
        <v>94</v>
      </c>
      <c r="E152" s="28">
        <v>1.88</v>
      </c>
      <c r="F152" s="28">
        <f>AVERAGE(E152:E156)</f>
        <v>1.9560000000000002</v>
      </c>
      <c r="H152" s="28" t="s">
        <v>229</v>
      </c>
      <c r="I152" s="70"/>
      <c r="J152" s="28"/>
    </row>
    <row r="153" spans="1:10">
      <c r="A153" s="70"/>
      <c r="B153" s="70"/>
      <c r="C153" s="70">
        <v>3</v>
      </c>
      <c r="D153" s="70" t="s">
        <v>107</v>
      </c>
      <c r="E153" s="28">
        <v>1.1100000000000001</v>
      </c>
      <c r="I153" s="70"/>
      <c r="J153" s="28"/>
    </row>
    <row r="154" spans="1:10">
      <c r="A154" s="70"/>
      <c r="B154" s="70"/>
      <c r="C154" s="70">
        <v>3</v>
      </c>
      <c r="D154" s="70" t="s">
        <v>108</v>
      </c>
      <c r="E154" s="28">
        <v>2.16</v>
      </c>
      <c r="I154" s="70"/>
      <c r="J154" s="28"/>
    </row>
    <row r="155" spans="1:10">
      <c r="A155" s="70"/>
      <c r="B155" s="70"/>
      <c r="C155" s="70">
        <v>3</v>
      </c>
      <c r="D155" s="70" t="s">
        <v>96</v>
      </c>
      <c r="E155" s="28">
        <v>1.79</v>
      </c>
      <c r="F155" s="28"/>
      <c r="G155" s="28">
        <v>133</v>
      </c>
      <c r="I155" s="70"/>
      <c r="J155" s="28"/>
    </row>
    <row r="156" spans="1:10">
      <c r="A156" s="70"/>
      <c r="B156" s="70"/>
      <c r="C156" s="70">
        <v>3</v>
      </c>
      <c r="D156" s="70" t="s">
        <v>39</v>
      </c>
      <c r="E156" s="28">
        <v>2.84</v>
      </c>
      <c r="I156" s="70"/>
      <c r="J156" s="28"/>
    </row>
    <row r="157" spans="1:10">
      <c r="A157" s="70"/>
      <c r="B157" s="70"/>
      <c r="C157" s="70">
        <v>4</v>
      </c>
      <c r="D157" s="70" t="s">
        <v>94</v>
      </c>
      <c r="E157" s="28">
        <v>2.29</v>
      </c>
      <c r="F157" s="28">
        <f>AVERAGE(E157:E161)</f>
        <v>1.7120000000000002</v>
      </c>
      <c r="H157" s="28" t="s">
        <v>232</v>
      </c>
      <c r="I157" s="70"/>
      <c r="J157" s="28"/>
    </row>
    <row r="158" spans="1:10">
      <c r="A158" s="70"/>
      <c r="B158" s="70"/>
      <c r="C158" s="70">
        <v>4</v>
      </c>
      <c r="D158" s="70" t="s">
        <v>107</v>
      </c>
      <c r="E158" s="28">
        <v>1.98</v>
      </c>
      <c r="I158" s="70"/>
      <c r="J158" s="28"/>
    </row>
    <row r="159" spans="1:10">
      <c r="A159" s="70"/>
      <c r="B159" s="70"/>
      <c r="C159" s="70">
        <v>4</v>
      </c>
      <c r="D159" s="70" t="s">
        <v>108</v>
      </c>
      <c r="E159" s="28">
        <v>0.86</v>
      </c>
      <c r="I159" s="70"/>
      <c r="J159" s="28"/>
    </row>
    <row r="160" spans="1:10">
      <c r="A160" s="70"/>
      <c r="B160" s="70"/>
      <c r="C160" s="70">
        <v>4</v>
      </c>
      <c r="D160" s="70" t="s">
        <v>96</v>
      </c>
      <c r="E160" s="28">
        <v>1.61</v>
      </c>
      <c r="H160" s="28" t="s">
        <v>233</v>
      </c>
      <c r="I160" s="70"/>
      <c r="J160" s="28"/>
    </row>
    <row r="161" spans="1:10">
      <c r="A161" s="70"/>
      <c r="B161" s="70"/>
      <c r="C161" s="70">
        <v>4</v>
      </c>
      <c r="D161" s="70" t="s">
        <v>39</v>
      </c>
      <c r="E161" s="28">
        <v>1.82</v>
      </c>
      <c r="I161" s="70"/>
      <c r="J161" s="28"/>
    </row>
    <row r="162" spans="1:10">
      <c r="A162" s="70" t="s">
        <v>103</v>
      </c>
      <c r="B162" s="70" t="s">
        <v>110</v>
      </c>
      <c r="C162" s="70">
        <v>1</v>
      </c>
      <c r="D162" s="70" t="s">
        <v>94</v>
      </c>
      <c r="E162" s="28">
        <v>0.48</v>
      </c>
      <c r="F162" s="28">
        <f>AVERAGE(E162:E166)</f>
        <v>0.79800000000000004</v>
      </c>
      <c r="I162" s="70"/>
      <c r="J162" s="28"/>
    </row>
    <row r="163" spans="1:10">
      <c r="A163" s="70"/>
      <c r="B163" s="70"/>
      <c r="C163" s="70">
        <v>1</v>
      </c>
      <c r="D163" s="70" t="s">
        <v>95</v>
      </c>
      <c r="E163" s="28">
        <v>1.24</v>
      </c>
      <c r="I163" s="70"/>
      <c r="J163" s="28"/>
    </row>
    <row r="164" spans="1:10">
      <c r="A164" s="70"/>
      <c r="B164" s="70"/>
      <c r="C164" s="70">
        <v>1</v>
      </c>
      <c r="D164" s="75" t="s">
        <v>96</v>
      </c>
      <c r="E164" s="28">
        <v>0.5</v>
      </c>
      <c r="I164" s="75"/>
      <c r="J164" s="28"/>
    </row>
    <row r="165" spans="1:10">
      <c r="A165" s="70"/>
      <c r="B165" s="70"/>
      <c r="C165" s="70">
        <v>1</v>
      </c>
      <c r="D165" s="75" t="s">
        <v>39</v>
      </c>
      <c r="E165" s="28">
        <v>0.53</v>
      </c>
      <c r="I165" s="75"/>
      <c r="J165" s="28"/>
    </row>
    <row r="166" spans="1:10">
      <c r="A166" s="70"/>
      <c r="B166" s="70"/>
      <c r="C166" s="70">
        <v>1</v>
      </c>
      <c r="D166" s="75" t="s">
        <v>97</v>
      </c>
      <c r="E166" s="28">
        <v>1.24</v>
      </c>
      <c r="I166" s="75"/>
      <c r="J166" s="28"/>
    </row>
    <row r="167" spans="1:10">
      <c r="A167" s="70"/>
      <c r="B167" s="70"/>
      <c r="C167" s="70">
        <v>2</v>
      </c>
      <c r="D167" s="70" t="s">
        <v>94</v>
      </c>
      <c r="E167" s="28" t="s">
        <v>234</v>
      </c>
      <c r="F167" s="28">
        <f>AVERAGE(E167:E171)</f>
        <v>1.2275</v>
      </c>
      <c r="I167" s="70"/>
      <c r="J167" s="28"/>
    </row>
    <row r="168" spans="1:10">
      <c r="A168" s="70"/>
      <c r="B168" s="70"/>
      <c r="C168" s="70">
        <v>2</v>
      </c>
      <c r="D168" s="70" t="s">
        <v>95</v>
      </c>
      <c r="E168" s="28">
        <v>0.7</v>
      </c>
      <c r="I168" s="70"/>
      <c r="J168" s="28"/>
    </row>
    <row r="169" spans="1:10">
      <c r="A169" s="70"/>
      <c r="B169" s="70"/>
      <c r="C169" s="70">
        <v>2</v>
      </c>
      <c r="D169" s="70" t="s">
        <v>96</v>
      </c>
      <c r="E169" s="28">
        <v>2.0299999999999998</v>
      </c>
      <c r="F169" s="28"/>
      <c r="G169" s="28">
        <v>3</v>
      </c>
      <c r="I169" s="70"/>
      <c r="J169" s="28"/>
    </row>
    <row r="170" spans="1:10">
      <c r="A170" s="70"/>
      <c r="B170" s="70"/>
      <c r="C170" s="70">
        <v>2</v>
      </c>
      <c r="D170" s="70" t="s">
        <v>39</v>
      </c>
      <c r="E170" s="28">
        <v>1.03</v>
      </c>
      <c r="I170" s="70"/>
      <c r="J170" s="28"/>
    </row>
    <row r="171" spans="1:10">
      <c r="A171" s="70"/>
      <c r="B171" s="70"/>
      <c r="C171" s="70">
        <v>2</v>
      </c>
      <c r="D171" s="70" t="s">
        <v>97</v>
      </c>
      <c r="E171" s="28">
        <v>1.1499999999999999</v>
      </c>
      <c r="F171" s="28"/>
      <c r="G171" s="28">
        <v>1</v>
      </c>
      <c r="I171" s="70"/>
      <c r="J171" s="28"/>
    </row>
    <row r="172" spans="1:10">
      <c r="A172" s="70"/>
      <c r="B172" s="70"/>
      <c r="C172" s="70">
        <v>3</v>
      </c>
      <c r="D172" s="70" t="s">
        <v>94</v>
      </c>
      <c r="E172" s="28">
        <v>1.45</v>
      </c>
      <c r="F172" s="28">
        <f>AVERAGE(E172:E176)</f>
        <v>1.0059999999999998</v>
      </c>
      <c r="H172" s="28" t="s">
        <v>235</v>
      </c>
      <c r="I172" s="70"/>
      <c r="J172" s="28"/>
    </row>
    <row r="173" spans="1:10">
      <c r="A173" s="70"/>
      <c r="B173" s="70"/>
      <c r="C173" s="70">
        <v>3</v>
      </c>
      <c r="D173" s="70" t="s">
        <v>95</v>
      </c>
      <c r="E173" s="28">
        <v>0.95</v>
      </c>
      <c r="I173" s="70"/>
      <c r="J173" s="28"/>
    </row>
    <row r="174" spans="1:10">
      <c r="A174" s="70"/>
      <c r="B174" s="70"/>
      <c r="C174" s="70">
        <v>3</v>
      </c>
      <c r="D174" s="75" t="s">
        <v>96</v>
      </c>
      <c r="E174" s="28">
        <v>0.68</v>
      </c>
      <c r="I174" s="75"/>
      <c r="J174" s="28"/>
    </row>
    <row r="175" spans="1:10">
      <c r="A175" s="70"/>
      <c r="B175" s="70"/>
      <c r="C175" s="70">
        <v>3</v>
      </c>
      <c r="D175" s="70" t="s">
        <v>39</v>
      </c>
      <c r="E175" s="28">
        <v>0.97</v>
      </c>
      <c r="H175" s="28" t="s">
        <v>236</v>
      </c>
      <c r="I175" s="70"/>
      <c r="J175" s="28"/>
    </row>
    <row r="176" spans="1:10">
      <c r="A176" s="70"/>
      <c r="B176" s="70"/>
      <c r="C176" s="70">
        <v>3</v>
      </c>
      <c r="D176" s="70" t="s">
        <v>97</v>
      </c>
      <c r="E176" s="28">
        <v>0.98</v>
      </c>
      <c r="I176" s="70"/>
      <c r="J176" s="28"/>
    </row>
    <row r="177" spans="1:10">
      <c r="A177" s="70"/>
      <c r="B177" s="70"/>
      <c r="C177" s="70">
        <v>4</v>
      </c>
      <c r="D177" s="70" t="s">
        <v>94</v>
      </c>
      <c r="E177" s="28">
        <v>0.8</v>
      </c>
      <c r="F177" s="28">
        <f>AVERAGE(E177:E181)</f>
        <v>2.1599999999999997</v>
      </c>
      <c r="I177" s="70"/>
      <c r="J177" s="28"/>
    </row>
    <row r="178" spans="1:10">
      <c r="A178" s="70"/>
      <c r="B178" s="70"/>
      <c r="C178" s="70">
        <v>4</v>
      </c>
      <c r="D178" s="70" t="s">
        <v>95</v>
      </c>
      <c r="E178" s="28">
        <v>2.12</v>
      </c>
      <c r="I178" s="70"/>
      <c r="J178" s="28"/>
    </row>
    <row r="179" spans="1:10">
      <c r="A179" s="70"/>
      <c r="B179" s="70"/>
      <c r="C179" s="70">
        <v>4</v>
      </c>
      <c r="D179" s="70" t="s">
        <v>96</v>
      </c>
      <c r="E179" s="28">
        <v>3.09</v>
      </c>
      <c r="I179" s="70"/>
      <c r="J179" s="28"/>
    </row>
    <row r="180" spans="1:10">
      <c r="A180" s="70"/>
      <c r="B180" s="70"/>
      <c r="C180" s="70">
        <v>4</v>
      </c>
      <c r="D180" s="70" t="s">
        <v>39</v>
      </c>
      <c r="E180" s="28">
        <v>3.53</v>
      </c>
      <c r="H180" s="28" t="s">
        <v>237</v>
      </c>
      <c r="I180" s="70"/>
      <c r="J180" s="28"/>
    </row>
    <row r="181" spans="1:10">
      <c r="A181" s="70"/>
      <c r="B181" s="70"/>
      <c r="C181" s="70">
        <v>4</v>
      </c>
      <c r="D181" s="75" t="s">
        <v>97</v>
      </c>
      <c r="E181" s="28">
        <v>1.26</v>
      </c>
      <c r="I181" s="75"/>
      <c r="J181" s="28"/>
    </row>
    <row r="182" spans="1:10">
      <c r="A182" s="70" t="s">
        <v>109</v>
      </c>
      <c r="B182" s="70" t="s">
        <v>112</v>
      </c>
      <c r="C182" s="70">
        <v>1</v>
      </c>
      <c r="D182" s="70" t="s">
        <v>94</v>
      </c>
      <c r="E182" s="28">
        <v>0.57999999999999996</v>
      </c>
      <c r="F182" s="28">
        <f>AVERAGE(E182:E186)</f>
        <v>0.90999999999999992</v>
      </c>
      <c r="I182" s="70"/>
      <c r="J182" s="28"/>
    </row>
    <row r="183" spans="1:10">
      <c r="A183" s="70"/>
      <c r="B183" s="70"/>
      <c r="C183" s="70">
        <v>1</v>
      </c>
      <c r="D183" s="70" t="s">
        <v>107</v>
      </c>
      <c r="E183" s="28">
        <v>1.71</v>
      </c>
      <c r="I183" s="70"/>
      <c r="J183" s="28"/>
    </row>
    <row r="184" spans="1:10">
      <c r="A184" s="70"/>
      <c r="B184" s="70"/>
      <c r="C184" s="70">
        <v>1</v>
      </c>
      <c r="D184" s="70" t="s">
        <v>108</v>
      </c>
      <c r="E184" s="28" t="s">
        <v>238</v>
      </c>
      <c r="I184" s="70"/>
      <c r="J184" s="28"/>
    </row>
    <row r="185" spans="1:10">
      <c r="A185" s="70"/>
      <c r="B185" s="70"/>
      <c r="C185" s="70">
        <v>1</v>
      </c>
      <c r="D185" s="70" t="s">
        <v>96</v>
      </c>
      <c r="E185" s="28">
        <v>0.82</v>
      </c>
      <c r="H185" s="28" t="s">
        <v>239</v>
      </c>
      <c r="I185" s="70"/>
      <c r="J185" s="28"/>
    </row>
    <row r="186" spans="1:10">
      <c r="A186" s="70"/>
      <c r="B186" s="70"/>
      <c r="C186" s="70">
        <v>1</v>
      </c>
      <c r="D186" s="75" t="s">
        <v>240</v>
      </c>
      <c r="E186" s="28">
        <v>0.53</v>
      </c>
      <c r="H186" s="28" t="s">
        <v>241</v>
      </c>
      <c r="I186" s="75"/>
      <c r="J186" s="28"/>
    </row>
    <row r="187" spans="1:10">
      <c r="A187" s="70"/>
      <c r="B187" s="70"/>
      <c r="C187" s="70">
        <v>2</v>
      </c>
      <c r="D187" s="70" t="s">
        <v>94</v>
      </c>
      <c r="E187" s="28">
        <v>0.95</v>
      </c>
      <c r="F187" s="28">
        <f>AVERAGE(E187:E191)</f>
        <v>0.95</v>
      </c>
      <c r="I187" s="70"/>
      <c r="J187" s="28"/>
    </row>
    <row r="188" spans="1:10">
      <c r="A188" s="70"/>
      <c r="B188" s="70"/>
      <c r="C188" s="70">
        <v>2</v>
      </c>
      <c r="D188" s="70" t="s">
        <v>107</v>
      </c>
      <c r="E188" s="28">
        <v>0.52</v>
      </c>
      <c r="I188" s="70"/>
      <c r="J188" s="28"/>
    </row>
    <row r="189" spans="1:10">
      <c r="A189" s="70"/>
      <c r="B189" s="70"/>
      <c r="C189" s="70">
        <v>2</v>
      </c>
      <c r="D189" s="70" t="s">
        <v>108</v>
      </c>
      <c r="E189" s="28">
        <v>1.67</v>
      </c>
      <c r="I189" s="70"/>
      <c r="J189" s="28"/>
    </row>
    <row r="190" spans="1:10">
      <c r="A190" s="70"/>
      <c r="B190" s="70"/>
      <c r="C190" s="70">
        <v>2</v>
      </c>
      <c r="D190" s="70" t="s">
        <v>96</v>
      </c>
      <c r="E190" s="28">
        <v>0.52</v>
      </c>
      <c r="I190" s="70"/>
      <c r="J190" s="28"/>
    </row>
    <row r="191" spans="1:10">
      <c r="A191" s="70"/>
      <c r="B191" s="70"/>
      <c r="C191" s="70">
        <v>2</v>
      </c>
      <c r="D191" s="75" t="s">
        <v>240</v>
      </c>
      <c r="E191" s="28">
        <v>1.0900000000000001</v>
      </c>
      <c r="I191" s="75"/>
      <c r="J191" s="28"/>
    </row>
    <row r="192" spans="1:10">
      <c r="A192" s="70"/>
      <c r="B192" s="70"/>
      <c r="C192" s="70">
        <v>3</v>
      </c>
      <c r="D192" s="70" t="s">
        <v>94</v>
      </c>
      <c r="E192" s="28">
        <v>1.48</v>
      </c>
      <c r="F192" s="28">
        <f>AVERAGE(E192:E196)</f>
        <v>1.0660000000000001</v>
      </c>
      <c r="I192" s="70"/>
      <c r="J192" s="28"/>
    </row>
    <row r="193" spans="1:10">
      <c r="A193" s="70"/>
      <c r="B193" s="70"/>
      <c r="C193" s="70">
        <v>3</v>
      </c>
      <c r="D193" s="70" t="s">
        <v>107</v>
      </c>
      <c r="E193" s="28">
        <v>1.68</v>
      </c>
      <c r="I193" s="70"/>
      <c r="J193" s="28"/>
    </row>
    <row r="194" spans="1:10">
      <c r="A194" s="70"/>
      <c r="B194" s="70"/>
      <c r="C194" s="70">
        <v>3</v>
      </c>
      <c r="D194" s="70" t="s">
        <v>108</v>
      </c>
      <c r="E194" s="28">
        <v>0.7</v>
      </c>
      <c r="I194" s="70"/>
      <c r="J194" s="28"/>
    </row>
    <row r="195" spans="1:10">
      <c r="A195" s="70"/>
      <c r="B195" s="70"/>
      <c r="C195" s="70">
        <v>3</v>
      </c>
      <c r="D195" s="70" t="s">
        <v>96</v>
      </c>
      <c r="E195" s="28">
        <v>0.57999999999999996</v>
      </c>
      <c r="I195" s="70"/>
      <c r="J195" s="28"/>
    </row>
    <row r="196" spans="1:10">
      <c r="A196" s="70"/>
      <c r="B196" s="70"/>
      <c r="C196" s="70">
        <v>3</v>
      </c>
      <c r="D196" s="75" t="s">
        <v>240</v>
      </c>
      <c r="E196" s="28">
        <v>0.89</v>
      </c>
      <c r="H196" s="28" t="s">
        <v>239</v>
      </c>
      <c r="I196" s="75"/>
      <c r="J196" s="28"/>
    </row>
    <row r="197" spans="1:10">
      <c r="A197" s="70"/>
      <c r="B197" s="70"/>
      <c r="C197" s="70">
        <v>4</v>
      </c>
      <c r="D197" s="70" t="s">
        <v>94</v>
      </c>
      <c r="E197" s="28">
        <v>1.31</v>
      </c>
      <c r="F197" s="28">
        <f>AVERAGE(E197:E201)</f>
        <v>1.3479999999999999</v>
      </c>
      <c r="I197" s="70"/>
      <c r="J197" s="28"/>
    </row>
    <row r="198" spans="1:10">
      <c r="A198" s="70"/>
      <c r="B198" s="70"/>
      <c r="C198" s="70">
        <v>4</v>
      </c>
      <c r="D198" s="70" t="s">
        <v>107</v>
      </c>
      <c r="E198" s="28">
        <v>0.87</v>
      </c>
      <c r="I198" s="70"/>
      <c r="J198" s="28"/>
    </row>
    <row r="199" spans="1:10">
      <c r="A199" s="70"/>
      <c r="B199" s="70"/>
      <c r="C199" s="70">
        <v>4</v>
      </c>
      <c r="D199" s="70" t="s">
        <v>108</v>
      </c>
      <c r="E199" s="28">
        <v>0.53</v>
      </c>
      <c r="H199" s="28" t="s">
        <v>239</v>
      </c>
      <c r="I199" s="70"/>
      <c r="J199" s="28"/>
    </row>
    <row r="200" spans="1:10">
      <c r="A200" s="84"/>
      <c r="B200" s="84"/>
      <c r="C200" s="84">
        <v>4</v>
      </c>
      <c r="D200" s="84" t="s">
        <v>96</v>
      </c>
      <c r="E200" s="28">
        <v>2.31</v>
      </c>
      <c r="I200" s="84"/>
      <c r="J200" s="28"/>
    </row>
    <row r="201" spans="1:10">
      <c r="A201" s="70"/>
      <c r="B201" s="70"/>
      <c r="C201" s="70">
        <v>4</v>
      </c>
      <c r="D201" s="75" t="s">
        <v>240</v>
      </c>
      <c r="E201" s="28">
        <v>1.72</v>
      </c>
      <c r="H201" s="28" t="s">
        <v>241</v>
      </c>
      <c r="I201" s="75"/>
      <c r="J201" s="28"/>
    </row>
    <row r="202" spans="1:10">
      <c r="A202" s="70" t="s">
        <v>109</v>
      </c>
      <c r="B202" s="70" t="s">
        <v>113</v>
      </c>
      <c r="C202" s="70">
        <v>1</v>
      </c>
      <c r="D202" s="70" t="s">
        <v>94</v>
      </c>
      <c r="E202" s="28">
        <v>0.19</v>
      </c>
      <c r="F202" s="28">
        <f>AVERAGE(E202:E206)</f>
        <v>0.78599999999999992</v>
      </c>
      <c r="I202" s="70"/>
      <c r="J202" s="28"/>
    </row>
    <row r="203" spans="1:10">
      <c r="A203" s="70"/>
      <c r="B203" s="70"/>
      <c r="C203" s="70">
        <v>1</v>
      </c>
      <c r="D203" s="70" t="s">
        <v>95</v>
      </c>
      <c r="E203" s="28">
        <v>1.5</v>
      </c>
      <c r="I203" s="70"/>
      <c r="J203" s="28"/>
    </row>
    <row r="204" spans="1:10">
      <c r="A204" s="70"/>
      <c r="B204" s="70"/>
      <c r="C204" s="70">
        <v>1</v>
      </c>
      <c r="D204" s="70" t="s">
        <v>96</v>
      </c>
      <c r="E204" s="28">
        <v>1.07</v>
      </c>
      <c r="I204" s="70"/>
      <c r="J204" s="28"/>
    </row>
    <row r="205" spans="1:10">
      <c r="A205" s="70"/>
      <c r="B205" s="70"/>
      <c r="C205" s="70">
        <v>1</v>
      </c>
      <c r="D205" s="70" t="s">
        <v>39</v>
      </c>
      <c r="E205" s="28">
        <v>0.63</v>
      </c>
      <c r="I205" s="70"/>
      <c r="J205" s="28"/>
    </row>
    <row r="206" spans="1:10">
      <c r="A206" s="70"/>
      <c r="B206" s="70"/>
      <c r="C206" s="70">
        <v>1</v>
      </c>
      <c r="D206" s="70" t="s">
        <v>97</v>
      </c>
      <c r="E206" s="28">
        <v>0.54</v>
      </c>
      <c r="I206" s="70"/>
      <c r="J206" s="28"/>
    </row>
    <row r="207" spans="1:10">
      <c r="A207" s="70"/>
      <c r="B207" s="70"/>
      <c r="C207" s="70">
        <v>2</v>
      </c>
      <c r="D207" s="70" t="s">
        <v>94</v>
      </c>
      <c r="E207" s="28">
        <v>0.82</v>
      </c>
      <c r="F207" s="28">
        <f>AVERAGE(E207:E211)</f>
        <v>1.28</v>
      </c>
      <c r="I207" s="70"/>
      <c r="J207" s="28"/>
    </row>
    <row r="208" spans="1:10">
      <c r="A208" s="70"/>
      <c r="B208" s="70"/>
      <c r="C208" s="70">
        <v>2</v>
      </c>
      <c r="D208" s="70" t="s">
        <v>95</v>
      </c>
      <c r="E208" s="28">
        <v>0.66</v>
      </c>
      <c r="I208" s="70"/>
      <c r="J208" s="28"/>
    </row>
    <row r="209" spans="1:10">
      <c r="A209" s="70"/>
      <c r="B209" s="70"/>
      <c r="C209" s="70">
        <v>2</v>
      </c>
      <c r="D209" s="70" t="s">
        <v>96</v>
      </c>
      <c r="E209" s="28">
        <v>1.47</v>
      </c>
      <c r="I209" s="70"/>
      <c r="J209" s="28"/>
    </row>
    <row r="210" spans="1:10">
      <c r="A210" s="70"/>
      <c r="B210" s="70"/>
      <c r="C210" s="70">
        <v>2</v>
      </c>
      <c r="D210" s="70" t="s">
        <v>39</v>
      </c>
      <c r="E210" s="28">
        <v>2.66</v>
      </c>
      <c r="I210" s="70"/>
      <c r="J210" s="28"/>
    </row>
    <row r="211" spans="1:10">
      <c r="A211" s="70"/>
      <c r="B211" s="70"/>
      <c r="C211" s="70">
        <v>2</v>
      </c>
      <c r="D211" s="70" t="s">
        <v>97</v>
      </c>
      <c r="E211" s="28">
        <v>0.79</v>
      </c>
      <c r="I211" s="70"/>
      <c r="J211" s="28"/>
    </row>
    <row r="212" spans="1:10">
      <c r="A212" s="70"/>
      <c r="B212" s="70"/>
      <c r="C212" s="70">
        <v>3</v>
      </c>
      <c r="D212" s="70" t="s">
        <v>94</v>
      </c>
      <c r="E212" s="28">
        <v>0.86</v>
      </c>
      <c r="F212" s="28">
        <f>AVERAGE(E212:E216)</f>
        <v>1.3720000000000001</v>
      </c>
      <c r="I212" s="70"/>
      <c r="J212" s="28"/>
    </row>
    <row r="213" spans="1:10">
      <c r="A213" s="70"/>
      <c r="B213" s="70"/>
      <c r="C213" s="70">
        <v>3</v>
      </c>
      <c r="D213" s="70" t="s">
        <v>95</v>
      </c>
      <c r="E213" s="28">
        <v>1.2</v>
      </c>
      <c r="I213" s="70"/>
      <c r="J213" s="28"/>
    </row>
    <row r="214" spans="1:10">
      <c r="A214" s="70"/>
      <c r="B214" s="70"/>
      <c r="C214" s="70">
        <v>3</v>
      </c>
      <c r="D214" s="70" t="s">
        <v>96</v>
      </c>
      <c r="E214" s="28">
        <v>2.94</v>
      </c>
      <c r="I214" s="70"/>
      <c r="J214" s="28"/>
    </row>
    <row r="215" spans="1:10">
      <c r="A215" s="70"/>
      <c r="B215" s="70"/>
      <c r="C215" s="70">
        <v>3</v>
      </c>
      <c r="D215" s="70" t="s">
        <v>39</v>
      </c>
      <c r="E215" s="28">
        <v>1.03</v>
      </c>
      <c r="I215" s="70"/>
      <c r="J215" s="28"/>
    </row>
    <row r="216" spans="1:10">
      <c r="A216" s="70"/>
      <c r="B216" s="70"/>
      <c r="C216" s="70">
        <v>3</v>
      </c>
      <c r="D216" s="70" t="s">
        <v>97</v>
      </c>
      <c r="E216" s="28">
        <v>0.83</v>
      </c>
      <c r="I216" s="70"/>
      <c r="J216" s="28"/>
    </row>
    <row r="217" spans="1:10">
      <c r="A217" s="70"/>
      <c r="B217" s="70"/>
      <c r="C217" s="70">
        <v>4</v>
      </c>
      <c r="D217" s="70" t="s">
        <v>94</v>
      </c>
      <c r="E217" s="28">
        <v>0.67</v>
      </c>
      <c r="F217" s="28">
        <f>AVERAGE(E217:E221)</f>
        <v>0.75600000000000001</v>
      </c>
      <c r="I217" s="70"/>
      <c r="J217" s="28"/>
    </row>
    <row r="218" spans="1:10">
      <c r="A218" s="70"/>
      <c r="B218" s="70"/>
      <c r="C218" s="70">
        <v>4</v>
      </c>
      <c r="D218" s="70" t="s">
        <v>95</v>
      </c>
      <c r="E218" s="28">
        <v>0.84</v>
      </c>
      <c r="I218" s="70"/>
      <c r="J218" s="28"/>
    </row>
    <row r="219" spans="1:10">
      <c r="A219" s="70"/>
      <c r="B219" s="70"/>
      <c r="C219" s="70">
        <v>4</v>
      </c>
      <c r="D219" s="70" t="s">
        <v>96</v>
      </c>
      <c r="E219" s="28">
        <v>0.52</v>
      </c>
      <c r="I219" s="70"/>
      <c r="J219" s="28"/>
    </row>
    <row r="220" spans="1:10">
      <c r="A220" s="70"/>
      <c r="B220" s="70"/>
      <c r="C220" s="70">
        <v>4</v>
      </c>
      <c r="D220" s="70" t="s">
        <v>39</v>
      </c>
      <c r="E220" s="28">
        <v>1.1000000000000001</v>
      </c>
      <c r="I220" s="70"/>
      <c r="J220" s="28"/>
    </row>
    <row r="221" spans="1:10">
      <c r="A221" s="70"/>
      <c r="B221" s="70"/>
      <c r="C221" s="70">
        <v>4</v>
      </c>
      <c r="D221" s="70" t="s">
        <v>97</v>
      </c>
      <c r="E221" s="28">
        <v>0.65</v>
      </c>
      <c r="I221" s="70"/>
      <c r="J221" s="28"/>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1011"/>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7.28515625" defaultRowHeight="15" customHeight="1"/>
  <cols>
    <col min="1" max="1" width="11.42578125" customWidth="1"/>
    <col min="2" max="2" width="9.5703125" customWidth="1"/>
    <col min="3" max="3" width="8" customWidth="1"/>
    <col min="4" max="4" width="9.42578125" customWidth="1"/>
    <col min="5" max="5" width="16.5703125" customWidth="1"/>
    <col min="6" max="6" width="9.42578125" customWidth="1"/>
    <col min="7" max="7" width="15.140625" customWidth="1"/>
    <col min="8" max="8" width="6" customWidth="1"/>
    <col min="9" max="9" width="14.85546875" customWidth="1"/>
    <col min="14" max="14" width="6.28515625" customWidth="1"/>
    <col min="15" max="15" width="18.140625" customWidth="1"/>
    <col min="16" max="16" width="14.85546875" customWidth="1"/>
    <col min="17" max="17" width="6.28515625" customWidth="1"/>
    <col min="18" max="18" width="14" customWidth="1"/>
    <col min="19" max="19" width="13.28515625" customWidth="1"/>
    <col min="20" max="20" width="6" customWidth="1"/>
    <col min="21" max="21" width="13.7109375" customWidth="1"/>
    <col min="23" max="23" width="6.7109375" customWidth="1"/>
    <col min="24" max="24" width="18.28515625" customWidth="1"/>
    <col min="26" max="26" width="5.42578125" customWidth="1"/>
    <col min="29" max="29" width="5.7109375" customWidth="1"/>
    <col min="30" max="30" width="18" customWidth="1"/>
    <col min="32" max="32" width="6.85546875" customWidth="1"/>
    <col min="33" max="33" width="18.7109375" customWidth="1"/>
    <col min="35" max="35" width="5.5703125" customWidth="1"/>
    <col min="38" max="38" width="5.140625" customWidth="1"/>
    <col min="40" max="40" width="14.85546875" customWidth="1"/>
    <col min="41" max="41" width="5.85546875" customWidth="1"/>
    <col min="42" max="42" width="18.7109375" customWidth="1"/>
    <col min="43" max="43" width="19.42578125" customWidth="1"/>
    <col min="44" max="44" width="6.140625" customWidth="1"/>
    <col min="45" max="45" width="21.28515625" customWidth="1"/>
    <col min="47" max="47" width="5.5703125" customWidth="1"/>
    <col min="48" max="48" width="18.28515625" customWidth="1"/>
  </cols>
  <sheetData>
    <row r="1" spans="1:61">
      <c r="A1" s="3"/>
      <c r="B1" s="3"/>
      <c r="C1" s="3"/>
      <c r="D1" s="3"/>
      <c r="E1" s="3"/>
      <c r="F1" s="3"/>
      <c r="G1" s="125" t="s">
        <v>243</v>
      </c>
      <c r="H1" s="115"/>
      <c r="I1" s="115"/>
      <c r="J1" s="115"/>
      <c r="K1" s="115"/>
      <c r="L1" s="115"/>
      <c r="M1" s="115"/>
      <c r="N1" s="115"/>
      <c r="O1" s="115"/>
      <c r="P1" s="115"/>
      <c r="Q1" s="115"/>
      <c r="R1" s="115"/>
      <c r="S1" s="115"/>
      <c r="T1" s="115"/>
      <c r="U1" s="115"/>
      <c r="V1" s="115"/>
      <c r="W1" s="115"/>
      <c r="X1" s="115"/>
      <c r="Y1" s="125"/>
      <c r="Z1" s="115"/>
      <c r="AA1" s="115"/>
      <c r="AB1" s="115"/>
      <c r="AC1" s="115"/>
      <c r="AD1" s="115"/>
      <c r="AE1" s="115"/>
      <c r="AF1" s="115"/>
      <c r="AG1" s="115"/>
      <c r="AH1" s="115"/>
      <c r="AI1" s="115"/>
      <c r="AJ1" s="115"/>
      <c r="AK1" s="115"/>
      <c r="AL1" s="115"/>
      <c r="AM1" s="115"/>
      <c r="AN1" s="13"/>
      <c r="AO1" s="13"/>
      <c r="AP1" s="13"/>
      <c r="AQ1" s="13"/>
      <c r="AR1" s="13"/>
      <c r="AS1" s="13"/>
      <c r="AT1" s="13"/>
      <c r="AU1" s="13"/>
      <c r="AV1" s="13"/>
      <c r="AY1" s="1"/>
      <c r="AZ1" s="13"/>
      <c r="BB1" s="125" t="s">
        <v>244</v>
      </c>
      <c r="BC1" s="115"/>
      <c r="BD1" s="115"/>
      <c r="BE1" s="115"/>
      <c r="BF1" s="125" t="s">
        <v>245</v>
      </c>
      <c r="BG1" s="115"/>
      <c r="BH1" s="115"/>
      <c r="BI1" s="115"/>
    </row>
    <row r="2" spans="1:61">
      <c r="A2" s="72" t="s">
        <v>3</v>
      </c>
      <c r="B2" s="72" t="s">
        <v>5</v>
      </c>
      <c r="C2" s="72" t="s">
        <v>6</v>
      </c>
      <c r="D2" s="72" t="s">
        <v>7</v>
      </c>
      <c r="E2" s="73" t="s">
        <v>246</v>
      </c>
      <c r="F2" s="73" t="s">
        <v>247</v>
      </c>
      <c r="G2" s="73" t="s">
        <v>248</v>
      </c>
      <c r="H2" s="73" t="s">
        <v>249</v>
      </c>
      <c r="I2" s="73" t="s">
        <v>250</v>
      </c>
      <c r="J2" s="73" t="s">
        <v>251</v>
      </c>
      <c r="K2" s="73" t="s">
        <v>249</v>
      </c>
      <c r="L2" s="73" t="s">
        <v>252</v>
      </c>
      <c r="M2" s="73" t="s">
        <v>253</v>
      </c>
      <c r="N2" s="86" t="s">
        <v>249</v>
      </c>
      <c r="O2" s="74" t="s">
        <v>254</v>
      </c>
      <c r="P2" s="74" t="s">
        <v>255</v>
      </c>
      <c r="Q2" s="74" t="s">
        <v>249</v>
      </c>
      <c r="R2" s="74" t="s">
        <v>258</v>
      </c>
      <c r="S2" s="28" t="s">
        <v>259</v>
      </c>
      <c r="T2" s="28" t="s">
        <v>249</v>
      </c>
      <c r="U2" s="28" t="s">
        <v>260</v>
      </c>
      <c r="V2" s="73" t="s">
        <v>261</v>
      </c>
      <c r="W2" s="73" t="s">
        <v>249</v>
      </c>
      <c r="X2" s="73" t="s">
        <v>262</v>
      </c>
      <c r="Y2" s="73" t="s">
        <v>263</v>
      </c>
      <c r="Z2" s="73" t="s">
        <v>249</v>
      </c>
      <c r="AA2" s="73" t="s">
        <v>264</v>
      </c>
      <c r="AB2" s="73" t="s">
        <v>265</v>
      </c>
      <c r="AC2" s="73" t="s">
        <v>249</v>
      </c>
      <c r="AD2" s="73" t="s">
        <v>266</v>
      </c>
      <c r="AE2" s="75" t="s">
        <v>267</v>
      </c>
      <c r="AF2" s="75" t="s">
        <v>249</v>
      </c>
      <c r="AG2" s="75" t="s">
        <v>268</v>
      </c>
      <c r="AH2" s="75" t="s">
        <v>269</v>
      </c>
      <c r="AI2" s="75" t="s">
        <v>249</v>
      </c>
      <c r="AJ2" s="75" t="s">
        <v>270</v>
      </c>
      <c r="AK2" s="75" t="s">
        <v>271</v>
      </c>
      <c r="AL2" s="75" t="s">
        <v>249</v>
      </c>
      <c r="AM2" s="75" t="s">
        <v>273</v>
      </c>
      <c r="AN2" s="75" t="s">
        <v>274</v>
      </c>
      <c r="AO2" s="75" t="s">
        <v>249</v>
      </c>
      <c r="AP2" s="75" t="s">
        <v>275</v>
      </c>
      <c r="AQ2" s="75" t="s">
        <v>276</v>
      </c>
      <c r="AR2" s="75" t="s">
        <v>247</v>
      </c>
      <c r="AS2" s="75" t="s">
        <v>277</v>
      </c>
      <c r="AT2" s="75" t="s">
        <v>278</v>
      </c>
      <c r="AU2" s="75" t="s">
        <v>249</v>
      </c>
      <c r="AV2" s="75" t="s">
        <v>279</v>
      </c>
      <c r="AW2" t="e">
        <f t="shared" ref="AW2:AW81" si="0">SUM(AS2+AP2+AM2+AJ2+AG2+AD2+AA2+X2+U2+R2+I2+O2)</f>
        <v>#VALUE!</v>
      </c>
      <c r="AX2" s="28" t="s">
        <v>283</v>
      </c>
      <c r="AY2" s="70" t="s">
        <v>27</v>
      </c>
      <c r="AZ2" s="75" t="s">
        <v>189</v>
      </c>
      <c r="BC2" s="1" t="s">
        <v>36</v>
      </c>
      <c r="BD2" s="1" t="s">
        <v>27</v>
      </c>
      <c r="BG2" s="1" t="s">
        <v>36</v>
      </c>
      <c r="BH2" s="1" t="s">
        <v>27</v>
      </c>
    </row>
    <row r="3" spans="1:61">
      <c r="A3" s="70" t="s">
        <v>37</v>
      </c>
      <c r="B3" s="70" t="s">
        <v>39</v>
      </c>
      <c r="C3" s="70">
        <v>1</v>
      </c>
      <c r="D3" s="70" t="s">
        <v>94</v>
      </c>
      <c r="E3" s="13">
        <v>95.81</v>
      </c>
      <c r="F3" s="13" t="s">
        <v>284</v>
      </c>
      <c r="G3" s="28"/>
      <c r="H3" s="28"/>
      <c r="I3" t="e">
        <f>G3-VLOOKUP(H3,'Bag weights'!A$2:B$6,2,FALSE)</f>
        <v>#N/A</v>
      </c>
      <c r="L3" t="e">
        <f>J3-VLOOKUP(K3,'Bag weights'!D$2:E$6,2,FALSE)</f>
        <v>#N/A</v>
      </c>
      <c r="N3" s="87"/>
      <c r="O3" t="e">
        <f>M3-VLOOKUP(N3,'Bag weights'!A$2:B$6,2,FALSE)</f>
        <v>#N/A</v>
      </c>
      <c r="Q3" s="28"/>
      <c r="R3" t="e">
        <f>P3-VLOOKUP(Q3,'Bag weights'!A$2:B$6,2,FALSE)</f>
        <v>#N/A</v>
      </c>
      <c r="S3" s="28"/>
      <c r="T3" s="28"/>
      <c r="U3" t="e">
        <f>S3- VLOOKUP(T3,'Bag weights'!A$2:B$6,2,FALSE)</f>
        <v>#N/A</v>
      </c>
      <c r="X3" t="e">
        <f>V3-VLOOKUP(W3,'Bag weights'!A$2:B$6,2,FALSE)</f>
        <v>#N/A</v>
      </c>
      <c r="AA3" t="e">
        <f>Y3-VLOOKUP(Z3,'Bag weights'!A$2:B$6,2,FALSE)</f>
        <v>#N/A</v>
      </c>
      <c r="AD3" t="e">
        <f>AB3-VLOOKUP(AC3,'Bag weights'!A$2:B$6,2,FALSE)</f>
        <v>#N/A</v>
      </c>
      <c r="AG3" t="e">
        <f>AE3-VLOOKUP(AF3,'Bag weights'!A$2:B$6,2,FALSE)</f>
        <v>#N/A</v>
      </c>
      <c r="AJ3" t="e">
        <f>AH3-VLOOKUP(AI3,'Bag weights'!A$2:B$6,2,FALSE)</f>
        <v>#N/A</v>
      </c>
      <c r="AM3" t="e">
        <f>AK3-VLOOKUP(AL3,'Bag weights'!A$2:B$6,2,FALSE)</f>
        <v>#N/A</v>
      </c>
      <c r="AP3" t="e">
        <f>AN3-VLOOKUP(AO3,'Bag weights'!A$2:B$6,2,FALSE)</f>
        <v>#N/A</v>
      </c>
      <c r="AS3" t="e">
        <f>AQ3-VLOOKUP(AR3,'Bag weights'!A$2:B$6,2,FALSE)</f>
        <v>#N/A</v>
      </c>
      <c r="AT3" s="28">
        <v>95.81</v>
      </c>
      <c r="AU3" s="28" t="s">
        <v>284</v>
      </c>
      <c r="AV3">
        <f>AT3-VLOOKUP(AU3,'Bag weights'!A$2:B$6,2,FALSE)</f>
        <v>74.86</v>
      </c>
      <c r="AW3" t="e">
        <f t="shared" si="0"/>
        <v>#N/A</v>
      </c>
      <c r="BC3" s="92">
        <v>4.5999999999999996</v>
      </c>
      <c r="BG3" s="28">
        <v>4.91</v>
      </c>
    </row>
    <row r="4" spans="1:61">
      <c r="A4" s="75" t="s">
        <v>291</v>
      </c>
      <c r="B4" s="70"/>
      <c r="C4" s="70">
        <v>1</v>
      </c>
      <c r="D4" s="70" t="s">
        <v>95</v>
      </c>
      <c r="E4" s="13">
        <v>86.57</v>
      </c>
      <c r="F4" s="13" t="s">
        <v>292</v>
      </c>
      <c r="H4" s="28"/>
      <c r="I4" t="e">
        <f>G4-VLOOKUP(H4,'Bag weights'!A$2:B$6,2,FALSE)</f>
        <v>#N/A</v>
      </c>
      <c r="L4" t="e">
        <f>J4-VLOOKUP(K4,'Bag weights'!D$2:E$6,2,FALSE)</f>
        <v>#N/A</v>
      </c>
      <c r="N4" s="95"/>
      <c r="O4" t="e">
        <f>M4-VLOOKUP(N4,'Bag weights'!A$2:B$6,2,FALSE)</f>
        <v>#N/A</v>
      </c>
      <c r="R4" t="e">
        <f>P4-VLOOKUP(Q4,'Bag weights'!A$2:B$6,2,FALSE)</f>
        <v>#N/A</v>
      </c>
      <c r="U4" t="e">
        <f>S4- VLOOKUP(T4,'Bag weights'!A$2:B$6,2,FALSE)</f>
        <v>#N/A</v>
      </c>
      <c r="X4" t="e">
        <f>V4-VLOOKUP(W4,'Bag weights'!A$2:B$6,2,FALSE)</f>
        <v>#N/A</v>
      </c>
      <c r="AA4" t="e">
        <f>Y4-VLOOKUP(Z4,'Bag weights'!A$2:B$6,2,FALSE)</f>
        <v>#N/A</v>
      </c>
      <c r="AD4" t="e">
        <f>AB4-VLOOKUP(AC4,'Bag weights'!A$2:B$6,2,FALSE)</f>
        <v>#N/A</v>
      </c>
      <c r="AG4" t="e">
        <f>AE4-VLOOKUP(AF4,'Bag weights'!A$2:B$6,2,FALSE)</f>
        <v>#N/A</v>
      </c>
      <c r="AJ4" t="e">
        <f>AH4-VLOOKUP(AI4,'Bag weights'!A$2:B$6,2,FALSE)</f>
        <v>#N/A</v>
      </c>
      <c r="AM4" t="e">
        <f>AK4-VLOOKUP(AL4,'Bag weights'!A$2:B$6,2,FALSE)</f>
        <v>#N/A</v>
      </c>
      <c r="AP4" t="e">
        <f>AN4-VLOOKUP(AO4,'Bag weights'!A$2:B$6,2,FALSE)</f>
        <v>#N/A</v>
      </c>
      <c r="AS4" t="e">
        <f>AQ4-VLOOKUP(AR4,'Bag weights'!A$2:B$6,2,FALSE)</f>
        <v>#N/A</v>
      </c>
      <c r="AT4" s="28">
        <v>86.54</v>
      </c>
      <c r="AU4" s="28" t="s">
        <v>292</v>
      </c>
      <c r="AV4" t="e">
        <f>AT4-VLOOKUP(AU4,'Bag weights'!A$2:B$6,2,FALSE)</f>
        <v>#N/A</v>
      </c>
      <c r="AW4" t="e">
        <f t="shared" si="0"/>
        <v>#N/A</v>
      </c>
      <c r="BC4" s="92">
        <v>6.2</v>
      </c>
      <c r="BG4" s="28">
        <v>6.39</v>
      </c>
    </row>
    <row r="5" spans="1:61">
      <c r="A5" s="70"/>
      <c r="B5" s="70"/>
      <c r="C5" s="70">
        <v>1</v>
      </c>
      <c r="D5" s="70" t="s">
        <v>96</v>
      </c>
      <c r="E5" s="13">
        <v>97.71</v>
      </c>
      <c r="F5" s="13" t="s">
        <v>284</v>
      </c>
      <c r="H5" s="28"/>
      <c r="I5" t="e">
        <f>G5-VLOOKUP(H5,'Bag weights'!A$2:B$6,2,FALSE)</f>
        <v>#N/A</v>
      </c>
      <c r="L5" t="e">
        <f>J5-VLOOKUP(K5,'Bag weights'!D$2:E$6,2,FALSE)</f>
        <v>#N/A</v>
      </c>
      <c r="N5" s="95"/>
      <c r="O5" t="e">
        <f>M5-VLOOKUP(N5,'Bag weights'!A$2:B$6,2,FALSE)</f>
        <v>#N/A</v>
      </c>
      <c r="R5" t="e">
        <f>P5-VLOOKUP(Q5,'Bag weights'!A$2:B$6,2,FALSE)</f>
        <v>#N/A</v>
      </c>
      <c r="U5" t="e">
        <f>S5- VLOOKUP(T5,'Bag weights'!A$2:B$6,2,FALSE)</f>
        <v>#N/A</v>
      </c>
      <c r="X5" t="e">
        <f>V5-VLOOKUP(W5,'Bag weights'!A$2:B$6,2,FALSE)</f>
        <v>#N/A</v>
      </c>
      <c r="AA5" t="e">
        <f>Y5-VLOOKUP(Z5,'Bag weights'!A$2:B$6,2,FALSE)</f>
        <v>#N/A</v>
      </c>
      <c r="AD5" t="e">
        <f>AB5-VLOOKUP(AC5,'Bag weights'!A$2:B$6,2,FALSE)</f>
        <v>#N/A</v>
      </c>
      <c r="AG5" t="e">
        <f>AE5-VLOOKUP(AF5,'Bag weights'!A$2:B$6,2,FALSE)</f>
        <v>#N/A</v>
      </c>
      <c r="AJ5" t="e">
        <f>AH5-VLOOKUP(AI5,'Bag weights'!A$2:B$6,2,FALSE)</f>
        <v>#N/A</v>
      </c>
      <c r="AM5" t="e">
        <f>AK5-VLOOKUP(AL5,'Bag weights'!A$2:B$6,2,FALSE)</f>
        <v>#N/A</v>
      </c>
      <c r="AP5" t="e">
        <f>AN5-VLOOKUP(AO5,'Bag weights'!A$2:B$6,2,FALSE)</f>
        <v>#N/A</v>
      </c>
      <c r="AS5" t="e">
        <f>AQ5-VLOOKUP(AR5,'Bag weights'!A$2:B$6,2,FALSE)</f>
        <v>#N/A</v>
      </c>
      <c r="AT5" s="28">
        <v>97.71</v>
      </c>
      <c r="AU5" s="28" t="s">
        <v>284</v>
      </c>
      <c r="AV5">
        <f>AT5-VLOOKUP(AU5,'Bag weights'!A$2:B$6,2,FALSE)</f>
        <v>76.759999999999991</v>
      </c>
      <c r="AW5" t="e">
        <f t="shared" si="0"/>
        <v>#N/A</v>
      </c>
      <c r="BC5" s="92">
        <v>16.600000000000001</v>
      </c>
      <c r="BG5" s="28">
        <v>7.86</v>
      </c>
    </row>
    <row r="6" spans="1:61">
      <c r="A6" s="70"/>
      <c r="B6" s="70"/>
      <c r="C6" s="70">
        <v>1</v>
      </c>
      <c r="D6" s="70" t="s">
        <v>39</v>
      </c>
      <c r="E6" s="1"/>
      <c r="F6" s="1"/>
      <c r="H6" s="28"/>
      <c r="I6" t="e">
        <f>G6-VLOOKUP(H6,'Bag weights'!A$2:B$6,2,FALSE)</f>
        <v>#N/A</v>
      </c>
      <c r="L6" t="e">
        <f>J6-VLOOKUP(K6,'Bag weights'!D$2:E$6,2,FALSE)</f>
        <v>#N/A</v>
      </c>
      <c r="N6" s="95"/>
      <c r="O6" t="e">
        <f>M6-VLOOKUP(N6,'Bag weights'!A$2:B$6,2,FALSE)</f>
        <v>#N/A</v>
      </c>
      <c r="R6" t="e">
        <f>P6-VLOOKUP(Q6,'Bag weights'!A$2:B$6,2,FALSE)</f>
        <v>#N/A</v>
      </c>
      <c r="S6" s="28"/>
      <c r="T6" s="28"/>
      <c r="U6" t="e">
        <f>S6- VLOOKUP(T6,'Bag weights'!A$2:B$6,2,FALSE)</f>
        <v>#N/A</v>
      </c>
      <c r="X6" t="e">
        <f>V6-VLOOKUP(W6,'Bag weights'!A$2:B$6,2,FALSE)</f>
        <v>#N/A</v>
      </c>
      <c r="AA6" t="e">
        <f>Y6-VLOOKUP(Z6,'Bag weights'!A$2:B$6,2,FALSE)</f>
        <v>#N/A</v>
      </c>
      <c r="AD6" t="e">
        <f>AB6-VLOOKUP(AC6,'Bag weights'!A$2:B$6,2,FALSE)</f>
        <v>#N/A</v>
      </c>
      <c r="AG6" t="e">
        <f>AE6-VLOOKUP(AF6,'Bag weights'!A$2:B$6,2,FALSE)</f>
        <v>#N/A</v>
      </c>
      <c r="AJ6" t="e">
        <f>AH6-VLOOKUP(AI6,'Bag weights'!A$2:B$6,2,FALSE)</f>
        <v>#N/A</v>
      </c>
      <c r="AM6" t="e">
        <f>AK6-VLOOKUP(AL6,'Bag weights'!A$2:B$6,2,FALSE)</f>
        <v>#N/A</v>
      </c>
      <c r="AP6" t="e">
        <f>AN6-VLOOKUP(AO6,'Bag weights'!A$2:B$6,2,FALSE)</f>
        <v>#N/A</v>
      </c>
      <c r="AS6" t="e">
        <f>AQ6-VLOOKUP(AR6,'Bag weights'!A$2:B$6,2,FALSE)</f>
        <v>#N/A</v>
      </c>
      <c r="AV6" t="e">
        <f>AT6-VLOOKUP(AU6,'Bag weights'!A$2:B$6,2,FALSE)</f>
        <v>#N/A</v>
      </c>
      <c r="AW6" t="e">
        <f t="shared" si="0"/>
        <v>#N/A</v>
      </c>
      <c r="BC6" s="92">
        <v>14.6</v>
      </c>
      <c r="BG6" s="28">
        <v>7.01</v>
      </c>
    </row>
    <row r="7" spans="1:61">
      <c r="A7" s="70"/>
      <c r="B7" s="70"/>
      <c r="C7" s="70">
        <v>1</v>
      </c>
      <c r="D7" s="70" t="s">
        <v>97</v>
      </c>
      <c r="E7" s="13">
        <v>113.53</v>
      </c>
      <c r="F7" s="13" t="s">
        <v>284</v>
      </c>
      <c r="H7" s="28"/>
      <c r="I7" t="e">
        <f>G7-VLOOKUP(H7,'Bag weights'!A$2:B$6,2,FALSE)</f>
        <v>#N/A</v>
      </c>
      <c r="L7" t="e">
        <f>J7-VLOOKUP(K7,'Bag weights'!D$2:E$6,2,FALSE)</f>
        <v>#N/A</v>
      </c>
      <c r="N7" s="95"/>
      <c r="O7" t="e">
        <f>M7-VLOOKUP(N7,'Bag weights'!A$2:B$6,2,FALSE)</f>
        <v>#N/A</v>
      </c>
      <c r="R7" t="e">
        <f>P7-VLOOKUP(Q7,'Bag weights'!A$2:B$6,2,FALSE)</f>
        <v>#N/A</v>
      </c>
      <c r="U7" t="e">
        <f>S7- VLOOKUP(T7,'Bag weights'!A$2:B$6,2,FALSE)</f>
        <v>#N/A</v>
      </c>
      <c r="X7" t="e">
        <f>V7-VLOOKUP(W7,'Bag weights'!A$2:B$6,2,FALSE)</f>
        <v>#N/A</v>
      </c>
      <c r="AA7" t="e">
        <f>Y7-VLOOKUP(Z7,'Bag weights'!A$2:B$6,2,FALSE)</f>
        <v>#N/A</v>
      </c>
      <c r="AD7" t="e">
        <f>AB7-VLOOKUP(AC7,'Bag weights'!A$2:B$6,2,FALSE)</f>
        <v>#N/A</v>
      </c>
      <c r="AG7" t="e">
        <f>AE7-VLOOKUP(AF7,'Bag weights'!A$2:B$6,2,FALSE)</f>
        <v>#N/A</v>
      </c>
      <c r="AJ7" t="e">
        <f>AH7-VLOOKUP(AI7,'Bag weights'!A$2:B$6,2,FALSE)</f>
        <v>#N/A</v>
      </c>
      <c r="AM7" t="e">
        <f>AK7-VLOOKUP(AL7,'Bag weights'!A$2:B$6,2,FALSE)</f>
        <v>#N/A</v>
      </c>
      <c r="AP7" t="e">
        <f>AN7-VLOOKUP(AO7,'Bag weights'!A$2:B$6,2,FALSE)</f>
        <v>#N/A</v>
      </c>
      <c r="AS7" t="e">
        <f>AQ7-VLOOKUP(AR7,'Bag weights'!A$2:B$6,2,FALSE)</f>
        <v>#N/A</v>
      </c>
      <c r="AT7" s="28">
        <v>113.53</v>
      </c>
      <c r="AU7" s="28" t="s">
        <v>284</v>
      </c>
      <c r="AV7">
        <f>AT7-VLOOKUP(AU7,'Bag weights'!A$2:B$6,2,FALSE)</f>
        <v>92.58</v>
      </c>
      <c r="AW7" t="e">
        <f t="shared" si="0"/>
        <v>#N/A</v>
      </c>
      <c r="BC7" s="92">
        <v>6.4</v>
      </c>
      <c r="BG7" s="28">
        <v>4.8899999999999997</v>
      </c>
    </row>
    <row r="8" spans="1:61">
      <c r="A8" s="70"/>
      <c r="B8" s="70"/>
      <c r="C8" s="70">
        <v>2</v>
      </c>
      <c r="D8" s="70" t="s">
        <v>94</v>
      </c>
      <c r="E8" s="13">
        <v>91.4</v>
      </c>
      <c r="F8" s="13" t="s">
        <v>292</v>
      </c>
      <c r="I8" t="e">
        <f>G8-VLOOKUP(H8,'Bag weights'!A$2:B$6,2,FALSE)</f>
        <v>#N/A</v>
      </c>
      <c r="L8" t="e">
        <f>J8-VLOOKUP(K8,'Bag weights'!D$2:E$6,2,FALSE)</f>
        <v>#N/A</v>
      </c>
      <c r="N8" s="95"/>
      <c r="O8" t="e">
        <f>M8-VLOOKUP(N8,'Bag weights'!A$2:B$6,2,FALSE)</f>
        <v>#N/A</v>
      </c>
      <c r="R8" t="e">
        <f>P8-VLOOKUP(Q8,'Bag weights'!A$2:B$6,2,FALSE)</f>
        <v>#N/A</v>
      </c>
      <c r="U8" t="e">
        <f>S8- VLOOKUP(T8,'Bag weights'!A$2:B$6,2,FALSE)</f>
        <v>#N/A</v>
      </c>
      <c r="X8" t="e">
        <f>V8-VLOOKUP(W8,'Bag weights'!A$2:B$6,2,FALSE)</f>
        <v>#N/A</v>
      </c>
      <c r="AA8" t="e">
        <f>Y8-VLOOKUP(Z8,'Bag weights'!A$2:B$6,2,FALSE)</f>
        <v>#N/A</v>
      </c>
      <c r="AD8" t="e">
        <f>AB8-VLOOKUP(AC8,'Bag weights'!A$2:B$6,2,FALSE)</f>
        <v>#N/A</v>
      </c>
      <c r="AG8" t="e">
        <f>AE8-VLOOKUP(AF8,'Bag weights'!A$2:B$6,2,FALSE)</f>
        <v>#N/A</v>
      </c>
      <c r="AJ8" t="e">
        <f>AH8-VLOOKUP(AI8,'Bag weights'!A$2:B$6,2,FALSE)</f>
        <v>#N/A</v>
      </c>
      <c r="AM8" t="e">
        <f>AK8-VLOOKUP(AL8,'Bag weights'!A$2:B$6,2,FALSE)</f>
        <v>#N/A</v>
      </c>
      <c r="AP8" t="e">
        <f>AN8-VLOOKUP(AO8,'Bag weights'!A$2:B$6,2,FALSE)</f>
        <v>#N/A</v>
      </c>
      <c r="AS8" t="e">
        <f>AQ8-VLOOKUP(AR8,'Bag weights'!A$2:B$6,2,FALSE)</f>
        <v>#N/A</v>
      </c>
      <c r="AT8" s="28">
        <v>91.4</v>
      </c>
      <c r="AU8" s="28" t="s">
        <v>292</v>
      </c>
      <c r="AV8" t="e">
        <f>AT8-VLOOKUP(AU8,'Bag weights'!A$2:B$6,2,FALSE)</f>
        <v>#N/A</v>
      </c>
      <c r="AW8" t="e">
        <f t="shared" si="0"/>
        <v>#N/A</v>
      </c>
      <c r="BC8" s="92">
        <v>4.8</v>
      </c>
      <c r="BG8" s="28">
        <v>5.2</v>
      </c>
    </row>
    <row r="9" spans="1:61">
      <c r="A9" s="70"/>
      <c r="B9" s="70"/>
      <c r="C9" s="70">
        <v>2</v>
      </c>
      <c r="D9" s="70" t="s">
        <v>95</v>
      </c>
      <c r="E9" s="13">
        <v>100.64</v>
      </c>
      <c r="F9" s="13" t="s">
        <v>292</v>
      </c>
      <c r="I9" t="e">
        <f>G9-VLOOKUP(H9,'Bag weights'!A$2:B$6,2,FALSE)</f>
        <v>#N/A</v>
      </c>
      <c r="L9" t="e">
        <f>J9-VLOOKUP(K9,'Bag weights'!D$2:E$6,2,FALSE)</f>
        <v>#N/A</v>
      </c>
      <c r="N9" s="87"/>
      <c r="O9" t="e">
        <f>M9-VLOOKUP(N9,'Bag weights'!A$2:B$6,2,FALSE)</f>
        <v>#N/A</v>
      </c>
      <c r="R9" t="e">
        <f>P9-VLOOKUP(Q9,'Bag weights'!A$2:B$6,2,FALSE)</f>
        <v>#N/A</v>
      </c>
      <c r="U9" t="e">
        <f>S9- VLOOKUP(T9,'Bag weights'!A$2:B$6,2,FALSE)</f>
        <v>#N/A</v>
      </c>
      <c r="X9" t="e">
        <f>V9-VLOOKUP(W9,'Bag weights'!A$2:B$6,2,FALSE)</f>
        <v>#N/A</v>
      </c>
      <c r="AA9" t="e">
        <f>Y9-VLOOKUP(Z9,'Bag weights'!A$2:B$6,2,FALSE)</f>
        <v>#N/A</v>
      </c>
      <c r="AD9" t="e">
        <f>AB9-VLOOKUP(AC9,'Bag weights'!A$2:B$6,2,FALSE)</f>
        <v>#N/A</v>
      </c>
      <c r="AG9" t="e">
        <f>AE9-VLOOKUP(AF9,'Bag weights'!A$2:B$6,2,FALSE)</f>
        <v>#N/A</v>
      </c>
      <c r="AJ9" t="e">
        <f>AH9-VLOOKUP(AI9,'Bag weights'!A$2:B$6,2,FALSE)</f>
        <v>#N/A</v>
      </c>
      <c r="AM9" t="e">
        <f>AK9-VLOOKUP(AL9,'Bag weights'!A$2:B$6,2,FALSE)</f>
        <v>#N/A</v>
      </c>
      <c r="AP9" t="e">
        <f>AN9-VLOOKUP(AO9,'Bag weights'!A$2:B$6,2,FALSE)</f>
        <v>#N/A</v>
      </c>
      <c r="AS9" t="e">
        <f>AQ9-VLOOKUP(AR9,'Bag weights'!A$2:B$6,2,FALSE)</f>
        <v>#N/A</v>
      </c>
      <c r="AT9" s="28">
        <v>100.64</v>
      </c>
      <c r="AU9" s="28" t="s">
        <v>292</v>
      </c>
      <c r="AV9" t="e">
        <f>AT9-VLOOKUP(AU9,'Bag weights'!A$2:B$6,2,FALSE)</f>
        <v>#N/A</v>
      </c>
      <c r="AW9" t="e">
        <f t="shared" si="0"/>
        <v>#N/A</v>
      </c>
      <c r="BC9" s="92">
        <v>4.5999999999999996</v>
      </c>
      <c r="BG9" s="28">
        <v>5.93</v>
      </c>
    </row>
    <row r="10" spans="1:61">
      <c r="A10" s="70"/>
      <c r="B10" s="70"/>
      <c r="C10" s="70">
        <v>2</v>
      </c>
      <c r="D10" s="70" t="s">
        <v>96</v>
      </c>
      <c r="E10" s="13">
        <v>95.98</v>
      </c>
      <c r="F10" s="13" t="s">
        <v>292</v>
      </c>
      <c r="I10" t="e">
        <f>G10-VLOOKUP(H10,'Bag weights'!A$2:B$6,2,FALSE)</f>
        <v>#N/A</v>
      </c>
      <c r="L10" t="e">
        <f>J10-VLOOKUP(K10,'Bag weights'!D$2:E$6,2,FALSE)</f>
        <v>#N/A</v>
      </c>
      <c r="N10" s="95"/>
      <c r="O10" t="e">
        <f>M10-VLOOKUP(N10,'Bag weights'!A$2:B$6,2,FALSE)</f>
        <v>#N/A</v>
      </c>
      <c r="R10" t="e">
        <f>P10-VLOOKUP(Q10,'Bag weights'!A$2:B$6,2,FALSE)</f>
        <v>#N/A</v>
      </c>
      <c r="U10" t="e">
        <f>S10- VLOOKUP(T10,'Bag weights'!A$2:B$6,2,FALSE)</f>
        <v>#N/A</v>
      </c>
      <c r="X10" t="e">
        <f>V10-VLOOKUP(W10,'Bag weights'!A$2:B$6,2,FALSE)</f>
        <v>#N/A</v>
      </c>
      <c r="AA10" t="e">
        <f>Y10-VLOOKUP(Z10,'Bag weights'!A$2:B$6,2,FALSE)</f>
        <v>#N/A</v>
      </c>
      <c r="AD10" t="e">
        <f>AB10-VLOOKUP(AC10,'Bag weights'!A$2:B$6,2,FALSE)</f>
        <v>#N/A</v>
      </c>
      <c r="AG10" t="e">
        <f>AE10-VLOOKUP(AF10,'Bag weights'!A$2:B$6,2,FALSE)</f>
        <v>#N/A</v>
      </c>
      <c r="AJ10" t="e">
        <f>AH10-VLOOKUP(AI10,'Bag weights'!A$2:B$6,2,FALSE)</f>
        <v>#N/A</v>
      </c>
      <c r="AM10" t="e">
        <f>AK10-VLOOKUP(AL10,'Bag weights'!A$2:B$6,2,FALSE)</f>
        <v>#N/A</v>
      </c>
      <c r="AP10" t="e">
        <f>AN10-VLOOKUP(AO10,'Bag weights'!A$2:B$6,2,FALSE)</f>
        <v>#N/A</v>
      </c>
      <c r="AS10" t="e">
        <f>AQ10-VLOOKUP(AR10,'Bag weights'!A$2:B$6,2,FALSE)</f>
        <v>#N/A</v>
      </c>
      <c r="AT10" s="28">
        <v>95.98</v>
      </c>
      <c r="AU10" s="28" t="s">
        <v>292</v>
      </c>
      <c r="AV10" t="e">
        <f>AT10-VLOOKUP(AU10,'Bag weights'!A$2:B$6,2,FALSE)</f>
        <v>#N/A</v>
      </c>
      <c r="AW10" t="e">
        <f t="shared" si="0"/>
        <v>#N/A</v>
      </c>
      <c r="BC10" s="92">
        <v>12.6</v>
      </c>
      <c r="BG10" s="28">
        <v>3.76</v>
      </c>
    </row>
    <row r="11" spans="1:61">
      <c r="A11" s="70"/>
      <c r="B11" s="70"/>
      <c r="C11" s="70">
        <v>2</v>
      </c>
      <c r="D11" s="70" t="s">
        <v>39</v>
      </c>
      <c r="E11" s="13">
        <v>92.82</v>
      </c>
      <c r="F11" s="13" t="s">
        <v>292</v>
      </c>
      <c r="I11" t="e">
        <f>G11-VLOOKUP(H11,'Bag weights'!A$2:B$6,2,FALSE)</f>
        <v>#N/A</v>
      </c>
      <c r="L11" t="e">
        <f>J11-VLOOKUP(K11,'Bag weights'!D$2:E$6,2,FALSE)</f>
        <v>#N/A</v>
      </c>
      <c r="N11" s="95"/>
      <c r="O11" t="e">
        <f>M11-VLOOKUP(N11,'Bag weights'!A$2:B$6,2,FALSE)</f>
        <v>#N/A</v>
      </c>
      <c r="R11" t="e">
        <f>P11-VLOOKUP(Q11,'Bag weights'!A$2:B$6,2,FALSE)</f>
        <v>#N/A</v>
      </c>
      <c r="U11" t="e">
        <f>S11- VLOOKUP(T11,'Bag weights'!A$2:B$6,2,FALSE)</f>
        <v>#N/A</v>
      </c>
      <c r="X11" t="e">
        <f>V11-VLOOKUP(W11,'Bag weights'!A$2:B$6,2,FALSE)</f>
        <v>#N/A</v>
      </c>
      <c r="AA11" t="e">
        <f>Y11-VLOOKUP(Z11,'Bag weights'!A$2:B$6,2,FALSE)</f>
        <v>#N/A</v>
      </c>
      <c r="AD11" t="e">
        <f>AB11-VLOOKUP(AC11,'Bag weights'!A$2:B$6,2,FALSE)</f>
        <v>#N/A</v>
      </c>
      <c r="AG11" t="e">
        <f>AE11-VLOOKUP(AF11,'Bag weights'!A$2:B$6,2,FALSE)</f>
        <v>#N/A</v>
      </c>
      <c r="AJ11" t="e">
        <f>AH11-VLOOKUP(AI11,'Bag weights'!A$2:B$6,2,FALSE)</f>
        <v>#N/A</v>
      </c>
      <c r="AL11" s="28"/>
      <c r="AM11" t="e">
        <f>AK11-VLOOKUP(AL11,'Bag weights'!A$2:B$6,2,FALSE)</f>
        <v>#N/A</v>
      </c>
      <c r="AP11" t="e">
        <f>AN11-VLOOKUP(AO11,'Bag weights'!A$2:B$6,2,FALSE)</f>
        <v>#N/A</v>
      </c>
      <c r="AS11" t="e">
        <f>AQ11-VLOOKUP(AR11,'Bag weights'!A$2:B$6,2,FALSE)</f>
        <v>#N/A</v>
      </c>
      <c r="AT11" s="28">
        <v>92.82</v>
      </c>
      <c r="AU11" s="28" t="s">
        <v>292</v>
      </c>
      <c r="AV11" t="e">
        <f>AT11-VLOOKUP(AU11,'Bag weights'!A$2:B$6,2,FALSE)</f>
        <v>#N/A</v>
      </c>
      <c r="AW11" t="e">
        <f t="shared" si="0"/>
        <v>#N/A</v>
      </c>
      <c r="BC11" s="92">
        <v>6.9</v>
      </c>
      <c r="BG11" s="28">
        <v>5.56</v>
      </c>
    </row>
    <row r="12" spans="1:61">
      <c r="A12" s="70"/>
      <c r="B12" s="70"/>
      <c r="C12" s="70">
        <v>2</v>
      </c>
      <c r="D12" s="70" t="s">
        <v>97</v>
      </c>
      <c r="E12" s="13">
        <v>94.19</v>
      </c>
      <c r="F12" s="13" t="s">
        <v>292</v>
      </c>
      <c r="I12" t="e">
        <f>G12-VLOOKUP(H12,'Bag weights'!A$2:B$6,2,FALSE)</f>
        <v>#N/A</v>
      </c>
      <c r="L12" t="e">
        <f>J12-VLOOKUP(K12,'Bag weights'!D$2:E$6,2,FALSE)</f>
        <v>#N/A</v>
      </c>
      <c r="N12" s="95"/>
      <c r="O12" t="e">
        <f>M12-VLOOKUP(N12,'Bag weights'!A$2:B$6,2,FALSE)</f>
        <v>#N/A</v>
      </c>
      <c r="R12" t="e">
        <f>P12-VLOOKUP(Q12,'Bag weights'!A$2:B$6,2,FALSE)</f>
        <v>#N/A</v>
      </c>
      <c r="U12" t="e">
        <f>S12- VLOOKUP(T12,'Bag weights'!A$2:B$6,2,FALSE)</f>
        <v>#N/A</v>
      </c>
      <c r="X12" t="e">
        <f>V12-VLOOKUP(W12,'Bag weights'!A$2:B$6,2,FALSE)</f>
        <v>#N/A</v>
      </c>
      <c r="AA12" t="e">
        <f>Y12-VLOOKUP(Z12,'Bag weights'!A$2:B$6,2,FALSE)</f>
        <v>#N/A</v>
      </c>
      <c r="AD12" t="e">
        <f>AB12-VLOOKUP(AC12,'Bag weights'!A$2:B$6,2,FALSE)</f>
        <v>#N/A</v>
      </c>
      <c r="AG12" t="e">
        <f>AE12-VLOOKUP(AF12,'Bag weights'!A$2:B$6,2,FALSE)</f>
        <v>#N/A</v>
      </c>
      <c r="AJ12" t="e">
        <f>AH12-VLOOKUP(AI12,'Bag weights'!A$2:B$6,2,FALSE)</f>
        <v>#N/A</v>
      </c>
      <c r="AM12" t="e">
        <f>AK12-VLOOKUP(AL12,'Bag weights'!A$2:B$6,2,FALSE)</f>
        <v>#N/A</v>
      </c>
      <c r="AP12" t="e">
        <f>AN12-VLOOKUP(AO12,'Bag weights'!A$2:B$6,2,FALSE)</f>
        <v>#N/A</v>
      </c>
      <c r="AS12" t="e">
        <f>AQ12-VLOOKUP(AR12,'Bag weights'!A$2:B$6,2,FALSE)</f>
        <v>#N/A</v>
      </c>
      <c r="AT12" s="28">
        <v>94.19</v>
      </c>
      <c r="AU12" s="28" t="s">
        <v>292</v>
      </c>
      <c r="AV12" t="e">
        <f>AT12-VLOOKUP(AU12,'Bag weights'!A$2:B$6,2,FALSE)</f>
        <v>#N/A</v>
      </c>
      <c r="AW12" t="e">
        <f t="shared" si="0"/>
        <v>#N/A</v>
      </c>
      <c r="BC12" s="92">
        <v>5.4</v>
      </c>
      <c r="BG12" s="28">
        <v>5.82</v>
      </c>
    </row>
    <row r="13" spans="1:61">
      <c r="A13" s="70"/>
      <c r="B13" s="70"/>
      <c r="C13" s="70">
        <v>3</v>
      </c>
      <c r="D13" s="70" t="s">
        <v>94</v>
      </c>
      <c r="E13" s="13">
        <v>97.6</v>
      </c>
      <c r="F13" s="13" t="s">
        <v>292</v>
      </c>
      <c r="I13" t="e">
        <f>G13-VLOOKUP(H13,'Bag weights'!A$2:B$6,2,FALSE)</f>
        <v>#N/A</v>
      </c>
      <c r="L13" t="e">
        <f>J13-VLOOKUP(K13,'Bag weights'!D$2:E$6,2,FALSE)</f>
        <v>#N/A</v>
      </c>
      <c r="N13" s="95"/>
      <c r="O13" t="e">
        <f>M13-VLOOKUP(N13,'Bag weights'!A$2:B$6,2,FALSE)</f>
        <v>#N/A</v>
      </c>
      <c r="R13" t="e">
        <f>P13-VLOOKUP(Q13,'Bag weights'!A$2:B$6,2,FALSE)</f>
        <v>#N/A</v>
      </c>
      <c r="U13" t="e">
        <f>S13- VLOOKUP(T13,'Bag weights'!A$2:B$6,2,FALSE)</f>
        <v>#N/A</v>
      </c>
      <c r="X13" t="e">
        <f>V13-VLOOKUP(W13,'Bag weights'!A$2:B$6,2,FALSE)</f>
        <v>#N/A</v>
      </c>
      <c r="AA13" t="e">
        <f>Y13-VLOOKUP(Z13,'Bag weights'!A$2:B$6,2,FALSE)</f>
        <v>#N/A</v>
      </c>
      <c r="AD13" t="e">
        <f>AB13-VLOOKUP(AC13,'Bag weights'!A$2:B$6,2,FALSE)</f>
        <v>#N/A</v>
      </c>
      <c r="AG13" t="e">
        <f>AE13-VLOOKUP(AF13,'Bag weights'!A$2:B$6,2,FALSE)</f>
        <v>#N/A</v>
      </c>
      <c r="AJ13" t="e">
        <f>AH13-VLOOKUP(AI13,'Bag weights'!A$2:B$6,2,FALSE)</f>
        <v>#N/A</v>
      </c>
      <c r="AM13" t="e">
        <f>AK13-VLOOKUP(AL13,'Bag weights'!A$2:B$6,2,FALSE)</f>
        <v>#N/A</v>
      </c>
      <c r="AP13" t="e">
        <f>AN13-VLOOKUP(AO13,'Bag weights'!A$2:B$6,2,FALSE)</f>
        <v>#N/A</v>
      </c>
      <c r="AS13" t="e">
        <f>AQ13-VLOOKUP(AR13,'Bag weights'!A$2:B$6,2,FALSE)</f>
        <v>#N/A</v>
      </c>
      <c r="AT13" s="28">
        <v>97.6</v>
      </c>
      <c r="AU13" s="28" t="s">
        <v>292</v>
      </c>
      <c r="AV13" t="e">
        <f>AT13-VLOOKUP(AU13,'Bag weights'!A$2:B$6,2,FALSE)</f>
        <v>#N/A</v>
      </c>
      <c r="AW13" t="e">
        <f t="shared" si="0"/>
        <v>#N/A</v>
      </c>
      <c r="BC13" s="92">
        <v>17.2</v>
      </c>
      <c r="BF13" s="28" t="s">
        <v>302</v>
      </c>
    </row>
    <row r="14" spans="1:61">
      <c r="A14" s="70"/>
      <c r="B14" s="70"/>
      <c r="C14" s="70">
        <v>3</v>
      </c>
      <c r="D14" s="70" t="s">
        <v>95</v>
      </c>
      <c r="E14" s="13">
        <v>98.45</v>
      </c>
      <c r="F14" s="13" t="s">
        <v>292</v>
      </c>
      <c r="I14" t="e">
        <f>G14-VLOOKUP(H14,'Bag weights'!A$2:B$6,2,FALSE)</f>
        <v>#N/A</v>
      </c>
      <c r="L14" t="e">
        <f>J14-VLOOKUP(K14,'Bag weights'!D$2:E$6,2,FALSE)</f>
        <v>#N/A</v>
      </c>
      <c r="N14" s="95"/>
      <c r="O14" t="e">
        <f>M14-VLOOKUP(N14,'Bag weights'!A$2:B$6,2,FALSE)</f>
        <v>#N/A</v>
      </c>
      <c r="R14" t="e">
        <f>P14-VLOOKUP(Q14,'Bag weights'!A$2:B$6,2,FALSE)</f>
        <v>#N/A</v>
      </c>
      <c r="U14" t="e">
        <f>S14- VLOOKUP(T14,'Bag weights'!A$2:B$6,2,FALSE)</f>
        <v>#N/A</v>
      </c>
      <c r="X14" t="e">
        <f>V14-VLOOKUP(W14,'Bag weights'!A$2:B$6,2,FALSE)</f>
        <v>#N/A</v>
      </c>
      <c r="AA14" t="e">
        <f>Y14-VLOOKUP(Z14,'Bag weights'!A$2:B$6,2,FALSE)</f>
        <v>#N/A</v>
      </c>
      <c r="AD14" t="e">
        <f>AB14-VLOOKUP(AC14,'Bag weights'!A$2:B$6,2,FALSE)</f>
        <v>#N/A</v>
      </c>
      <c r="AG14" t="e">
        <f>AE14-VLOOKUP(AF14,'Bag weights'!A$2:B$6,2,FALSE)</f>
        <v>#N/A</v>
      </c>
      <c r="AJ14" t="e">
        <f>AH14-VLOOKUP(AI14,'Bag weights'!A$2:B$6,2,FALSE)</f>
        <v>#N/A</v>
      </c>
      <c r="AM14" t="e">
        <f>AK14-VLOOKUP(AL14,'Bag weights'!A$2:B$6,2,FALSE)</f>
        <v>#N/A</v>
      </c>
      <c r="AP14" t="e">
        <f>AN14-VLOOKUP(AO14,'Bag weights'!A$2:B$6,2,FALSE)</f>
        <v>#N/A</v>
      </c>
      <c r="AS14" t="e">
        <f>AQ14-VLOOKUP(AR14,'Bag weights'!A$2:B$6,2,FALSE)</f>
        <v>#N/A</v>
      </c>
      <c r="AT14" s="28">
        <v>98.45</v>
      </c>
      <c r="AU14" s="28" t="s">
        <v>292</v>
      </c>
      <c r="AV14" t="e">
        <f>AT14-VLOOKUP(AU14,'Bag weights'!A$2:B$6,2,FALSE)</f>
        <v>#N/A</v>
      </c>
      <c r="AW14" t="e">
        <f t="shared" si="0"/>
        <v>#N/A</v>
      </c>
      <c r="BC14" s="92">
        <v>11.9</v>
      </c>
      <c r="BG14" s="28">
        <v>1.53</v>
      </c>
    </row>
    <row r="15" spans="1:61">
      <c r="A15" s="70"/>
      <c r="B15" s="70"/>
      <c r="C15" s="70">
        <v>3</v>
      </c>
      <c r="D15" s="70" t="s">
        <v>96</v>
      </c>
      <c r="E15" s="13">
        <v>114.4</v>
      </c>
      <c r="F15" s="13" t="s">
        <v>292</v>
      </c>
      <c r="I15" t="e">
        <f>G15-VLOOKUP(H15,'Bag weights'!A$2:B$6,2,FALSE)</f>
        <v>#N/A</v>
      </c>
      <c r="L15" t="e">
        <f>J15-VLOOKUP(K15,'Bag weights'!D$2:E$6,2,FALSE)</f>
        <v>#N/A</v>
      </c>
      <c r="N15" s="95"/>
      <c r="O15" t="e">
        <f>M15-VLOOKUP(N15,'Bag weights'!A$2:B$6,2,FALSE)</f>
        <v>#N/A</v>
      </c>
      <c r="R15" t="e">
        <f>P15-VLOOKUP(Q15,'Bag weights'!A$2:B$6,2,FALSE)</f>
        <v>#N/A</v>
      </c>
      <c r="U15" t="e">
        <f>S15- VLOOKUP(T15,'Bag weights'!A$2:B$6,2,FALSE)</f>
        <v>#N/A</v>
      </c>
      <c r="X15" t="e">
        <f>V15-VLOOKUP(W15,'Bag weights'!A$2:B$6,2,FALSE)</f>
        <v>#N/A</v>
      </c>
      <c r="AA15" t="e">
        <f>Y15-VLOOKUP(Z15,'Bag weights'!A$2:B$6,2,FALSE)</f>
        <v>#N/A</v>
      </c>
      <c r="AC15" s="28"/>
      <c r="AD15" t="e">
        <f>AB15-VLOOKUP(AC15,'Bag weights'!A$2:B$6,2,FALSE)</f>
        <v>#N/A</v>
      </c>
      <c r="AG15" t="e">
        <f>AE15-VLOOKUP(AF15,'Bag weights'!A$2:B$6,2,FALSE)</f>
        <v>#N/A</v>
      </c>
      <c r="AJ15" t="e">
        <f>AH15-VLOOKUP(AI15,'Bag weights'!A$2:B$6,2,FALSE)</f>
        <v>#N/A</v>
      </c>
      <c r="AM15" t="e">
        <f>AK15-VLOOKUP(AL15,'Bag weights'!A$2:B$6,2,FALSE)</f>
        <v>#N/A</v>
      </c>
      <c r="AP15" t="e">
        <f>AN15-VLOOKUP(AO15,'Bag weights'!A$2:B$6,2,FALSE)</f>
        <v>#N/A</v>
      </c>
      <c r="AS15" t="e">
        <f>AQ15-VLOOKUP(AR15,'Bag weights'!A$2:B$6,2,FALSE)</f>
        <v>#N/A</v>
      </c>
      <c r="AT15" s="28">
        <v>114.4</v>
      </c>
      <c r="AU15" s="28" t="s">
        <v>292</v>
      </c>
      <c r="AV15" t="e">
        <f>AT15-VLOOKUP(AU15,'Bag weights'!A$2:B$6,2,FALSE)</f>
        <v>#N/A</v>
      </c>
      <c r="AW15" t="e">
        <f t="shared" si="0"/>
        <v>#N/A</v>
      </c>
      <c r="BC15" s="92">
        <v>25.8</v>
      </c>
      <c r="BG15" s="28">
        <v>4.49</v>
      </c>
    </row>
    <row r="16" spans="1:61">
      <c r="A16" s="70"/>
      <c r="B16" s="70"/>
      <c r="C16" s="70">
        <v>3</v>
      </c>
      <c r="D16" s="70" t="s">
        <v>39</v>
      </c>
      <c r="E16" s="13">
        <v>89.81</v>
      </c>
      <c r="F16" s="13" t="s">
        <v>284</v>
      </c>
      <c r="H16" s="28"/>
      <c r="I16" t="e">
        <f>G16-VLOOKUP(H16,'Bag weights'!A$2:B$6,2,FALSE)</f>
        <v>#N/A</v>
      </c>
      <c r="L16" t="e">
        <f>J16-VLOOKUP(K16,'Bag weights'!D$2:E$6,2,FALSE)</f>
        <v>#N/A</v>
      </c>
      <c r="N16" s="95"/>
      <c r="O16" t="e">
        <f>M16-VLOOKUP(N16,'Bag weights'!A$2:B$6,2,FALSE)</f>
        <v>#N/A</v>
      </c>
      <c r="R16" t="e">
        <f>P16-VLOOKUP(Q16,'Bag weights'!A$2:B$6,2,FALSE)</f>
        <v>#N/A</v>
      </c>
      <c r="U16" t="e">
        <f>S16- VLOOKUP(T16,'Bag weights'!A$2:B$6,2,FALSE)</f>
        <v>#N/A</v>
      </c>
      <c r="X16" t="e">
        <f>V16-VLOOKUP(W16,'Bag weights'!A$2:B$6,2,FALSE)</f>
        <v>#N/A</v>
      </c>
      <c r="AA16" t="e">
        <f>Y16-VLOOKUP(Z16,'Bag weights'!A$2:B$6,2,FALSE)</f>
        <v>#N/A</v>
      </c>
      <c r="AD16" t="e">
        <f>AB16-VLOOKUP(AC16,'Bag weights'!A$2:B$6,2,FALSE)</f>
        <v>#N/A</v>
      </c>
      <c r="AG16" t="e">
        <f>AE16-VLOOKUP(AF16,'Bag weights'!A$2:B$6,2,FALSE)</f>
        <v>#N/A</v>
      </c>
      <c r="AJ16" t="e">
        <f>AH16-VLOOKUP(AI16,'Bag weights'!A$2:B$6,2,FALSE)</f>
        <v>#N/A</v>
      </c>
      <c r="AM16" t="e">
        <f>AK16-VLOOKUP(AL16,'Bag weights'!A$2:B$6,2,FALSE)</f>
        <v>#N/A</v>
      </c>
      <c r="AO16" s="28"/>
      <c r="AP16" t="e">
        <f>AN16-VLOOKUP(AO16,'Bag weights'!A$2:B$6,2,FALSE)</f>
        <v>#N/A</v>
      </c>
      <c r="AS16" t="e">
        <f>AQ16-VLOOKUP(AR16,'Bag weights'!A$2:B$6,2,FALSE)</f>
        <v>#N/A</v>
      </c>
      <c r="AT16" s="28">
        <v>89.81</v>
      </c>
      <c r="AU16" s="28" t="s">
        <v>292</v>
      </c>
      <c r="AV16" t="e">
        <f>AT16-VLOOKUP(AU16,'Bag weights'!A$2:B$6,2,FALSE)</f>
        <v>#N/A</v>
      </c>
      <c r="AW16" t="e">
        <f t="shared" si="0"/>
        <v>#N/A</v>
      </c>
      <c r="BC16" s="92">
        <v>4.8</v>
      </c>
      <c r="BG16" s="28">
        <v>4.9800000000000004</v>
      </c>
    </row>
    <row r="17" spans="1:59">
      <c r="A17" s="70"/>
      <c r="B17" s="70"/>
      <c r="C17" s="70">
        <v>3</v>
      </c>
      <c r="D17" s="70" t="s">
        <v>97</v>
      </c>
      <c r="E17" s="13">
        <v>97.66</v>
      </c>
      <c r="F17" s="13" t="s">
        <v>292</v>
      </c>
      <c r="I17" t="e">
        <f>G17-VLOOKUP(H17,'Bag weights'!A$2:B$6,2,FALSE)</f>
        <v>#N/A</v>
      </c>
      <c r="L17" t="e">
        <f>J17-VLOOKUP(K17,'Bag weights'!D$2:E$6,2,FALSE)</f>
        <v>#N/A</v>
      </c>
      <c r="N17" s="95"/>
      <c r="O17" t="e">
        <f>M17-VLOOKUP(N17,'Bag weights'!A$2:B$6,2,FALSE)</f>
        <v>#N/A</v>
      </c>
      <c r="R17" t="e">
        <f>P17-VLOOKUP(Q17,'Bag weights'!A$2:B$6,2,FALSE)</f>
        <v>#N/A</v>
      </c>
      <c r="U17" t="e">
        <f>S17- VLOOKUP(T17,'Bag weights'!A$2:B$6,2,FALSE)</f>
        <v>#N/A</v>
      </c>
      <c r="X17" t="e">
        <f>V17-VLOOKUP(W17,'Bag weights'!A$2:B$6,2,FALSE)</f>
        <v>#N/A</v>
      </c>
      <c r="AA17" t="e">
        <f>Y17-VLOOKUP(Z17,'Bag weights'!A$2:B$6,2,FALSE)</f>
        <v>#N/A</v>
      </c>
      <c r="AD17" t="e">
        <f>AB17-VLOOKUP(AC17,'Bag weights'!A$2:B$6,2,FALSE)</f>
        <v>#N/A</v>
      </c>
      <c r="AG17" t="e">
        <f>AE17-VLOOKUP(AF17,'Bag weights'!A$2:B$6,2,FALSE)</f>
        <v>#N/A</v>
      </c>
      <c r="AJ17" t="e">
        <f>AH17-VLOOKUP(AI17,'Bag weights'!A$2:B$6,2,FALSE)</f>
        <v>#N/A</v>
      </c>
      <c r="AM17" t="e">
        <f>AK17-VLOOKUP(AL17,'Bag weights'!A$2:B$6,2,FALSE)</f>
        <v>#N/A</v>
      </c>
      <c r="AP17" t="e">
        <f>AN17-VLOOKUP(AO17,'Bag weights'!A$2:B$6,2,FALSE)</f>
        <v>#N/A</v>
      </c>
      <c r="AS17" t="e">
        <f>AQ17-VLOOKUP(AR17,'Bag weights'!A$2:B$6,2,FALSE)</f>
        <v>#N/A</v>
      </c>
      <c r="AT17" s="28">
        <v>97.66</v>
      </c>
      <c r="AU17" s="28" t="s">
        <v>292</v>
      </c>
      <c r="AV17" t="e">
        <f>AT17-VLOOKUP(AU17,'Bag weights'!A$2:B$6,2,FALSE)</f>
        <v>#N/A</v>
      </c>
      <c r="AW17" t="e">
        <f t="shared" si="0"/>
        <v>#N/A</v>
      </c>
      <c r="BC17" s="92">
        <v>8.9</v>
      </c>
      <c r="BG17" s="28">
        <v>4.49</v>
      </c>
    </row>
    <row r="18" spans="1:59">
      <c r="A18" s="70"/>
      <c r="B18" s="70"/>
      <c r="C18" s="70">
        <v>4</v>
      </c>
      <c r="D18" s="70" t="s">
        <v>94</v>
      </c>
      <c r="E18" s="13">
        <v>104.12</v>
      </c>
      <c r="F18" s="13" t="s">
        <v>292</v>
      </c>
      <c r="I18" t="e">
        <f>G18-VLOOKUP(H18,'Bag weights'!A$2:B$6,2,FALSE)</f>
        <v>#N/A</v>
      </c>
      <c r="L18" t="e">
        <f>J18-VLOOKUP(K18,'Bag weights'!D$2:E$6,2,FALSE)</f>
        <v>#N/A</v>
      </c>
      <c r="N18" s="95"/>
      <c r="O18" t="e">
        <f>M18-VLOOKUP(N18,'Bag weights'!A$2:B$6,2,FALSE)</f>
        <v>#N/A</v>
      </c>
      <c r="R18" t="e">
        <f>P18-VLOOKUP(Q18,'Bag weights'!A$2:B$6,2,FALSE)</f>
        <v>#N/A</v>
      </c>
      <c r="U18" t="e">
        <f>S18- VLOOKUP(T18,'Bag weights'!A$2:B$6,2,FALSE)</f>
        <v>#N/A</v>
      </c>
      <c r="X18" t="e">
        <f>V18-VLOOKUP(W18,'Bag weights'!A$2:B$6,2,FALSE)</f>
        <v>#N/A</v>
      </c>
      <c r="AA18" t="e">
        <f>Y18-VLOOKUP(Z18,'Bag weights'!A$2:B$6,2,FALSE)</f>
        <v>#N/A</v>
      </c>
      <c r="AD18" t="e">
        <f>AB18-VLOOKUP(AC18,'Bag weights'!A$2:B$6,2,FALSE)</f>
        <v>#N/A</v>
      </c>
      <c r="AF18" s="28"/>
      <c r="AG18" t="e">
        <f>AE18-VLOOKUP(AF18,'Bag weights'!A$2:B$6,2,FALSE)</f>
        <v>#N/A</v>
      </c>
      <c r="AJ18" t="e">
        <f>AH18-VLOOKUP(AI18,'Bag weights'!A$2:B$6,2,FALSE)</f>
        <v>#N/A</v>
      </c>
      <c r="AM18" t="e">
        <f>AK18-VLOOKUP(AL18,'Bag weights'!A$2:B$6,2,FALSE)</f>
        <v>#N/A</v>
      </c>
      <c r="AP18" t="e">
        <f>AN18-VLOOKUP(AO18,'Bag weights'!A$2:B$6,2,FALSE)</f>
        <v>#N/A</v>
      </c>
      <c r="AS18" t="e">
        <f>AQ18-VLOOKUP(AR18,'Bag weights'!A$2:B$6,2,FALSE)</f>
        <v>#N/A</v>
      </c>
      <c r="AT18" s="28">
        <v>104.12</v>
      </c>
      <c r="AU18" s="28" t="s">
        <v>292</v>
      </c>
      <c r="AV18" t="e">
        <f>AT18-VLOOKUP(AU18,'Bag weights'!A$2:B$6,2,FALSE)</f>
        <v>#N/A</v>
      </c>
      <c r="AW18" t="e">
        <f t="shared" si="0"/>
        <v>#N/A</v>
      </c>
      <c r="BC18" s="92">
        <v>6</v>
      </c>
      <c r="BG18" s="28">
        <v>6.93</v>
      </c>
    </row>
    <row r="19" spans="1:59">
      <c r="A19" s="70"/>
      <c r="B19" s="70"/>
      <c r="C19" s="70">
        <v>4</v>
      </c>
      <c r="D19" s="70" t="s">
        <v>95</v>
      </c>
      <c r="E19" s="13">
        <v>97.89</v>
      </c>
      <c r="F19" s="13" t="s">
        <v>292</v>
      </c>
      <c r="I19" t="e">
        <f>G19-VLOOKUP(H19,'Bag weights'!A$2:B$6,2,FALSE)</f>
        <v>#N/A</v>
      </c>
      <c r="L19" t="e">
        <f>J19-VLOOKUP(K19,'Bag weights'!D$2:E$6,2,FALSE)</f>
        <v>#N/A</v>
      </c>
      <c r="N19" s="95"/>
      <c r="O19" t="e">
        <f>M19-VLOOKUP(N19,'Bag weights'!A$2:B$6,2,FALSE)</f>
        <v>#N/A</v>
      </c>
      <c r="R19" t="e">
        <f>P19-VLOOKUP(Q19,'Bag weights'!A$2:B$6,2,FALSE)</f>
        <v>#N/A</v>
      </c>
      <c r="U19" t="e">
        <f>S19- VLOOKUP(T19,'Bag weights'!A$2:B$6,2,FALSE)</f>
        <v>#N/A</v>
      </c>
      <c r="X19" t="e">
        <f>V19-VLOOKUP(W19,'Bag weights'!A$2:B$6,2,FALSE)</f>
        <v>#N/A</v>
      </c>
      <c r="AA19" t="e">
        <f>Y19-VLOOKUP(Z19,'Bag weights'!A$2:B$6,2,FALSE)</f>
        <v>#N/A</v>
      </c>
      <c r="AD19" t="e">
        <f>AB19-VLOOKUP(AC19,'Bag weights'!A$2:B$6,2,FALSE)</f>
        <v>#N/A</v>
      </c>
      <c r="AG19" t="e">
        <f>AE19-VLOOKUP(AF19,'Bag weights'!A$2:B$6,2,FALSE)</f>
        <v>#N/A</v>
      </c>
      <c r="AJ19" t="e">
        <f>AH19-VLOOKUP(AI19,'Bag weights'!A$2:B$6,2,FALSE)</f>
        <v>#N/A</v>
      </c>
      <c r="AM19" t="e">
        <f>AK19-VLOOKUP(AL19,'Bag weights'!A$2:B$6,2,FALSE)</f>
        <v>#N/A</v>
      </c>
      <c r="AP19" t="e">
        <f>AN19-VLOOKUP(AO19,'Bag weights'!A$2:B$6,2,FALSE)</f>
        <v>#N/A</v>
      </c>
      <c r="AS19" t="e">
        <f>AQ19-VLOOKUP(AR19,'Bag weights'!A$2:B$6,2,FALSE)</f>
        <v>#N/A</v>
      </c>
      <c r="AT19" s="28">
        <v>97.89</v>
      </c>
      <c r="AU19" s="28" t="s">
        <v>292</v>
      </c>
      <c r="AV19" t="e">
        <f>AT19-VLOOKUP(AU19,'Bag weights'!A$2:B$6,2,FALSE)</f>
        <v>#N/A</v>
      </c>
      <c r="AW19" t="e">
        <f t="shared" si="0"/>
        <v>#N/A</v>
      </c>
      <c r="BC19" s="92">
        <v>6.9</v>
      </c>
      <c r="BF19" s="28" t="s">
        <v>303</v>
      </c>
      <c r="BG19" s="28">
        <v>6.35</v>
      </c>
    </row>
    <row r="20" spans="1:59">
      <c r="A20" s="70"/>
      <c r="B20" s="70"/>
      <c r="C20" s="70">
        <v>4</v>
      </c>
      <c r="D20" s="70" t="s">
        <v>96</v>
      </c>
      <c r="E20" s="13">
        <v>101.24</v>
      </c>
      <c r="F20" s="13" t="s">
        <v>292</v>
      </c>
      <c r="I20" t="e">
        <f>G20-VLOOKUP(H20,'Bag weights'!A$2:B$6,2,FALSE)</f>
        <v>#N/A</v>
      </c>
      <c r="L20" t="e">
        <f>J20-VLOOKUP(K20,'Bag weights'!D$2:E$6,2,FALSE)</f>
        <v>#N/A</v>
      </c>
      <c r="N20" s="95"/>
      <c r="O20" t="e">
        <f>M20-VLOOKUP(N20,'Bag weights'!A$2:B$6,2,FALSE)</f>
        <v>#N/A</v>
      </c>
      <c r="R20" t="e">
        <f>P20-VLOOKUP(Q20,'Bag weights'!A$2:B$6,2,FALSE)</f>
        <v>#N/A</v>
      </c>
      <c r="U20" t="e">
        <f>S20- VLOOKUP(T20,'Bag weights'!A$2:B$6,2,FALSE)</f>
        <v>#N/A</v>
      </c>
      <c r="X20" t="e">
        <f>V20-VLOOKUP(W20,'Bag weights'!A$2:B$6,2,FALSE)</f>
        <v>#N/A</v>
      </c>
      <c r="AA20" t="e">
        <f>Y20-VLOOKUP(Z20,'Bag weights'!A$2:B$6,2,FALSE)</f>
        <v>#N/A</v>
      </c>
      <c r="AD20" t="e">
        <f>AB20-VLOOKUP(AC20,'Bag weights'!A$2:B$6,2,FALSE)</f>
        <v>#N/A</v>
      </c>
      <c r="AG20" t="e">
        <f>AE20-VLOOKUP(AF20,'Bag weights'!A$2:B$6,2,FALSE)</f>
        <v>#N/A</v>
      </c>
      <c r="AJ20" t="e">
        <f>AH20-VLOOKUP(AI20,'Bag weights'!A$2:B$6,2,FALSE)</f>
        <v>#N/A</v>
      </c>
      <c r="AM20" t="e">
        <f>AK20-VLOOKUP(AL20,'Bag weights'!A$2:B$6,2,FALSE)</f>
        <v>#N/A</v>
      </c>
      <c r="AP20" t="e">
        <f>AN20-VLOOKUP(AO20,'Bag weights'!A$2:B$6,2,FALSE)</f>
        <v>#N/A</v>
      </c>
      <c r="AS20" t="e">
        <f>AQ20-VLOOKUP(AR20,'Bag weights'!A$2:B$6,2,FALSE)</f>
        <v>#N/A</v>
      </c>
      <c r="AT20" s="28">
        <v>101.24</v>
      </c>
      <c r="AU20" s="28" t="s">
        <v>292</v>
      </c>
      <c r="AV20" t="e">
        <f>AT20-VLOOKUP(AU20,'Bag weights'!A$2:B$6,2,FALSE)</f>
        <v>#N/A</v>
      </c>
      <c r="AW20" t="e">
        <f t="shared" si="0"/>
        <v>#N/A</v>
      </c>
      <c r="BC20" s="92">
        <v>7.5</v>
      </c>
      <c r="BG20" s="28">
        <v>5.09</v>
      </c>
    </row>
    <row r="21" spans="1:59">
      <c r="A21" s="70"/>
      <c r="B21" s="70"/>
      <c r="C21" s="70">
        <v>4</v>
      </c>
      <c r="D21" s="70" t="s">
        <v>39</v>
      </c>
      <c r="E21" s="13">
        <v>115.41</v>
      </c>
      <c r="F21" s="13" t="s">
        <v>292</v>
      </c>
      <c r="I21" t="e">
        <f>G21-VLOOKUP(H21,'Bag weights'!A$2:B$6,2,FALSE)</f>
        <v>#N/A</v>
      </c>
      <c r="L21" t="e">
        <f>J21-VLOOKUP(K21,'Bag weights'!D$2:E$6,2,FALSE)</f>
        <v>#N/A</v>
      </c>
      <c r="N21" s="95"/>
      <c r="O21" t="e">
        <f>M21-VLOOKUP(N21,'Bag weights'!A$2:B$6,2,FALSE)</f>
        <v>#N/A</v>
      </c>
      <c r="R21" t="e">
        <f>P21-VLOOKUP(Q21,'Bag weights'!A$2:B$6,2,FALSE)</f>
        <v>#N/A</v>
      </c>
      <c r="U21" t="e">
        <f>S21- VLOOKUP(T21,'Bag weights'!A$2:B$6,2,FALSE)</f>
        <v>#N/A</v>
      </c>
      <c r="X21" t="e">
        <f>V21-VLOOKUP(W21,'Bag weights'!A$2:B$6,2,FALSE)</f>
        <v>#N/A</v>
      </c>
      <c r="AA21" t="e">
        <f>Y21-VLOOKUP(Z21,'Bag weights'!A$2:B$6,2,FALSE)</f>
        <v>#N/A</v>
      </c>
      <c r="AD21" t="e">
        <f>AB21-VLOOKUP(AC21,'Bag weights'!A$2:B$6,2,FALSE)</f>
        <v>#N/A</v>
      </c>
      <c r="AG21" t="e">
        <f>AE21-VLOOKUP(AF21,'Bag weights'!A$2:B$6,2,FALSE)</f>
        <v>#N/A</v>
      </c>
      <c r="AJ21" t="e">
        <f>AH21-VLOOKUP(AI21,'Bag weights'!A$2:B$6,2,FALSE)</f>
        <v>#N/A</v>
      </c>
      <c r="AM21" t="e">
        <f>AK21-VLOOKUP(AL21,'Bag weights'!A$2:B$6,2,FALSE)</f>
        <v>#N/A</v>
      </c>
      <c r="AP21" t="e">
        <f>AN21-VLOOKUP(AO21,'Bag weights'!A$2:B$6,2,FALSE)</f>
        <v>#N/A</v>
      </c>
      <c r="AS21" t="e">
        <f>AQ21-VLOOKUP(AR21,'Bag weights'!A$2:B$6,2,FALSE)</f>
        <v>#N/A</v>
      </c>
      <c r="AT21" s="28">
        <v>115.41</v>
      </c>
      <c r="AU21" s="28" t="s">
        <v>292</v>
      </c>
      <c r="AV21" t="e">
        <f>AT21-VLOOKUP(AU21,'Bag weights'!A$2:B$6,2,FALSE)</f>
        <v>#N/A</v>
      </c>
      <c r="AW21" t="e">
        <f t="shared" si="0"/>
        <v>#N/A</v>
      </c>
      <c r="BC21" s="92">
        <v>7.6</v>
      </c>
      <c r="BG21" s="28">
        <v>4.12</v>
      </c>
    </row>
    <row r="22" spans="1:59">
      <c r="A22" s="70"/>
      <c r="B22" s="70"/>
      <c r="C22" s="70">
        <v>4</v>
      </c>
      <c r="D22" s="70" t="s">
        <v>97</v>
      </c>
      <c r="E22" s="13">
        <v>96.03</v>
      </c>
      <c r="F22" s="13" t="s">
        <v>284</v>
      </c>
      <c r="I22" t="e">
        <f>G22-VLOOKUP(H22,'Bag weights'!A$2:B$6,2,FALSE)</f>
        <v>#N/A</v>
      </c>
      <c r="L22" t="e">
        <f>J22-VLOOKUP(K22,'Bag weights'!D$2:E$6,2,FALSE)</f>
        <v>#N/A</v>
      </c>
      <c r="N22" s="95"/>
      <c r="O22" t="e">
        <f>M22-VLOOKUP(N22,'Bag weights'!A$2:B$6,2,FALSE)</f>
        <v>#N/A</v>
      </c>
      <c r="R22" t="e">
        <f>P22-VLOOKUP(Q22,'Bag weights'!A$2:B$6,2,FALSE)</f>
        <v>#N/A</v>
      </c>
      <c r="U22" t="e">
        <f>S22- VLOOKUP(T22,'Bag weights'!A$2:B$6,2,FALSE)</f>
        <v>#N/A</v>
      </c>
      <c r="X22" t="e">
        <f>V22-VLOOKUP(W22,'Bag weights'!A$2:B$6,2,FALSE)</f>
        <v>#N/A</v>
      </c>
      <c r="AA22" t="e">
        <f>Y22-VLOOKUP(Z22,'Bag weights'!A$2:B$6,2,FALSE)</f>
        <v>#N/A</v>
      </c>
      <c r="AD22" t="e">
        <f>AB22-VLOOKUP(AC22,'Bag weights'!A$2:B$6,2,FALSE)</f>
        <v>#N/A</v>
      </c>
      <c r="AG22" t="e">
        <f>AE22-VLOOKUP(AF22,'Bag weights'!A$2:B$6,2,FALSE)</f>
        <v>#N/A</v>
      </c>
      <c r="AJ22" t="e">
        <f>AH22-VLOOKUP(AI22,'Bag weights'!A$2:B$6,2,FALSE)</f>
        <v>#N/A</v>
      </c>
      <c r="AM22" t="e">
        <f>AK22-VLOOKUP(AL22,'Bag weights'!A$2:B$6,2,FALSE)</f>
        <v>#N/A</v>
      </c>
      <c r="AP22" t="e">
        <f>AN22-VLOOKUP(AO22,'Bag weights'!A$2:B$6,2,FALSE)</f>
        <v>#N/A</v>
      </c>
      <c r="AS22" t="e">
        <f>AQ22-VLOOKUP(AR22,'Bag weights'!A$2:B$6,2,FALSE)</f>
        <v>#N/A</v>
      </c>
      <c r="AT22" s="28">
        <v>96.03</v>
      </c>
      <c r="AU22" s="28" t="s">
        <v>284</v>
      </c>
      <c r="AV22">
        <f>AT22-VLOOKUP(AU22,'Bag weights'!A$2:B$6,2,FALSE)</f>
        <v>75.08</v>
      </c>
      <c r="AW22" t="e">
        <f t="shared" si="0"/>
        <v>#N/A</v>
      </c>
      <c r="BC22" s="92">
        <v>9.8000000000000007</v>
      </c>
      <c r="BG22" s="28">
        <v>6.58</v>
      </c>
    </row>
    <row r="23" spans="1:59">
      <c r="A23" s="70" t="s">
        <v>37</v>
      </c>
      <c r="B23" s="70" t="s">
        <v>77</v>
      </c>
      <c r="C23" s="70">
        <v>1</v>
      </c>
      <c r="D23" s="70" t="s">
        <v>94</v>
      </c>
      <c r="E23" s="13">
        <v>87.05</v>
      </c>
      <c r="F23" s="13" t="s">
        <v>284</v>
      </c>
      <c r="I23" t="e">
        <f>G23-VLOOKUP(H23,'Bag weights'!A$2:B$6,2,FALSE)</f>
        <v>#N/A</v>
      </c>
      <c r="L23" t="e">
        <f>J23-VLOOKUP(K23,'Bag weights'!D$2:E$6,2,FALSE)</f>
        <v>#N/A</v>
      </c>
      <c r="N23" s="95"/>
      <c r="O23" t="e">
        <f>M23-VLOOKUP(N23,'Bag weights'!A$2:B$6,2,FALSE)</f>
        <v>#N/A</v>
      </c>
      <c r="R23" t="e">
        <f>P23-VLOOKUP(Q23,'Bag weights'!A$2:B$6,2,FALSE)</f>
        <v>#N/A</v>
      </c>
      <c r="U23" t="e">
        <f>S23- VLOOKUP(T23,'Bag weights'!A$2:B$6,2,FALSE)</f>
        <v>#N/A</v>
      </c>
      <c r="X23" t="e">
        <f>V23-VLOOKUP(W23,'Bag weights'!A$2:B$6,2,FALSE)</f>
        <v>#N/A</v>
      </c>
      <c r="AA23" t="e">
        <f>Y23-VLOOKUP(Z23,'Bag weights'!A$2:B$6,2,FALSE)</f>
        <v>#N/A</v>
      </c>
      <c r="AD23" t="e">
        <f>AB23-VLOOKUP(AC23,'Bag weights'!A$2:B$6,2,FALSE)</f>
        <v>#N/A</v>
      </c>
      <c r="AG23" t="e">
        <f>AE23-VLOOKUP(AF23,'Bag weights'!A$2:B$6,2,FALSE)</f>
        <v>#N/A</v>
      </c>
      <c r="AJ23" t="e">
        <f>AH23-VLOOKUP(AI23,'Bag weights'!A$2:B$6,2,FALSE)</f>
        <v>#N/A</v>
      </c>
      <c r="AM23" t="e">
        <f>AK23-VLOOKUP(AL23,'Bag weights'!A$2:B$6,2,FALSE)</f>
        <v>#N/A</v>
      </c>
      <c r="AP23" t="e">
        <f>AN23-VLOOKUP(AO23,'Bag weights'!A$2:B$6,2,FALSE)</f>
        <v>#N/A</v>
      </c>
      <c r="AS23" t="e">
        <f>AQ23-VLOOKUP(AR23,'Bag weights'!A$2:B$6,2,FALSE)</f>
        <v>#N/A</v>
      </c>
      <c r="AT23" s="28">
        <v>87.05</v>
      </c>
      <c r="AU23" s="28" t="s">
        <v>284</v>
      </c>
      <c r="AV23">
        <f>AT23-VLOOKUP(AU23,'Bag weights'!A$2:B$6,2,FALSE)</f>
        <v>66.099999999999994</v>
      </c>
      <c r="AW23" t="e">
        <f t="shared" si="0"/>
        <v>#N/A</v>
      </c>
      <c r="BC23" s="92">
        <v>3.5</v>
      </c>
      <c r="BG23" s="28">
        <v>2.68</v>
      </c>
    </row>
    <row r="24" spans="1:59">
      <c r="A24" s="75" t="s">
        <v>291</v>
      </c>
      <c r="B24" s="70"/>
      <c r="C24" s="70">
        <v>1</v>
      </c>
      <c r="D24" s="70" t="s">
        <v>95</v>
      </c>
      <c r="E24" s="13">
        <v>99.98</v>
      </c>
      <c r="F24" s="13" t="s">
        <v>292</v>
      </c>
      <c r="I24" t="e">
        <f>G24-VLOOKUP(H24,'Bag weights'!A$2:B$6,2,FALSE)</f>
        <v>#N/A</v>
      </c>
      <c r="L24" t="e">
        <f>J24-VLOOKUP(K24,'Bag weights'!D$2:E$6,2,FALSE)</f>
        <v>#N/A</v>
      </c>
      <c r="N24" s="95"/>
      <c r="O24" t="e">
        <f>M24-VLOOKUP(N24,'Bag weights'!A$2:B$6,2,FALSE)</f>
        <v>#N/A</v>
      </c>
      <c r="R24" t="e">
        <f>P24-VLOOKUP(Q24,'Bag weights'!A$2:B$6,2,FALSE)</f>
        <v>#N/A</v>
      </c>
      <c r="U24" t="e">
        <f>S24- VLOOKUP(T24,'Bag weights'!A$2:B$6,2,FALSE)</f>
        <v>#N/A</v>
      </c>
      <c r="X24" t="e">
        <f>V24-VLOOKUP(W24,'Bag weights'!A$2:B$6,2,FALSE)</f>
        <v>#N/A</v>
      </c>
      <c r="AA24" t="e">
        <f>Y24-VLOOKUP(Z24,'Bag weights'!A$2:B$6,2,FALSE)</f>
        <v>#N/A</v>
      </c>
      <c r="AD24" t="e">
        <f>AB24-VLOOKUP(AC24,'Bag weights'!A$2:B$6,2,FALSE)</f>
        <v>#N/A</v>
      </c>
      <c r="AG24" t="e">
        <f>AE24-VLOOKUP(AF24,'Bag weights'!A$2:B$6,2,FALSE)</f>
        <v>#N/A</v>
      </c>
      <c r="AJ24" t="e">
        <f>AH24-VLOOKUP(AI24,'Bag weights'!A$2:B$6,2,FALSE)</f>
        <v>#N/A</v>
      </c>
      <c r="AM24" t="e">
        <f>AK24-VLOOKUP(AL24,'Bag weights'!A$2:B$6,2,FALSE)</f>
        <v>#N/A</v>
      </c>
      <c r="AP24" t="e">
        <f>AN24-VLOOKUP(AO24,'Bag weights'!A$2:B$6,2,FALSE)</f>
        <v>#N/A</v>
      </c>
      <c r="AS24" t="e">
        <f>AQ24-VLOOKUP(AR24,'Bag weights'!A$2:B$6,2,FALSE)</f>
        <v>#N/A</v>
      </c>
      <c r="AT24" s="28">
        <v>99.98</v>
      </c>
      <c r="AU24" s="28" t="s">
        <v>292</v>
      </c>
      <c r="AV24" t="e">
        <f>AT24-VLOOKUP(AU24,'Bag weights'!A$2:B$6,2,FALSE)</f>
        <v>#N/A</v>
      </c>
      <c r="AW24" t="e">
        <f t="shared" si="0"/>
        <v>#N/A</v>
      </c>
      <c r="BC24" s="92">
        <v>4.2</v>
      </c>
      <c r="BG24" s="28">
        <v>5.36</v>
      </c>
    </row>
    <row r="25" spans="1:59">
      <c r="A25" s="70"/>
      <c r="B25" s="70"/>
      <c r="C25" s="70">
        <v>1</v>
      </c>
      <c r="D25" s="70" t="s">
        <v>96</v>
      </c>
      <c r="E25" s="1"/>
      <c r="F25" s="1"/>
      <c r="I25" t="e">
        <f>G25-VLOOKUP(H25,'Bag weights'!A$2:B$6,2,FALSE)</f>
        <v>#N/A</v>
      </c>
      <c r="L25" t="e">
        <f>J25-VLOOKUP(K25,'Bag weights'!D$2:E$6,2,FALSE)</f>
        <v>#N/A</v>
      </c>
      <c r="N25" s="95"/>
      <c r="O25" t="e">
        <f>M25-VLOOKUP(N25,'Bag weights'!A$2:B$6,2,FALSE)</f>
        <v>#N/A</v>
      </c>
      <c r="R25" t="e">
        <f>P25-VLOOKUP(Q25,'Bag weights'!A$2:B$6,2,FALSE)</f>
        <v>#N/A</v>
      </c>
      <c r="U25" t="e">
        <f>S25- VLOOKUP(T25,'Bag weights'!A$2:B$6,2,FALSE)</f>
        <v>#N/A</v>
      </c>
      <c r="X25" t="e">
        <f>V25-VLOOKUP(W25,'Bag weights'!A$2:B$6,2,FALSE)</f>
        <v>#N/A</v>
      </c>
      <c r="AA25" t="e">
        <f>Y25-VLOOKUP(Z25,'Bag weights'!A$2:B$6,2,FALSE)</f>
        <v>#N/A</v>
      </c>
      <c r="AD25" t="e">
        <f>AB25-VLOOKUP(AC25,'Bag weights'!A$2:B$6,2,FALSE)</f>
        <v>#N/A</v>
      </c>
      <c r="AG25" t="e">
        <f>AE25-VLOOKUP(AF25,'Bag weights'!A$2:B$6,2,FALSE)</f>
        <v>#N/A</v>
      </c>
      <c r="AJ25" t="e">
        <f>AH25-VLOOKUP(AI25,'Bag weights'!A$2:B$6,2,FALSE)</f>
        <v>#N/A</v>
      </c>
      <c r="AM25" t="e">
        <f>AK25-VLOOKUP(AL25,'Bag weights'!A$2:B$6,2,FALSE)</f>
        <v>#N/A</v>
      </c>
      <c r="AP25" t="e">
        <f>AN25-VLOOKUP(AO25,'Bag weights'!A$2:B$6,2,FALSE)</f>
        <v>#N/A</v>
      </c>
      <c r="AS25" t="e">
        <f>AQ25-VLOOKUP(AR25,'Bag weights'!A$2:B$6,2,FALSE)</f>
        <v>#N/A</v>
      </c>
      <c r="AV25" t="e">
        <f>AT26-VLOOKUP(AU26,'Bag weights'!A$2:B$6,2,FALSE)</f>
        <v>#N/A</v>
      </c>
      <c r="AW25" t="e">
        <f t="shared" si="0"/>
        <v>#N/A</v>
      </c>
      <c r="BC25" s="92">
        <v>3.1</v>
      </c>
      <c r="BG25" s="28">
        <v>5.73</v>
      </c>
    </row>
    <row r="26" spans="1:59">
      <c r="A26" s="70"/>
      <c r="B26" s="70"/>
      <c r="C26" s="70">
        <v>1</v>
      </c>
      <c r="D26" s="70" t="s">
        <v>39</v>
      </c>
      <c r="E26" s="13">
        <v>83.85</v>
      </c>
      <c r="F26" s="13" t="s">
        <v>292</v>
      </c>
      <c r="I26" t="e">
        <f>G26-VLOOKUP(H26,'Bag weights'!A$2:B$6,2,FALSE)</f>
        <v>#N/A</v>
      </c>
      <c r="L26" t="e">
        <f>J26-VLOOKUP(K26,'Bag weights'!D$2:E$6,2,FALSE)</f>
        <v>#N/A</v>
      </c>
      <c r="N26" s="95"/>
      <c r="O26" t="e">
        <f>M26-VLOOKUP(N26,'Bag weights'!A$2:B$6,2,FALSE)</f>
        <v>#N/A</v>
      </c>
      <c r="R26" t="e">
        <f>P26-VLOOKUP(Q26,'Bag weights'!A$2:B$6,2,FALSE)</f>
        <v>#N/A</v>
      </c>
      <c r="U26" t="e">
        <f>S26- VLOOKUP(T26,'Bag weights'!A$2:B$6,2,FALSE)</f>
        <v>#N/A</v>
      </c>
      <c r="X26" t="e">
        <f>V26-VLOOKUP(W26,'Bag weights'!A$2:B$6,2,FALSE)</f>
        <v>#N/A</v>
      </c>
      <c r="AA26" t="e">
        <f>Y26-VLOOKUP(Z26,'Bag weights'!A$2:B$6,2,FALSE)</f>
        <v>#N/A</v>
      </c>
      <c r="AD26" t="e">
        <f>AB26-VLOOKUP(AC26,'Bag weights'!A$2:B$6,2,FALSE)</f>
        <v>#N/A</v>
      </c>
      <c r="AG26" t="e">
        <f>AE26-VLOOKUP(AF26,'Bag weights'!A$2:B$6,2,FALSE)</f>
        <v>#N/A</v>
      </c>
      <c r="AJ26" t="e">
        <f>AH26-VLOOKUP(AI26,'Bag weights'!A$2:B$6,2,FALSE)</f>
        <v>#N/A</v>
      </c>
      <c r="AM26" t="e">
        <f>AK26-VLOOKUP(AL26,'Bag weights'!A$2:B$6,2,FALSE)</f>
        <v>#N/A</v>
      </c>
      <c r="AP26" t="e">
        <f>AN26-VLOOKUP(AO26,'Bag weights'!A$2:B$6,2,FALSE)</f>
        <v>#N/A</v>
      </c>
      <c r="AS26" t="e">
        <f>AQ26-VLOOKUP(AR26,'Bag weights'!A$2:B$6,2,FALSE)</f>
        <v>#N/A</v>
      </c>
      <c r="AT26" s="28">
        <v>83.85</v>
      </c>
      <c r="AU26" s="28" t="s">
        <v>292</v>
      </c>
      <c r="AV26" t="e">
        <f>AT27-VLOOKUP(AU27,'Bag weights'!A$2:B$6,2,FALSE)</f>
        <v>#N/A</v>
      </c>
      <c r="AW26" t="e">
        <f t="shared" si="0"/>
        <v>#N/A</v>
      </c>
      <c r="BC26" s="92">
        <v>6.9</v>
      </c>
      <c r="BG26" s="28">
        <v>5.38</v>
      </c>
    </row>
    <row r="27" spans="1:59">
      <c r="A27" s="70"/>
      <c r="B27" s="70"/>
      <c r="C27" s="70">
        <v>1</v>
      </c>
      <c r="D27" s="70" t="s">
        <v>97</v>
      </c>
      <c r="E27" s="13">
        <v>90.1</v>
      </c>
      <c r="F27" s="13" t="s">
        <v>292</v>
      </c>
      <c r="I27" t="e">
        <f>G27-VLOOKUP(H27,'Bag weights'!A$2:B$6,2,FALSE)</f>
        <v>#N/A</v>
      </c>
      <c r="L27" t="e">
        <f>J27-VLOOKUP(K27,'Bag weights'!D$2:E$6,2,FALSE)</f>
        <v>#N/A</v>
      </c>
      <c r="N27" s="95"/>
      <c r="O27" t="e">
        <f>M27-VLOOKUP(N27,'Bag weights'!A$2:B$6,2,FALSE)</f>
        <v>#N/A</v>
      </c>
      <c r="R27" t="e">
        <f>P27-VLOOKUP(Q27,'Bag weights'!A$2:B$6,2,FALSE)</f>
        <v>#N/A</v>
      </c>
      <c r="U27" t="e">
        <f>S27- VLOOKUP(T27,'Bag weights'!A$2:B$6,2,FALSE)</f>
        <v>#N/A</v>
      </c>
      <c r="X27" t="e">
        <f>V27-VLOOKUP(W27,'Bag weights'!A$2:B$6,2,FALSE)</f>
        <v>#N/A</v>
      </c>
      <c r="AA27" t="e">
        <f>Y27-VLOOKUP(Z27,'Bag weights'!A$2:B$6,2,FALSE)</f>
        <v>#N/A</v>
      </c>
      <c r="AD27" t="e">
        <f>AB27-VLOOKUP(AC27,'Bag weights'!A$2:B$6,2,FALSE)</f>
        <v>#N/A</v>
      </c>
      <c r="AG27" t="e">
        <f>AE27-VLOOKUP(AF27,'Bag weights'!A$2:B$6,2,FALSE)</f>
        <v>#N/A</v>
      </c>
      <c r="AJ27" t="e">
        <f>AH27-VLOOKUP(AI27,'Bag weights'!A$2:B$6,2,FALSE)</f>
        <v>#N/A</v>
      </c>
      <c r="AM27" t="e">
        <f>AK27-VLOOKUP(AL27,'Bag weights'!A$2:B$6,2,FALSE)</f>
        <v>#N/A</v>
      </c>
      <c r="AP27" t="e">
        <f>AN27-VLOOKUP(AO27,'Bag weights'!A$2:B$6,2,FALSE)</f>
        <v>#N/A</v>
      </c>
      <c r="AS27" t="e">
        <f>AQ27-VLOOKUP(AR27,'Bag weights'!A$2:B$6,2,FALSE)</f>
        <v>#N/A</v>
      </c>
      <c r="AT27" s="28">
        <v>90.1</v>
      </c>
      <c r="AU27" s="28" t="s">
        <v>292</v>
      </c>
      <c r="AV27" t="e">
        <f>AT28-VLOOKUP(AU28,'Bag weights'!A$2:B$6,2,FALSE)</f>
        <v>#N/A</v>
      </c>
      <c r="AW27" t="e">
        <f t="shared" si="0"/>
        <v>#N/A</v>
      </c>
      <c r="BC27" s="92">
        <v>6.7</v>
      </c>
      <c r="BG27" s="28">
        <v>6.06</v>
      </c>
    </row>
    <row r="28" spans="1:59">
      <c r="A28" s="70"/>
      <c r="B28" s="70"/>
      <c r="C28" s="70">
        <v>2</v>
      </c>
      <c r="D28" s="70" t="s">
        <v>94</v>
      </c>
      <c r="E28" s="13">
        <v>67.900000000000006</v>
      </c>
      <c r="F28" s="13" t="s">
        <v>292</v>
      </c>
      <c r="I28" t="e">
        <f>G28-VLOOKUP(H28,'Bag weights'!A$2:B$6,2,FALSE)</f>
        <v>#N/A</v>
      </c>
      <c r="L28" t="e">
        <f>J28-VLOOKUP(K28,'Bag weights'!D$2:E$6,2,FALSE)</f>
        <v>#N/A</v>
      </c>
      <c r="N28" s="95"/>
      <c r="O28" t="e">
        <f>M28-VLOOKUP(N28,'Bag weights'!A$2:B$6,2,FALSE)</f>
        <v>#N/A</v>
      </c>
      <c r="R28" t="e">
        <f>P28-VLOOKUP(Q28,'Bag weights'!A$2:B$6,2,FALSE)</f>
        <v>#N/A</v>
      </c>
      <c r="U28" t="e">
        <f>S28- VLOOKUP(T28,'Bag weights'!A$2:B$6,2,FALSE)</f>
        <v>#N/A</v>
      </c>
      <c r="X28" t="e">
        <f>V28-VLOOKUP(W28,'Bag weights'!A$2:B$6,2,FALSE)</f>
        <v>#N/A</v>
      </c>
      <c r="AA28" t="e">
        <f>Y28-VLOOKUP(Z28,'Bag weights'!A$2:B$6,2,FALSE)</f>
        <v>#N/A</v>
      </c>
      <c r="AD28" t="e">
        <f>AB28-VLOOKUP(AC28,'Bag weights'!A$2:B$6,2,FALSE)</f>
        <v>#N/A</v>
      </c>
      <c r="AG28" t="e">
        <f>AE28-VLOOKUP(AF28,'Bag weights'!A$2:B$6,2,FALSE)</f>
        <v>#N/A</v>
      </c>
      <c r="AJ28" t="e">
        <f>AH28-VLOOKUP(AI28,'Bag weights'!A$2:B$6,2,FALSE)</f>
        <v>#N/A</v>
      </c>
      <c r="AM28" t="e">
        <f>AK28-VLOOKUP(AL28,'Bag weights'!A$2:B$6,2,FALSE)</f>
        <v>#N/A</v>
      </c>
      <c r="AP28" t="e">
        <f>AN28-VLOOKUP(AO28,'Bag weights'!A$2:B$6,2,FALSE)</f>
        <v>#N/A</v>
      </c>
      <c r="AS28" t="e">
        <f>AQ28-VLOOKUP(AR28,'Bag weights'!A$2:B$6,2,FALSE)</f>
        <v>#N/A</v>
      </c>
      <c r="AT28" s="28">
        <v>67.900000000000006</v>
      </c>
      <c r="AU28" s="28" t="s">
        <v>292</v>
      </c>
      <c r="AV28" t="e">
        <f>AT29-VLOOKUP(AU29,'Bag weights'!A$2:B$6,2,FALSE)</f>
        <v>#N/A</v>
      </c>
      <c r="AW28" t="e">
        <f t="shared" si="0"/>
        <v>#N/A</v>
      </c>
      <c r="BC28" s="92">
        <v>3.3</v>
      </c>
      <c r="BG28" s="28">
        <v>4.08</v>
      </c>
    </row>
    <row r="29" spans="1:59">
      <c r="A29" s="70"/>
      <c r="B29" s="70"/>
      <c r="C29" s="70">
        <v>2</v>
      </c>
      <c r="D29" s="70" t="s">
        <v>95</v>
      </c>
      <c r="E29" s="13">
        <v>93.18</v>
      </c>
      <c r="F29" s="13" t="s">
        <v>292</v>
      </c>
      <c r="I29" t="e">
        <f>G29-VLOOKUP(H29,'Bag weights'!A$2:B$6,2,FALSE)</f>
        <v>#N/A</v>
      </c>
      <c r="L29" t="e">
        <f>J29-VLOOKUP(K29,'Bag weights'!D$2:E$6,2,FALSE)</f>
        <v>#N/A</v>
      </c>
      <c r="N29" s="95"/>
      <c r="O29" t="e">
        <f>M29-VLOOKUP(N29,'Bag weights'!A$2:B$6,2,FALSE)</f>
        <v>#N/A</v>
      </c>
      <c r="R29" t="e">
        <f>P29-VLOOKUP(Q29,'Bag weights'!A$2:B$6,2,FALSE)</f>
        <v>#N/A</v>
      </c>
      <c r="U29" t="e">
        <f>S29- VLOOKUP(T29,'Bag weights'!A$2:B$6,2,FALSE)</f>
        <v>#N/A</v>
      </c>
      <c r="X29" t="e">
        <f>V29-VLOOKUP(W29,'Bag weights'!A$2:B$6,2,FALSE)</f>
        <v>#N/A</v>
      </c>
      <c r="AA29" t="e">
        <f>Y29-VLOOKUP(Z29,'Bag weights'!A$2:B$6,2,FALSE)</f>
        <v>#N/A</v>
      </c>
      <c r="AD29" t="e">
        <f>AB29-VLOOKUP(AC29,'Bag weights'!A$2:B$6,2,FALSE)</f>
        <v>#N/A</v>
      </c>
      <c r="AG29" t="e">
        <f>AE29-VLOOKUP(AF29,'Bag weights'!A$2:B$6,2,FALSE)</f>
        <v>#N/A</v>
      </c>
      <c r="AJ29" t="e">
        <f>AH29-VLOOKUP(AI29,'Bag weights'!A$2:B$6,2,FALSE)</f>
        <v>#N/A</v>
      </c>
      <c r="AM29" t="e">
        <f>AK29-VLOOKUP(AL29,'Bag weights'!A$2:B$6,2,FALSE)</f>
        <v>#N/A</v>
      </c>
      <c r="AP29" t="e">
        <f>AN29-VLOOKUP(AO29,'Bag weights'!A$2:B$6,2,FALSE)</f>
        <v>#N/A</v>
      </c>
      <c r="AS29" t="e">
        <f>AQ29-VLOOKUP(AR29,'Bag weights'!A$2:B$6,2,FALSE)</f>
        <v>#N/A</v>
      </c>
      <c r="AT29" s="28">
        <v>93.18</v>
      </c>
      <c r="AU29" s="28" t="s">
        <v>292</v>
      </c>
      <c r="AV29">
        <f>AT30-VLOOKUP(AU30,'Bag weights'!A$2:B$6,2,FALSE)</f>
        <v>68.36</v>
      </c>
      <c r="AW29" t="e">
        <f t="shared" si="0"/>
        <v>#N/A</v>
      </c>
      <c r="BC29" s="92">
        <v>10.5</v>
      </c>
      <c r="BG29" s="28">
        <v>5.58</v>
      </c>
    </row>
    <row r="30" spans="1:59">
      <c r="A30" s="70"/>
      <c r="B30" s="70"/>
      <c r="C30" s="70">
        <v>2</v>
      </c>
      <c r="D30" s="70" t="s">
        <v>96</v>
      </c>
      <c r="E30" s="13">
        <v>89.31</v>
      </c>
      <c r="F30" s="13" t="s">
        <v>284</v>
      </c>
      <c r="I30" t="e">
        <f>G30-VLOOKUP(H30,'Bag weights'!A$2:B$6,2,FALSE)</f>
        <v>#N/A</v>
      </c>
      <c r="L30" t="e">
        <f>J30-VLOOKUP(K30,'Bag weights'!D$2:E$6,2,FALSE)</f>
        <v>#N/A</v>
      </c>
      <c r="N30" s="95"/>
      <c r="O30" t="e">
        <f>M30-VLOOKUP(N30,'Bag weights'!A$2:B$6,2,FALSE)</f>
        <v>#N/A</v>
      </c>
      <c r="R30" t="e">
        <f>P30-VLOOKUP(Q30,'Bag weights'!A$2:B$6,2,FALSE)</f>
        <v>#N/A</v>
      </c>
      <c r="U30" t="e">
        <f>S30- VLOOKUP(T30,'Bag weights'!A$2:B$6,2,FALSE)</f>
        <v>#N/A</v>
      </c>
      <c r="X30" t="e">
        <f>V30-VLOOKUP(W30,'Bag weights'!A$2:B$6,2,FALSE)</f>
        <v>#N/A</v>
      </c>
      <c r="AA30" t="e">
        <f>Y30-VLOOKUP(Z30,'Bag weights'!A$2:B$6,2,FALSE)</f>
        <v>#N/A</v>
      </c>
      <c r="AD30" t="e">
        <f>AB30-VLOOKUP(AC30,'Bag weights'!A$2:B$6,2,FALSE)</f>
        <v>#N/A</v>
      </c>
      <c r="AG30" t="e">
        <f>AE30-VLOOKUP(AF30,'Bag weights'!A$2:B$6,2,FALSE)</f>
        <v>#N/A</v>
      </c>
      <c r="AJ30" t="e">
        <f>AH30-VLOOKUP(AI30,'Bag weights'!A$2:B$6,2,FALSE)</f>
        <v>#N/A</v>
      </c>
      <c r="AM30" t="e">
        <f>AK30-VLOOKUP(AL30,'Bag weights'!A$2:B$6,2,FALSE)</f>
        <v>#N/A</v>
      </c>
      <c r="AP30" t="e">
        <f>AN30-VLOOKUP(AO30,'Bag weights'!A$2:B$6,2,FALSE)</f>
        <v>#N/A</v>
      </c>
      <c r="AS30" t="e">
        <f>AQ30-VLOOKUP(AR30,'Bag weights'!A$2:B$6,2,FALSE)</f>
        <v>#N/A</v>
      </c>
      <c r="AT30" s="28">
        <v>89.31</v>
      </c>
      <c r="AU30" s="28" t="s">
        <v>284</v>
      </c>
      <c r="AV30">
        <f>AT31-VLOOKUP(AU31,'Bag weights'!A$2:B$6,2,FALSE)</f>
        <v>71.16</v>
      </c>
      <c r="AW30" t="e">
        <f t="shared" si="0"/>
        <v>#N/A</v>
      </c>
      <c r="BC30" s="92">
        <v>6.2</v>
      </c>
      <c r="BG30" s="28">
        <v>3.87</v>
      </c>
    </row>
    <row r="31" spans="1:59">
      <c r="A31" s="70"/>
      <c r="B31" s="70"/>
      <c r="C31" s="70">
        <v>2</v>
      </c>
      <c r="D31" s="70" t="s">
        <v>39</v>
      </c>
      <c r="E31" s="13">
        <v>92.11</v>
      </c>
      <c r="F31" s="13" t="s">
        <v>284</v>
      </c>
      <c r="I31" t="e">
        <f>G31-VLOOKUP(H31,'Bag weights'!A$2:B$6,2,FALSE)</f>
        <v>#N/A</v>
      </c>
      <c r="L31" t="e">
        <f>J31-VLOOKUP(K31,'Bag weights'!D$2:E$6,2,FALSE)</f>
        <v>#N/A</v>
      </c>
      <c r="N31" s="95"/>
      <c r="O31" t="e">
        <f>M31-VLOOKUP(N31,'Bag weights'!A$2:B$6,2,FALSE)</f>
        <v>#N/A</v>
      </c>
      <c r="R31" t="e">
        <f>P31-VLOOKUP(Q31,'Bag weights'!A$2:B$6,2,FALSE)</f>
        <v>#N/A</v>
      </c>
      <c r="U31" t="e">
        <f>S31- VLOOKUP(T31,'Bag weights'!A$2:B$6,2,FALSE)</f>
        <v>#N/A</v>
      </c>
      <c r="X31" t="e">
        <f>V31-VLOOKUP(W31,'Bag weights'!A$2:B$6,2,FALSE)</f>
        <v>#N/A</v>
      </c>
      <c r="AA31" t="e">
        <f>Y31-VLOOKUP(Z31,'Bag weights'!A$2:B$6,2,FALSE)</f>
        <v>#N/A</v>
      </c>
      <c r="AD31" t="e">
        <f>AB31-VLOOKUP(AC31,'Bag weights'!A$2:B$6,2,FALSE)</f>
        <v>#N/A</v>
      </c>
      <c r="AG31" t="e">
        <f>AE31-VLOOKUP(AF31,'Bag weights'!A$2:B$6,2,FALSE)</f>
        <v>#N/A</v>
      </c>
      <c r="AJ31" t="e">
        <f>AH31-VLOOKUP(AI31,'Bag weights'!A$2:B$6,2,FALSE)</f>
        <v>#N/A</v>
      </c>
      <c r="AM31" t="e">
        <f>AK31-VLOOKUP(AL31,'Bag weights'!A$2:B$6,2,FALSE)</f>
        <v>#N/A</v>
      </c>
      <c r="AP31" t="e">
        <f>AN31-VLOOKUP(AO31,'Bag weights'!A$2:B$6,2,FALSE)</f>
        <v>#N/A</v>
      </c>
      <c r="AS31" t="e">
        <f>AQ31-VLOOKUP(AR31,'Bag weights'!A$2:B$6,2,FALSE)</f>
        <v>#N/A</v>
      </c>
      <c r="AT31" s="28">
        <v>92.11</v>
      </c>
      <c r="AU31" s="28" t="s">
        <v>284</v>
      </c>
      <c r="AV31" t="e">
        <f>AT32-VLOOKUP(AU32,'Bag weights'!A$2:B$6,2,FALSE)</f>
        <v>#N/A</v>
      </c>
      <c r="AW31" t="e">
        <f t="shared" si="0"/>
        <v>#N/A</v>
      </c>
      <c r="BC31" s="92">
        <v>4.7</v>
      </c>
      <c r="BG31" s="28">
        <v>4</v>
      </c>
    </row>
    <row r="32" spans="1:59">
      <c r="A32" s="70"/>
      <c r="B32" s="70"/>
      <c r="C32" s="70">
        <v>2</v>
      </c>
      <c r="D32" s="70" t="s">
        <v>97</v>
      </c>
      <c r="E32" s="13">
        <v>86.82</v>
      </c>
      <c r="F32" s="13" t="s">
        <v>292</v>
      </c>
      <c r="I32" t="e">
        <f>G32-VLOOKUP(H32,'Bag weights'!A$2:B$6,2,FALSE)</f>
        <v>#N/A</v>
      </c>
      <c r="L32" t="e">
        <f>J32-VLOOKUP(K32,'Bag weights'!D$2:E$6,2,FALSE)</f>
        <v>#N/A</v>
      </c>
      <c r="N32" s="95"/>
      <c r="O32" t="e">
        <f>M32-VLOOKUP(N32,'Bag weights'!A$2:B$6,2,FALSE)</f>
        <v>#N/A</v>
      </c>
      <c r="R32" t="e">
        <f>P32-VLOOKUP(Q32,'Bag weights'!A$2:B$6,2,FALSE)</f>
        <v>#N/A</v>
      </c>
      <c r="U32" t="e">
        <f>S32- VLOOKUP(T32,'Bag weights'!A$2:B$6,2,FALSE)</f>
        <v>#N/A</v>
      </c>
      <c r="X32" t="e">
        <f>V32-VLOOKUP(W32,'Bag weights'!A$2:B$6,2,FALSE)</f>
        <v>#N/A</v>
      </c>
      <c r="AA32" t="e">
        <f>Y32-VLOOKUP(Z32,'Bag weights'!A$2:B$6,2,FALSE)</f>
        <v>#N/A</v>
      </c>
      <c r="AD32" t="e">
        <f>AB32-VLOOKUP(AC32,'Bag weights'!A$2:B$6,2,FALSE)</f>
        <v>#N/A</v>
      </c>
      <c r="AG32" t="e">
        <f>AE32-VLOOKUP(AF32,'Bag weights'!A$2:B$6,2,FALSE)</f>
        <v>#N/A</v>
      </c>
      <c r="AJ32" t="e">
        <f>AH32-VLOOKUP(AI32,'Bag weights'!A$2:B$6,2,FALSE)</f>
        <v>#N/A</v>
      </c>
      <c r="AM32" t="e">
        <f>AK32-VLOOKUP(AL32,'Bag weights'!A$2:B$6,2,FALSE)</f>
        <v>#N/A</v>
      </c>
      <c r="AP32" t="e">
        <f>AN32-VLOOKUP(AO32,'Bag weights'!A$2:B$6,2,FALSE)</f>
        <v>#N/A</v>
      </c>
      <c r="AS32" t="e">
        <f>AQ32-VLOOKUP(AR32,'Bag weights'!A$2:B$6,2,FALSE)</f>
        <v>#N/A</v>
      </c>
      <c r="AT32" s="28">
        <v>86.82</v>
      </c>
      <c r="AU32" s="28" t="s">
        <v>292</v>
      </c>
      <c r="AV32" t="e">
        <f>AT33-VLOOKUP(AU33,'Bag weights'!A$2:B$6,2,FALSE)</f>
        <v>#N/A</v>
      </c>
      <c r="AW32" t="e">
        <f t="shared" si="0"/>
        <v>#N/A</v>
      </c>
      <c r="BC32" s="92">
        <v>13</v>
      </c>
      <c r="BG32" s="28">
        <v>3.51</v>
      </c>
    </row>
    <row r="33" spans="1:59">
      <c r="A33" s="70"/>
      <c r="B33" s="70"/>
      <c r="C33" s="70">
        <v>3</v>
      </c>
      <c r="D33" s="70" t="s">
        <v>94</v>
      </c>
      <c r="E33" s="13">
        <v>128.41</v>
      </c>
      <c r="F33" s="13" t="s">
        <v>292</v>
      </c>
      <c r="I33" t="e">
        <f>G33-VLOOKUP(H33,'Bag weights'!A$2:B$6,2,FALSE)</f>
        <v>#N/A</v>
      </c>
      <c r="L33" t="e">
        <f>J33-VLOOKUP(K33,'Bag weights'!D$2:E$6,2,FALSE)</f>
        <v>#N/A</v>
      </c>
      <c r="N33" s="95"/>
      <c r="O33" t="e">
        <f>M33-VLOOKUP(N33,'Bag weights'!A$2:B$6,2,FALSE)</f>
        <v>#N/A</v>
      </c>
      <c r="R33" t="e">
        <f>P33-VLOOKUP(Q33,'Bag weights'!A$2:B$6,2,FALSE)</f>
        <v>#N/A</v>
      </c>
      <c r="U33" t="e">
        <f>S33- VLOOKUP(T33,'Bag weights'!A$2:B$6,2,FALSE)</f>
        <v>#N/A</v>
      </c>
      <c r="X33" t="e">
        <f>V33-VLOOKUP(W33,'Bag weights'!A$2:B$6,2,FALSE)</f>
        <v>#N/A</v>
      </c>
      <c r="AA33" t="e">
        <f>Y33-VLOOKUP(Z33,'Bag weights'!A$2:B$6,2,FALSE)</f>
        <v>#N/A</v>
      </c>
      <c r="AD33" t="e">
        <f>AB33-VLOOKUP(AC33,'Bag weights'!A$2:B$6,2,FALSE)</f>
        <v>#N/A</v>
      </c>
      <c r="AG33" t="e">
        <f>AE33-VLOOKUP(AF33,'Bag weights'!A$2:B$6,2,FALSE)</f>
        <v>#N/A</v>
      </c>
      <c r="AJ33" t="e">
        <f>AH33-VLOOKUP(AI33,'Bag weights'!A$2:B$6,2,FALSE)</f>
        <v>#N/A</v>
      </c>
      <c r="AM33" t="e">
        <f>AK33-VLOOKUP(AL33,'Bag weights'!A$2:B$6,2,FALSE)</f>
        <v>#N/A</v>
      </c>
      <c r="AP33" t="e">
        <f>AN33-VLOOKUP(AO33,'Bag weights'!A$2:B$6,2,FALSE)</f>
        <v>#N/A</v>
      </c>
      <c r="AS33" t="e">
        <f>AQ33-VLOOKUP(AR33,'Bag weights'!A$2:B$6,2,FALSE)</f>
        <v>#N/A</v>
      </c>
      <c r="AT33" s="28">
        <v>128.13999999999999</v>
      </c>
      <c r="AU33" s="28" t="s">
        <v>292</v>
      </c>
      <c r="AV33" t="e">
        <f>AT34-VLOOKUP(AU34,'Bag weights'!A$2:B$6,2,FALSE)</f>
        <v>#N/A</v>
      </c>
      <c r="AW33" t="e">
        <f t="shared" si="0"/>
        <v>#N/A</v>
      </c>
      <c r="BC33" s="92">
        <v>10.199999999999999</v>
      </c>
      <c r="BG33" s="28">
        <v>4.62</v>
      </c>
    </row>
    <row r="34" spans="1:59">
      <c r="A34" s="70"/>
      <c r="B34" s="70"/>
      <c r="C34" s="70">
        <v>3</v>
      </c>
      <c r="D34" s="70" t="s">
        <v>95</v>
      </c>
      <c r="E34" s="13">
        <v>87.45</v>
      </c>
      <c r="F34" s="13" t="s">
        <v>292</v>
      </c>
      <c r="I34" t="e">
        <f>G34-VLOOKUP(H34,'Bag weights'!A$2:B$6,2,FALSE)</f>
        <v>#N/A</v>
      </c>
      <c r="L34" t="e">
        <f>J34-VLOOKUP(K34,'Bag weights'!D$2:E$6,2,FALSE)</f>
        <v>#N/A</v>
      </c>
      <c r="N34" s="95"/>
      <c r="O34" t="e">
        <f>M34-VLOOKUP(N34,'Bag weights'!A$2:B$6,2,FALSE)</f>
        <v>#N/A</v>
      </c>
      <c r="R34" t="e">
        <f>P34-VLOOKUP(Q34,'Bag weights'!A$2:B$6,2,FALSE)</f>
        <v>#N/A</v>
      </c>
      <c r="U34" t="e">
        <f>S34- VLOOKUP(T34,'Bag weights'!A$2:B$6,2,FALSE)</f>
        <v>#N/A</v>
      </c>
      <c r="X34" t="e">
        <f>V34-VLOOKUP(W34,'Bag weights'!A$2:B$6,2,FALSE)</f>
        <v>#N/A</v>
      </c>
      <c r="AA34" t="e">
        <f>Y34-VLOOKUP(Z34,'Bag weights'!A$2:B$6,2,FALSE)</f>
        <v>#N/A</v>
      </c>
      <c r="AD34" t="e">
        <f>AB34-VLOOKUP(AC34,'Bag weights'!A$2:B$6,2,FALSE)</f>
        <v>#N/A</v>
      </c>
      <c r="AG34" t="e">
        <f>AE34-VLOOKUP(AF34,'Bag weights'!A$2:B$6,2,FALSE)</f>
        <v>#N/A</v>
      </c>
      <c r="AJ34" t="e">
        <f>AH34-VLOOKUP(AI34,'Bag weights'!A$2:B$6,2,FALSE)</f>
        <v>#N/A</v>
      </c>
      <c r="AM34" t="e">
        <f>AK34-VLOOKUP(AL34,'Bag weights'!A$2:B$6,2,FALSE)</f>
        <v>#N/A</v>
      </c>
      <c r="AP34" t="e">
        <f>AN34-VLOOKUP(AO34,'Bag weights'!A$2:B$6,2,FALSE)</f>
        <v>#N/A</v>
      </c>
      <c r="AS34" t="e">
        <f>AQ34-VLOOKUP(AR34,'Bag weights'!A$2:B$6,2,FALSE)</f>
        <v>#N/A</v>
      </c>
      <c r="AT34" s="28">
        <v>87.45</v>
      </c>
      <c r="AU34" s="28" t="s">
        <v>292</v>
      </c>
      <c r="AV34" t="e">
        <f>AT35-VLOOKUP(AU35,'Bag weights'!A$2:B$6,2,FALSE)</f>
        <v>#N/A</v>
      </c>
      <c r="AW34" t="e">
        <f t="shared" si="0"/>
        <v>#N/A</v>
      </c>
      <c r="BC34" s="92">
        <v>2.8</v>
      </c>
      <c r="BG34" s="28">
        <v>3.06</v>
      </c>
    </row>
    <row r="35" spans="1:59">
      <c r="A35" s="70"/>
      <c r="B35" s="70"/>
      <c r="C35" s="70">
        <v>3</v>
      </c>
      <c r="D35" s="70" t="s">
        <v>96</v>
      </c>
      <c r="E35" s="13">
        <v>103.7</v>
      </c>
      <c r="F35" s="13" t="s">
        <v>292</v>
      </c>
      <c r="I35" t="e">
        <f>G35-VLOOKUP(H35,'Bag weights'!A$2:B$6,2,FALSE)</f>
        <v>#N/A</v>
      </c>
      <c r="L35" t="e">
        <f>J35-VLOOKUP(K35,'Bag weights'!D$2:E$6,2,FALSE)</f>
        <v>#N/A</v>
      </c>
      <c r="N35" s="95"/>
      <c r="O35" t="e">
        <f>M35-VLOOKUP(N35,'Bag weights'!A$2:B$6,2,FALSE)</f>
        <v>#N/A</v>
      </c>
      <c r="R35" t="e">
        <f>P35-VLOOKUP(Q35,'Bag weights'!A$2:B$6,2,FALSE)</f>
        <v>#N/A</v>
      </c>
      <c r="U35" t="e">
        <f>S35- VLOOKUP(T35,'Bag weights'!A$2:B$6,2,FALSE)</f>
        <v>#N/A</v>
      </c>
      <c r="X35" t="e">
        <f>V35-VLOOKUP(W35,'Bag weights'!A$2:B$6,2,FALSE)</f>
        <v>#N/A</v>
      </c>
      <c r="AA35" t="e">
        <f>Y35-VLOOKUP(Z35,'Bag weights'!A$2:B$6,2,FALSE)</f>
        <v>#N/A</v>
      </c>
      <c r="AD35" t="e">
        <f>AB35-VLOOKUP(AC35,'Bag weights'!A$2:B$6,2,FALSE)</f>
        <v>#N/A</v>
      </c>
      <c r="AG35" t="e">
        <f>AE35-VLOOKUP(AF35,'Bag weights'!A$2:B$6,2,FALSE)</f>
        <v>#N/A</v>
      </c>
      <c r="AJ35" t="e">
        <f>AH35-VLOOKUP(AI35,'Bag weights'!A$2:B$6,2,FALSE)</f>
        <v>#N/A</v>
      </c>
      <c r="AM35" t="e">
        <f>AK35-VLOOKUP(AL35,'Bag weights'!A$2:B$6,2,FALSE)</f>
        <v>#N/A</v>
      </c>
      <c r="AP35" t="e">
        <f>AN35-VLOOKUP(AO35,'Bag weights'!A$2:B$6,2,FALSE)</f>
        <v>#N/A</v>
      </c>
      <c r="AS35" t="e">
        <f>AQ35-VLOOKUP(AR35,'Bag weights'!A$2:B$6,2,FALSE)</f>
        <v>#N/A</v>
      </c>
      <c r="AT35" s="28">
        <v>103.76</v>
      </c>
      <c r="AU35" s="28" t="s">
        <v>292</v>
      </c>
      <c r="AV35" t="e">
        <f>AT36-VLOOKUP(AU36,'Bag weights'!A$2:B$6,2,FALSE)</f>
        <v>#N/A</v>
      </c>
      <c r="AW35" t="e">
        <f t="shared" si="0"/>
        <v>#N/A</v>
      </c>
      <c r="BC35" s="92">
        <v>7.8</v>
      </c>
      <c r="BG35" s="28">
        <v>4.33</v>
      </c>
    </row>
    <row r="36" spans="1:59">
      <c r="A36" s="70"/>
      <c r="B36" s="70"/>
      <c r="C36" s="70">
        <v>3</v>
      </c>
      <c r="D36" s="70" t="s">
        <v>39</v>
      </c>
      <c r="E36" s="13">
        <v>104.54</v>
      </c>
      <c r="F36" s="13" t="s">
        <v>292</v>
      </c>
      <c r="I36" t="e">
        <f>G36-VLOOKUP(H36,'Bag weights'!A$2:B$6,2,FALSE)</f>
        <v>#N/A</v>
      </c>
      <c r="L36" t="e">
        <f>J36-VLOOKUP(K36,'Bag weights'!D$2:E$6,2,FALSE)</f>
        <v>#N/A</v>
      </c>
      <c r="N36" s="95"/>
      <c r="O36" t="e">
        <f>M36-VLOOKUP(N36,'Bag weights'!A$2:B$6,2,FALSE)</f>
        <v>#N/A</v>
      </c>
      <c r="R36" t="e">
        <f>P36-VLOOKUP(Q36,'Bag weights'!A$2:B$6,2,FALSE)</f>
        <v>#N/A</v>
      </c>
      <c r="U36" t="e">
        <f>S36- VLOOKUP(T36,'Bag weights'!A$2:B$6,2,FALSE)</f>
        <v>#N/A</v>
      </c>
      <c r="X36" t="e">
        <f>V36-VLOOKUP(W36,'Bag weights'!A$2:B$6,2,FALSE)</f>
        <v>#N/A</v>
      </c>
      <c r="AA36" t="e">
        <f>Y36-VLOOKUP(Z36,'Bag weights'!A$2:B$6,2,FALSE)</f>
        <v>#N/A</v>
      </c>
      <c r="AD36" t="e">
        <f>AB36-VLOOKUP(AC36,'Bag weights'!A$2:B$6,2,FALSE)</f>
        <v>#N/A</v>
      </c>
      <c r="AG36" t="e">
        <f>AE36-VLOOKUP(AF36,'Bag weights'!A$2:B$6,2,FALSE)</f>
        <v>#N/A</v>
      </c>
      <c r="AJ36" t="e">
        <f>AH36-VLOOKUP(AI36,'Bag weights'!A$2:B$6,2,FALSE)</f>
        <v>#N/A</v>
      </c>
      <c r="AM36" t="e">
        <f>AK36-VLOOKUP(AL36,'Bag weights'!A$2:B$6,2,FALSE)</f>
        <v>#N/A</v>
      </c>
      <c r="AP36" t="e">
        <f>AN36-VLOOKUP(AO36,'Bag weights'!A$2:B$6,2,FALSE)</f>
        <v>#N/A</v>
      </c>
      <c r="AS36" t="e">
        <f>AQ36-VLOOKUP(AR36,'Bag weights'!A$2:B$6,2,FALSE)</f>
        <v>#N/A</v>
      </c>
      <c r="AT36" s="28">
        <v>104.54</v>
      </c>
      <c r="AU36" s="28" t="s">
        <v>292</v>
      </c>
      <c r="AV36" t="e">
        <f>AT37-VLOOKUP(AU37,'Bag weights'!A$2:B$6,2,FALSE)</f>
        <v>#N/A</v>
      </c>
      <c r="AW36" t="e">
        <f t="shared" si="0"/>
        <v>#N/A</v>
      </c>
      <c r="BC36" s="92">
        <v>14.4</v>
      </c>
      <c r="BG36" s="28">
        <v>3.71</v>
      </c>
    </row>
    <row r="37" spans="1:59">
      <c r="A37" s="70"/>
      <c r="B37" s="70"/>
      <c r="C37" s="70">
        <v>3</v>
      </c>
      <c r="D37" s="70" t="s">
        <v>97</v>
      </c>
      <c r="E37" s="13">
        <v>101.57</v>
      </c>
      <c r="F37" s="13" t="s">
        <v>292</v>
      </c>
      <c r="I37" t="e">
        <f>G37-VLOOKUP(H37,'Bag weights'!A$2:B$6,2,FALSE)</f>
        <v>#N/A</v>
      </c>
      <c r="L37" t="e">
        <f>J37-VLOOKUP(K37,'Bag weights'!D$2:E$6,2,FALSE)</f>
        <v>#N/A</v>
      </c>
      <c r="N37" s="95"/>
      <c r="O37" t="e">
        <f>M37-VLOOKUP(N37,'Bag weights'!A$2:B$6,2,FALSE)</f>
        <v>#N/A</v>
      </c>
      <c r="R37" t="e">
        <f>P37-VLOOKUP(Q37,'Bag weights'!A$2:B$6,2,FALSE)</f>
        <v>#N/A</v>
      </c>
      <c r="U37" t="e">
        <f>S37- VLOOKUP(T37,'Bag weights'!A$2:B$6,2,FALSE)</f>
        <v>#N/A</v>
      </c>
      <c r="X37" t="e">
        <f>V37-VLOOKUP(W37,'Bag weights'!A$2:B$6,2,FALSE)</f>
        <v>#N/A</v>
      </c>
      <c r="AA37" t="e">
        <f>Y37-VLOOKUP(Z37,'Bag weights'!A$2:B$6,2,FALSE)</f>
        <v>#N/A</v>
      </c>
      <c r="AD37" t="e">
        <f>AB37-VLOOKUP(AC37,'Bag weights'!A$2:B$6,2,FALSE)</f>
        <v>#N/A</v>
      </c>
      <c r="AG37" t="e">
        <f>AE37-VLOOKUP(AF37,'Bag weights'!A$2:B$6,2,FALSE)</f>
        <v>#N/A</v>
      </c>
      <c r="AJ37" t="e">
        <f>AH37-VLOOKUP(AI37,'Bag weights'!A$2:B$6,2,FALSE)</f>
        <v>#N/A</v>
      </c>
      <c r="AM37" t="e">
        <f>AK37-VLOOKUP(AL37,'Bag weights'!A$2:B$6,2,FALSE)</f>
        <v>#N/A</v>
      </c>
      <c r="AP37" t="e">
        <f>AN37-VLOOKUP(AO37,'Bag weights'!A$2:B$6,2,FALSE)</f>
        <v>#N/A</v>
      </c>
      <c r="AS37" t="e">
        <f>AQ37-VLOOKUP(AR37,'Bag weights'!A$2:B$6,2,FALSE)</f>
        <v>#N/A</v>
      </c>
      <c r="AT37" s="28">
        <v>101.57</v>
      </c>
      <c r="AU37" s="28" t="s">
        <v>292</v>
      </c>
      <c r="AV37" t="e">
        <f>AT38-VLOOKUP(AU38,'Bag weights'!A$2:B$6,2,FALSE)</f>
        <v>#N/A</v>
      </c>
      <c r="AW37" t="e">
        <f t="shared" si="0"/>
        <v>#N/A</v>
      </c>
      <c r="BC37" s="92">
        <v>8.1</v>
      </c>
      <c r="BG37" s="28">
        <v>3.9</v>
      </c>
    </row>
    <row r="38" spans="1:59">
      <c r="A38" s="70"/>
      <c r="B38" s="70"/>
      <c r="C38" s="70">
        <v>4</v>
      </c>
      <c r="D38" s="70" t="s">
        <v>94</v>
      </c>
      <c r="E38" s="13">
        <v>94.35</v>
      </c>
      <c r="F38" s="13" t="s">
        <v>292</v>
      </c>
      <c r="I38" t="e">
        <f>G38-VLOOKUP(H38,'Bag weights'!A$2:B$6,2,FALSE)</f>
        <v>#N/A</v>
      </c>
      <c r="L38" t="e">
        <f>J38-VLOOKUP(K38,'Bag weights'!D$2:E$6,2,FALSE)</f>
        <v>#N/A</v>
      </c>
      <c r="N38" s="95"/>
      <c r="O38" t="e">
        <f>M38-VLOOKUP(N38,'Bag weights'!A$2:B$6,2,FALSE)</f>
        <v>#N/A</v>
      </c>
      <c r="R38" t="e">
        <f>P38-VLOOKUP(Q38,'Bag weights'!A$2:B$6,2,FALSE)</f>
        <v>#N/A</v>
      </c>
      <c r="U38" t="e">
        <f>S38- VLOOKUP(T38,'Bag weights'!A$2:B$6,2,FALSE)</f>
        <v>#N/A</v>
      </c>
      <c r="X38" t="e">
        <f>V38-VLOOKUP(W38,'Bag weights'!A$2:B$6,2,FALSE)</f>
        <v>#N/A</v>
      </c>
      <c r="AA38" t="e">
        <f>Y38-VLOOKUP(Z38,'Bag weights'!A$2:B$6,2,FALSE)</f>
        <v>#N/A</v>
      </c>
      <c r="AD38" t="e">
        <f>AB38-VLOOKUP(AC38,'Bag weights'!A$2:B$6,2,FALSE)</f>
        <v>#N/A</v>
      </c>
      <c r="AG38" t="e">
        <f>AE38-VLOOKUP(AF38,'Bag weights'!A$2:B$6,2,FALSE)</f>
        <v>#N/A</v>
      </c>
      <c r="AJ38" t="e">
        <f>AH38-VLOOKUP(AI38,'Bag weights'!A$2:B$6,2,FALSE)</f>
        <v>#N/A</v>
      </c>
      <c r="AM38" t="e">
        <f>AK38-VLOOKUP(AL38,'Bag weights'!A$2:B$6,2,FALSE)</f>
        <v>#N/A</v>
      </c>
      <c r="AP38" t="e">
        <f>AN38-VLOOKUP(AO38,'Bag weights'!A$2:B$6,2,FALSE)</f>
        <v>#N/A</v>
      </c>
      <c r="AS38" t="e">
        <f>AQ38-VLOOKUP(AR38,'Bag weights'!A$2:B$6,2,FALSE)</f>
        <v>#N/A</v>
      </c>
      <c r="AT38" s="28">
        <v>94.35</v>
      </c>
      <c r="AU38" s="28" t="s">
        <v>292</v>
      </c>
      <c r="AV38" t="e">
        <f>AT39-VLOOKUP(AU39,'Bag weights'!A$2:B$6,2,FALSE)</f>
        <v>#N/A</v>
      </c>
      <c r="AW38" t="e">
        <f t="shared" si="0"/>
        <v>#N/A</v>
      </c>
      <c r="BC38" s="92">
        <v>4.3</v>
      </c>
      <c r="BG38" s="28">
        <v>4.58</v>
      </c>
    </row>
    <row r="39" spans="1:59">
      <c r="A39" s="70"/>
      <c r="B39" s="70"/>
      <c r="C39" s="70">
        <v>4</v>
      </c>
      <c r="D39" s="70" t="s">
        <v>95</v>
      </c>
      <c r="E39" s="13">
        <v>107.64</v>
      </c>
      <c r="F39" s="13" t="s">
        <v>292</v>
      </c>
      <c r="I39" t="e">
        <f>G39-VLOOKUP(H39,'Bag weights'!A$2:B$6,2,FALSE)</f>
        <v>#N/A</v>
      </c>
      <c r="L39" t="e">
        <f>J39-VLOOKUP(K39,'Bag weights'!D$2:E$6,2,FALSE)</f>
        <v>#N/A</v>
      </c>
      <c r="N39" s="95"/>
      <c r="O39" t="e">
        <f>M39-VLOOKUP(N39,'Bag weights'!A$2:B$6,2,FALSE)</f>
        <v>#N/A</v>
      </c>
      <c r="R39" t="e">
        <f>P39-VLOOKUP(Q39,'Bag weights'!A$2:B$6,2,FALSE)</f>
        <v>#N/A</v>
      </c>
      <c r="U39" t="e">
        <f>S39- VLOOKUP(T39,'Bag weights'!A$2:B$6,2,FALSE)</f>
        <v>#N/A</v>
      </c>
      <c r="X39" t="e">
        <f>V39-VLOOKUP(W39,'Bag weights'!A$2:B$6,2,FALSE)</f>
        <v>#N/A</v>
      </c>
      <c r="AA39" t="e">
        <f>Y39-VLOOKUP(Z39,'Bag weights'!A$2:B$6,2,FALSE)</f>
        <v>#N/A</v>
      </c>
      <c r="AD39" t="e">
        <f>AB39-VLOOKUP(AC39,'Bag weights'!A$2:B$6,2,FALSE)</f>
        <v>#N/A</v>
      </c>
      <c r="AG39" t="e">
        <f>AE39-VLOOKUP(AF39,'Bag weights'!A$2:B$6,2,FALSE)</f>
        <v>#N/A</v>
      </c>
      <c r="AJ39" t="e">
        <f>AH39-VLOOKUP(AI39,'Bag weights'!A$2:B$6,2,FALSE)</f>
        <v>#N/A</v>
      </c>
      <c r="AM39" t="e">
        <f>AK39-VLOOKUP(AL39,'Bag weights'!A$2:B$6,2,FALSE)</f>
        <v>#N/A</v>
      </c>
      <c r="AP39" t="e">
        <f>AN39-VLOOKUP(AO39,'Bag weights'!A$2:B$6,2,FALSE)</f>
        <v>#N/A</v>
      </c>
      <c r="AS39" t="e">
        <f>AQ39-VLOOKUP(AR39,'Bag weights'!A$2:B$6,2,FALSE)</f>
        <v>#N/A</v>
      </c>
      <c r="AT39" s="28">
        <v>107.64</v>
      </c>
      <c r="AU39" s="28" t="s">
        <v>292</v>
      </c>
      <c r="AV39" t="e">
        <f>AT40-VLOOKUP(AU40,'Bag weights'!A$2:B$6,2,FALSE)</f>
        <v>#N/A</v>
      </c>
      <c r="AW39" t="e">
        <f t="shared" si="0"/>
        <v>#N/A</v>
      </c>
      <c r="BC39" s="92">
        <v>34.200000000000003</v>
      </c>
      <c r="BG39" s="28">
        <v>4.95</v>
      </c>
    </row>
    <row r="40" spans="1:59">
      <c r="A40" s="70"/>
      <c r="B40" s="70"/>
      <c r="C40" s="70">
        <v>4</v>
      </c>
      <c r="D40" s="70" t="s">
        <v>96</v>
      </c>
      <c r="E40" s="13">
        <v>94</v>
      </c>
      <c r="F40" s="13" t="s">
        <v>292</v>
      </c>
      <c r="I40" t="e">
        <f>G40-VLOOKUP(H40,'Bag weights'!A$2:B$6,2,FALSE)</f>
        <v>#N/A</v>
      </c>
      <c r="L40" t="e">
        <f>J40-VLOOKUP(K40,'Bag weights'!D$2:E$6,2,FALSE)</f>
        <v>#N/A</v>
      </c>
      <c r="N40" s="95"/>
      <c r="O40" t="e">
        <f>M40-VLOOKUP(N40,'Bag weights'!A$2:B$6,2,FALSE)</f>
        <v>#N/A</v>
      </c>
      <c r="R40" t="e">
        <f>P40-VLOOKUP(Q40,'Bag weights'!A$2:B$6,2,FALSE)</f>
        <v>#N/A</v>
      </c>
      <c r="U40" t="e">
        <f>S40- VLOOKUP(T40,'Bag weights'!A$2:B$6,2,FALSE)</f>
        <v>#N/A</v>
      </c>
      <c r="X40" t="e">
        <f>V40-VLOOKUP(W40,'Bag weights'!A$2:B$6,2,FALSE)</f>
        <v>#N/A</v>
      </c>
      <c r="AA40" t="e">
        <f>Y40-VLOOKUP(Z40,'Bag weights'!A$2:B$6,2,FALSE)</f>
        <v>#N/A</v>
      </c>
      <c r="AD40" t="e">
        <f>AB40-VLOOKUP(AC40,'Bag weights'!A$2:B$6,2,FALSE)</f>
        <v>#N/A</v>
      </c>
      <c r="AG40" t="e">
        <f>AE40-VLOOKUP(AF40,'Bag weights'!A$2:B$6,2,FALSE)</f>
        <v>#N/A</v>
      </c>
      <c r="AJ40" t="e">
        <f>AH40-VLOOKUP(AI40,'Bag weights'!A$2:B$6,2,FALSE)</f>
        <v>#N/A</v>
      </c>
      <c r="AM40" t="e">
        <f>AK40-VLOOKUP(AL40,'Bag weights'!A$2:B$6,2,FALSE)</f>
        <v>#N/A</v>
      </c>
      <c r="AP40" t="e">
        <f>AN40-VLOOKUP(AO40,'Bag weights'!A$2:B$6,2,FALSE)</f>
        <v>#N/A</v>
      </c>
      <c r="AS40" t="e">
        <f>AQ40-VLOOKUP(AR40,'Bag weights'!A$2:B$6,2,FALSE)</f>
        <v>#N/A</v>
      </c>
      <c r="AT40" s="28">
        <v>94</v>
      </c>
      <c r="AU40" s="28" t="s">
        <v>292</v>
      </c>
      <c r="AV40" t="e">
        <f>AT41-VLOOKUP(AU41,'Bag weights'!A$2:B$6,2,FALSE)</f>
        <v>#N/A</v>
      </c>
      <c r="AW40" t="e">
        <f t="shared" si="0"/>
        <v>#N/A</v>
      </c>
      <c r="BC40" s="92">
        <v>5.0999999999999996</v>
      </c>
      <c r="BG40" s="28">
        <v>5.49</v>
      </c>
    </row>
    <row r="41" spans="1:59">
      <c r="A41" s="70"/>
      <c r="B41" s="70"/>
      <c r="C41" s="70">
        <v>4</v>
      </c>
      <c r="D41" s="70" t="s">
        <v>39</v>
      </c>
      <c r="E41" s="13">
        <v>92.38</v>
      </c>
      <c r="F41" s="13" t="s">
        <v>292</v>
      </c>
      <c r="I41" t="e">
        <f>G41-VLOOKUP(H41,'Bag weights'!A$2:B$6,2,FALSE)</f>
        <v>#N/A</v>
      </c>
      <c r="L41" t="e">
        <f>J41-VLOOKUP(K41,'Bag weights'!D$2:E$6,2,FALSE)</f>
        <v>#N/A</v>
      </c>
      <c r="N41" s="95"/>
      <c r="O41" t="e">
        <f>M41-VLOOKUP(N41,'Bag weights'!A$2:B$6,2,FALSE)</f>
        <v>#N/A</v>
      </c>
      <c r="R41" t="e">
        <f>P41-VLOOKUP(Q41,'Bag weights'!A$2:B$6,2,FALSE)</f>
        <v>#N/A</v>
      </c>
      <c r="U41" t="e">
        <f>S41- VLOOKUP(T41,'Bag weights'!A$2:B$6,2,FALSE)</f>
        <v>#N/A</v>
      </c>
      <c r="X41" t="e">
        <f>V41-VLOOKUP(W41,'Bag weights'!A$2:B$6,2,FALSE)</f>
        <v>#N/A</v>
      </c>
      <c r="AA41" t="e">
        <f>Y41-VLOOKUP(Z41,'Bag weights'!A$2:B$6,2,FALSE)</f>
        <v>#N/A</v>
      </c>
      <c r="AD41" t="e">
        <f>AB41-VLOOKUP(AC41,'Bag weights'!A$2:B$6,2,FALSE)</f>
        <v>#N/A</v>
      </c>
      <c r="AG41" t="e">
        <f>AE41-VLOOKUP(AF41,'Bag weights'!A$2:B$6,2,FALSE)</f>
        <v>#N/A</v>
      </c>
      <c r="AJ41" t="e">
        <f>AH41-VLOOKUP(AI41,'Bag weights'!A$2:B$6,2,FALSE)</f>
        <v>#N/A</v>
      </c>
      <c r="AM41" t="e">
        <f>AK41-VLOOKUP(AL41,'Bag weights'!A$2:B$6,2,FALSE)</f>
        <v>#N/A</v>
      </c>
      <c r="AP41" t="e">
        <f>AN41-VLOOKUP(AO41,'Bag weights'!A$2:B$6,2,FALSE)</f>
        <v>#N/A</v>
      </c>
      <c r="AS41" t="e">
        <f>AQ41-VLOOKUP(AR41,'Bag weights'!A$2:B$6,2,FALSE)</f>
        <v>#N/A</v>
      </c>
      <c r="AT41" s="28">
        <v>92.38</v>
      </c>
      <c r="AU41" s="28" t="s">
        <v>292</v>
      </c>
      <c r="AV41" t="e">
        <f>AT42-VLOOKUP(AU42,'Bag weights'!A$2:B$6,2,FALSE)</f>
        <v>#N/A</v>
      </c>
      <c r="AW41" t="e">
        <f t="shared" si="0"/>
        <v>#N/A</v>
      </c>
      <c r="BC41" s="92">
        <v>9.4</v>
      </c>
      <c r="BG41" s="28">
        <v>3.14</v>
      </c>
    </row>
    <row r="42" spans="1:59">
      <c r="A42" s="70"/>
      <c r="B42" s="70"/>
      <c r="C42" s="70">
        <v>4</v>
      </c>
      <c r="D42" s="70" t="s">
        <v>97</v>
      </c>
      <c r="E42" s="13">
        <v>94.41</v>
      </c>
      <c r="F42" s="1"/>
      <c r="I42" t="e">
        <f>G42-VLOOKUP(H42,'Bag weights'!A$2:B$6,2,FALSE)</f>
        <v>#N/A</v>
      </c>
      <c r="L42" t="e">
        <f>J42-VLOOKUP(K42,'Bag weights'!D$2:E$6,2,FALSE)</f>
        <v>#N/A</v>
      </c>
      <c r="N42" s="95"/>
      <c r="O42" t="e">
        <f>M42-VLOOKUP(N42,'Bag weights'!A$2:B$6,2,FALSE)</f>
        <v>#N/A</v>
      </c>
      <c r="R42" t="e">
        <f>P42-VLOOKUP(Q42,'Bag weights'!A$2:B$6,2,FALSE)</f>
        <v>#N/A</v>
      </c>
      <c r="U42" t="e">
        <f>S42- VLOOKUP(T42,'Bag weights'!A$2:B$6,2,FALSE)</f>
        <v>#N/A</v>
      </c>
      <c r="X42" t="e">
        <f>V42-VLOOKUP(W42,'Bag weights'!A$2:B$6,2,FALSE)</f>
        <v>#N/A</v>
      </c>
      <c r="AA42" t="e">
        <f>Y42-VLOOKUP(Z42,'Bag weights'!A$2:B$6,2,FALSE)</f>
        <v>#N/A</v>
      </c>
      <c r="AD42" t="e">
        <f>AB42-VLOOKUP(AC42,'Bag weights'!A$2:B$6,2,FALSE)</f>
        <v>#N/A</v>
      </c>
      <c r="AG42" t="e">
        <f>AE42-VLOOKUP(AF42,'Bag weights'!A$2:B$6,2,FALSE)</f>
        <v>#N/A</v>
      </c>
      <c r="AJ42" t="e">
        <f>AH42-VLOOKUP(AI42,'Bag weights'!A$2:B$6,2,FALSE)</f>
        <v>#N/A</v>
      </c>
      <c r="AM42" t="e">
        <f>AK42-VLOOKUP(AL42,'Bag weights'!A$2:B$6,2,FALSE)</f>
        <v>#N/A</v>
      </c>
      <c r="AP42" t="e">
        <f>AN42-VLOOKUP(AO42,'Bag weights'!A$2:B$6,2,FALSE)</f>
        <v>#N/A</v>
      </c>
      <c r="AS42" t="e">
        <f>AQ42-VLOOKUP(AR42,'Bag weights'!A$2:B$6,2,FALSE)</f>
        <v>#N/A</v>
      </c>
      <c r="AT42" s="28">
        <v>94.41</v>
      </c>
      <c r="AU42" s="28" t="s">
        <v>292</v>
      </c>
      <c r="AV42" t="e">
        <f>AT42-VLOOKUP(AU42,'Bag weights'!A$2:B$6,2,FALSE)</f>
        <v>#N/A</v>
      </c>
      <c r="AW42" t="e">
        <f t="shared" si="0"/>
        <v>#N/A</v>
      </c>
      <c r="BC42" s="92">
        <v>11.8</v>
      </c>
      <c r="BG42" s="28">
        <v>4.5199999999999996</v>
      </c>
    </row>
    <row r="43" spans="1:59">
      <c r="A43" s="70" t="s">
        <v>37</v>
      </c>
      <c r="B43" s="70" t="s">
        <v>85</v>
      </c>
      <c r="C43" s="70">
        <v>1</v>
      </c>
      <c r="D43" s="70" t="s">
        <v>94</v>
      </c>
      <c r="E43" s="13">
        <v>114.1</v>
      </c>
      <c r="F43" s="13" t="s">
        <v>284</v>
      </c>
      <c r="I43" t="e">
        <f>G43-VLOOKUP(H43,'Bag weights'!A$2:B$6,2,FALSE)</f>
        <v>#N/A</v>
      </c>
      <c r="L43" t="e">
        <f>J43-VLOOKUP(K43,'Bag weights'!D$2:E$6,2,FALSE)</f>
        <v>#N/A</v>
      </c>
      <c r="N43" s="95"/>
      <c r="O43" t="e">
        <f>M43-VLOOKUP(N43,'Bag weights'!A$2:B$6,2,FALSE)</f>
        <v>#N/A</v>
      </c>
      <c r="R43" t="e">
        <f>P43-VLOOKUP(Q43,'Bag weights'!A$2:B$6,2,FALSE)</f>
        <v>#N/A</v>
      </c>
      <c r="U43" t="e">
        <f>S43- VLOOKUP(T43,'Bag weights'!A$2:B$6,2,FALSE)</f>
        <v>#N/A</v>
      </c>
      <c r="X43" t="e">
        <f>V43-VLOOKUP(W43,'Bag weights'!A$2:B$6,2,FALSE)</f>
        <v>#N/A</v>
      </c>
      <c r="AA43" t="e">
        <f>Y43-VLOOKUP(Z43,'Bag weights'!A$2:B$6,2,FALSE)</f>
        <v>#N/A</v>
      </c>
      <c r="AD43" t="e">
        <f>AB43-VLOOKUP(AC43,'Bag weights'!A$2:B$6,2,FALSE)</f>
        <v>#N/A</v>
      </c>
      <c r="AG43" t="e">
        <f>AE43-VLOOKUP(AF43,'Bag weights'!A$2:B$6,2,FALSE)</f>
        <v>#N/A</v>
      </c>
      <c r="AJ43" t="e">
        <f>AH43-VLOOKUP(AI43,'Bag weights'!A$2:B$6,2,FALSE)</f>
        <v>#N/A</v>
      </c>
      <c r="AM43" t="e">
        <f>AK43-VLOOKUP(AL43,'Bag weights'!A$2:B$6,2,FALSE)</f>
        <v>#N/A</v>
      </c>
      <c r="AP43" t="e">
        <f>AN43-VLOOKUP(AO43,'Bag weights'!A$2:B$6,2,FALSE)</f>
        <v>#N/A</v>
      </c>
      <c r="AS43" t="e">
        <f>AQ43-VLOOKUP(AR43,'Bag weights'!A$2:B$6,2,FALSE)</f>
        <v>#N/A</v>
      </c>
      <c r="AV43" t="e">
        <f>AT43-VLOOKUP(AU43,'Bag weights'!A$2:B$6,2,FALSE)</f>
        <v>#N/A</v>
      </c>
      <c r="AW43" t="e">
        <f t="shared" si="0"/>
        <v>#N/A</v>
      </c>
      <c r="BC43" s="92">
        <v>3.7</v>
      </c>
      <c r="BG43" s="28">
        <v>3.54</v>
      </c>
    </row>
    <row r="44" spans="1:59">
      <c r="A44" s="75" t="s">
        <v>291</v>
      </c>
      <c r="B44" s="70"/>
      <c r="C44" s="70">
        <v>1</v>
      </c>
      <c r="D44" s="70" t="s">
        <v>95</v>
      </c>
      <c r="E44" s="13">
        <v>124.54</v>
      </c>
      <c r="F44" s="13" t="s">
        <v>284</v>
      </c>
      <c r="I44" t="e">
        <f>G44-VLOOKUP(H44,'Bag weights'!A$2:B$6,2,FALSE)</f>
        <v>#N/A</v>
      </c>
      <c r="L44" t="e">
        <f>J44-VLOOKUP(K44,'Bag weights'!D$2:E$6,2,FALSE)</f>
        <v>#N/A</v>
      </c>
      <c r="N44" s="95"/>
      <c r="O44" t="e">
        <f>M44-VLOOKUP(N44,'Bag weights'!A$2:B$6,2,FALSE)</f>
        <v>#N/A</v>
      </c>
      <c r="R44" t="e">
        <f>P44-VLOOKUP(Q44,'Bag weights'!A$2:B$6,2,FALSE)</f>
        <v>#N/A</v>
      </c>
      <c r="U44" t="e">
        <f>S44- VLOOKUP(T44,'Bag weights'!A$2:B$6,2,FALSE)</f>
        <v>#N/A</v>
      </c>
      <c r="X44" t="e">
        <f>V44-VLOOKUP(W44,'Bag weights'!A$2:B$6,2,FALSE)</f>
        <v>#N/A</v>
      </c>
      <c r="AA44" t="e">
        <f>Y44-VLOOKUP(Z44,'Bag weights'!A$2:B$6,2,FALSE)</f>
        <v>#N/A</v>
      </c>
      <c r="AD44" t="e">
        <f>AB44-VLOOKUP(AC44,'Bag weights'!A$2:B$6,2,FALSE)</f>
        <v>#N/A</v>
      </c>
      <c r="AG44" t="e">
        <f>AE44-VLOOKUP(AF44,'Bag weights'!A$2:B$6,2,FALSE)</f>
        <v>#N/A</v>
      </c>
      <c r="AJ44" t="e">
        <f>AH44-VLOOKUP(AI44,'Bag weights'!A$2:B$6,2,FALSE)</f>
        <v>#N/A</v>
      </c>
      <c r="AM44" t="e">
        <f>AK44-VLOOKUP(AL44,'Bag weights'!A$2:B$6,2,FALSE)</f>
        <v>#N/A</v>
      </c>
      <c r="AP44" t="e">
        <f>AN44-VLOOKUP(AO44,'Bag weights'!A$2:B$6,2,FALSE)</f>
        <v>#N/A</v>
      </c>
      <c r="AS44" t="e">
        <f>AQ44-VLOOKUP(AR44,'Bag weights'!A$2:B$6,2,FALSE)</f>
        <v>#N/A</v>
      </c>
      <c r="AV44" t="e">
        <f>AT44-VLOOKUP(AU44,'Bag weights'!A$2:B$6,2,FALSE)</f>
        <v>#N/A</v>
      </c>
      <c r="AW44" t="e">
        <f t="shared" si="0"/>
        <v>#N/A</v>
      </c>
      <c r="BC44" s="92">
        <v>6.4</v>
      </c>
      <c r="BG44" s="28">
        <v>4.7</v>
      </c>
    </row>
    <row r="45" spans="1:59">
      <c r="A45" s="70"/>
      <c r="B45" s="70"/>
      <c r="C45" s="70">
        <v>1</v>
      </c>
      <c r="D45" s="70" t="s">
        <v>96</v>
      </c>
      <c r="E45" s="13">
        <v>112.73</v>
      </c>
      <c r="F45" s="13" t="s">
        <v>284</v>
      </c>
      <c r="I45" t="e">
        <f>G45-VLOOKUP(H45,'Bag weights'!A$2:B$6,2,FALSE)</f>
        <v>#N/A</v>
      </c>
      <c r="L45" t="e">
        <f>J45-VLOOKUP(K45,'Bag weights'!D$2:E$6,2,FALSE)</f>
        <v>#N/A</v>
      </c>
      <c r="N45" s="95"/>
      <c r="O45" t="e">
        <f>M45-VLOOKUP(N45,'Bag weights'!A$2:B$6,2,FALSE)</f>
        <v>#N/A</v>
      </c>
      <c r="R45" t="e">
        <f>P45-VLOOKUP(Q45,'Bag weights'!A$2:B$6,2,FALSE)</f>
        <v>#N/A</v>
      </c>
      <c r="U45" t="e">
        <f>S45- VLOOKUP(T45,'Bag weights'!A$2:B$6,2,FALSE)</f>
        <v>#N/A</v>
      </c>
      <c r="X45" t="e">
        <f>V45-VLOOKUP(W45,'Bag weights'!A$2:B$6,2,FALSE)</f>
        <v>#N/A</v>
      </c>
      <c r="AA45" t="e">
        <f>Y45-VLOOKUP(Z45,'Bag weights'!A$2:B$6,2,FALSE)</f>
        <v>#N/A</v>
      </c>
      <c r="AD45" t="e">
        <f>AB45-VLOOKUP(AC45,'Bag weights'!A$2:B$6,2,FALSE)</f>
        <v>#N/A</v>
      </c>
      <c r="AG45" t="e">
        <f>AE45-VLOOKUP(AF45,'Bag weights'!A$2:B$6,2,FALSE)</f>
        <v>#N/A</v>
      </c>
      <c r="AJ45" t="e">
        <f>AH45-VLOOKUP(AI45,'Bag weights'!A$2:B$6,2,FALSE)</f>
        <v>#N/A</v>
      </c>
      <c r="AM45" t="e">
        <f>AK45-VLOOKUP(AL45,'Bag weights'!A$2:B$6,2,FALSE)</f>
        <v>#N/A</v>
      </c>
      <c r="AP45" t="e">
        <f>AN45-VLOOKUP(AO45,'Bag weights'!A$2:B$6,2,FALSE)</f>
        <v>#N/A</v>
      </c>
      <c r="AS45" t="e">
        <f>AQ45-VLOOKUP(AR45,'Bag weights'!A$2:B$6,2,FALSE)</f>
        <v>#N/A</v>
      </c>
      <c r="AV45" t="e">
        <f>AT45-VLOOKUP(AU45,'Bag weights'!A$2:B$6,2,FALSE)</f>
        <v>#N/A</v>
      </c>
      <c r="AW45" t="e">
        <f t="shared" si="0"/>
        <v>#N/A</v>
      </c>
      <c r="BC45" s="92">
        <v>7.5</v>
      </c>
      <c r="BG45" s="28">
        <v>3.33</v>
      </c>
    </row>
    <row r="46" spans="1:59">
      <c r="A46" s="70"/>
      <c r="B46" s="70"/>
      <c r="C46" s="70">
        <v>1</v>
      </c>
      <c r="D46" s="70" t="s">
        <v>39</v>
      </c>
      <c r="E46" s="13">
        <v>123.83</v>
      </c>
      <c r="F46" s="13" t="s">
        <v>284</v>
      </c>
      <c r="I46" t="e">
        <f>G46-VLOOKUP(H46,'Bag weights'!A$2:B$6,2,FALSE)</f>
        <v>#N/A</v>
      </c>
      <c r="L46" t="e">
        <f>J46-VLOOKUP(K46,'Bag weights'!D$2:E$6,2,FALSE)</f>
        <v>#N/A</v>
      </c>
      <c r="N46" s="95"/>
      <c r="O46" t="e">
        <f>M46-VLOOKUP(N46,'Bag weights'!A$2:B$6,2,FALSE)</f>
        <v>#N/A</v>
      </c>
      <c r="R46" t="e">
        <f>P46-VLOOKUP(Q46,'Bag weights'!A$2:B$6,2,FALSE)</f>
        <v>#N/A</v>
      </c>
      <c r="U46" t="e">
        <f>S46- VLOOKUP(T46,'Bag weights'!A$2:B$6,2,FALSE)</f>
        <v>#N/A</v>
      </c>
      <c r="X46" t="e">
        <f>V46-VLOOKUP(W46,'Bag weights'!A$2:B$6,2,FALSE)</f>
        <v>#N/A</v>
      </c>
      <c r="AA46" t="e">
        <f>Y46-VLOOKUP(Z46,'Bag weights'!A$2:B$6,2,FALSE)</f>
        <v>#N/A</v>
      </c>
      <c r="AD46" t="e">
        <f>AB46-VLOOKUP(AC46,'Bag weights'!A$2:B$6,2,FALSE)</f>
        <v>#N/A</v>
      </c>
      <c r="AG46" t="e">
        <f>AE46-VLOOKUP(AF46,'Bag weights'!A$2:B$6,2,FALSE)</f>
        <v>#N/A</v>
      </c>
      <c r="AJ46" t="e">
        <f>AH46-VLOOKUP(AI46,'Bag weights'!A$2:B$6,2,FALSE)</f>
        <v>#N/A</v>
      </c>
      <c r="AM46" t="e">
        <f>AK46-VLOOKUP(AL46,'Bag weights'!A$2:B$6,2,FALSE)</f>
        <v>#N/A</v>
      </c>
      <c r="AP46" t="e">
        <f>AN46-VLOOKUP(AO46,'Bag weights'!A$2:B$6,2,FALSE)</f>
        <v>#N/A</v>
      </c>
      <c r="AS46" t="e">
        <f>AQ46-VLOOKUP(AR46,'Bag weights'!A$2:B$6,2,FALSE)</f>
        <v>#N/A</v>
      </c>
      <c r="AV46" t="e">
        <f>AT46-VLOOKUP(AU46,'Bag weights'!A$2:B$6,2,FALSE)</f>
        <v>#N/A</v>
      </c>
      <c r="AW46" t="e">
        <f t="shared" si="0"/>
        <v>#N/A</v>
      </c>
      <c r="BC46" s="92">
        <v>8.9</v>
      </c>
      <c r="BG46" s="28">
        <v>4.93</v>
      </c>
    </row>
    <row r="47" spans="1:59">
      <c r="A47" s="70"/>
      <c r="B47" s="70"/>
      <c r="C47" s="70">
        <v>1</v>
      </c>
      <c r="D47" s="70" t="s">
        <v>97</v>
      </c>
      <c r="E47" s="13">
        <v>93.63</v>
      </c>
      <c r="F47" s="13" t="s">
        <v>284</v>
      </c>
      <c r="I47" t="e">
        <f>G47-VLOOKUP(H47,'Bag weights'!A$2:B$6,2,FALSE)</f>
        <v>#N/A</v>
      </c>
      <c r="L47" t="e">
        <f>J47-VLOOKUP(K47,'Bag weights'!D$2:E$6,2,FALSE)</f>
        <v>#N/A</v>
      </c>
      <c r="N47" s="95"/>
      <c r="O47" t="e">
        <f>M47-VLOOKUP(N47,'Bag weights'!A$2:B$6,2,FALSE)</f>
        <v>#N/A</v>
      </c>
      <c r="R47" t="e">
        <f>P47-VLOOKUP(Q47,'Bag weights'!A$2:B$6,2,FALSE)</f>
        <v>#N/A</v>
      </c>
      <c r="U47" t="e">
        <f>S47- VLOOKUP(T47,'Bag weights'!A$2:B$6,2,FALSE)</f>
        <v>#N/A</v>
      </c>
      <c r="X47" t="e">
        <f>V47-VLOOKUP(W47,'Bag weights'!A$2:B$6,2,FALSE)</f>
        <v>#N/A</v>
      </c>
      <c r="AA47" t="e">
        <f>Y47-VLOOKUP(Z47,'Bag weights'!A$2:B$6,2,FALSE)</f>
        <v>#N/A</v>
      </c>
      <c r="AD47" t="e">
        <f>AB47-VLOOKUP(AC47,'Bag weights'!A$2:B$6,2,FALSE)</f>
        <v>#N/A</v>
      </c>
      <c r="AG47" t="e">
        <f>AE47-VLOOKUP(AF47,'Bag weights'!A$2:B$6,2,FALSE)</f>
        <v>#N/A</v>
      </c>
      <c r="AJ47" t="e">
        <f>AH47-VLOOKUP(AI47,'Bag weights'!A$2:B$6,2,FALSE)</f>
        <v>#N/A</v>
      </c>
      <c r="AM47" t="e">
        <f>AK47-VLOOKUP(AL47,'Bag weights'!A$2:B$6,2,FALSE)</f>
        <v>#N/A</v>
      </c>
      <c r="AP47" t="e">
        <f>AN47-VLOOKUP(AO47,'Bag weights'!A$2:B$6,2,FALSE)</f>
        <v>#N/A</v>
      </c>
      <c r="AS47" t="e">
        <f>AQ47-VLOOKUP(AR47,'Bag weights'!A$2:B$6,2,FALSE)</f>
        <v>#N/A</v>
      </c>
      <c r="AV47" t="e">
        <f>AT47-VLOOKUP(AU47,'Bag weights'!A$2:B$6,2,FALSE)</f>
        <v>#N/A</v>
      </c>
      <c r="AW47" t="e">
        <f t="shared" si="0"/>
        <v>#N/A</v>
      </c>
      <c r="BC47" s="92">
        <v>8.8000000000000007</v>
      </c>
      <c r="BG47" s="28">
        <v>3.23</v>
      </c>
    </row>
    <row r="48" spans="1:59">
      <c r="A48" s="70"/>
      <c r="B48" s="70"/>
      <c r="C48" s="70">
        <v>2</v>
      </c>
      <c r="D48" s="70" t="s">
        <v>94</v>
      </c>
      <c r="E48" s="13">
        <v>108.1</v>
      </c>
      <c r="F48" s="13" t="s">
        <v>284</v>
      </c>
      <c r="I48" t="e">
        <f>G48-VLOOKUP(H48,'Bag weights'!A$2:B$6,2,FALSE)</f>
        <v>#N/A</v>
      </c>
      <c r="L48" t="e">
        <f>J48-VLOOKUP(K48,'Bag weights'!D$2:E$6,2,FALSE)</f>
        <v>#N/A</v>
      </c>
      <c r="N48" s="95"/>
      <c r="O48" t="e">
        <f>M48-VLOOKUP(N48,'Bag weights'!A$2:B$6,2,FALSE)</f>
        <v>#N/A</v>
      </c>
      <c r="R48" t="e">
        <f>P48-VLOOKUP(Q48,'Bag weights'!A$2:B$6,2,FALSE)</f>
        <v>#N/A</v>
      </c>
      <c r="U48" t="e">
        <f>S48- VLOOKUP(T48,'Bag weights'!A$2:B$6,2,FALSE)</f>
        <v>#N/A</v>
      </c>
      <c r="X48" t="e">
        <f>V48-VLOOKUP(W48,'Bag weights'!A$2:B$6,2,FALSE)</f>
        <v>#N/A</v>
      </c>
      <c r="AA48" t="e">
        <f>Y48-VLOOKUP(Z48,'Bag weights'!A$2:B$6,2,FALSE)</f>
        <v>#N/A</v>
      </c>
      <c r="AD48" t="e">
        <f>AB48-VLOOKUP(AC48,'Bag weights'!A$2:B$6,2,FALSE)</f>
        <v>#N/A</v>
      </c>
      <c r="AG48" t="e">
        <f>AE48-VLOOKUP(AF48,'Bag weights'!A$2:B$6,2,FALSE)</f>
        <v>#N/A</v>
      </c>
      <c r="AJ48" t="e">
        <f>AH48-VLOOKUP(AI48,'Bag weights'!A$2:B$6,2,FALSE)</f>
        <v>#N/A</v>
      </c>
      <c r="AM48" t="e">
        <f>AK48-VLOOKUP(AL48,'Bag weights'!A$2:B$6,2,FALSE)</f>
        <v>#N/A</v>
      </c>
      <c r="AP48" t="e">
        <f>AN48-VLOOKUP(AO48,'Bag weights'!A$2:B$6,2,FALSE)</f>
        <v>#N/A</v>
      </c>
      <c r="AS48" t="e">
        <f>AQ48-VLOOKUP(AR48,'Bag weights'!A$2:B$6,2,FALSE)</f>
        <v>#N/A</v>
      </c>
      <c r="AV48" t="e">
        <f>AT48-VLOOKUP(AU48,'Bag weights'!A$2:B$6,2,FALSE)</f>
        <v>#N/A</v>
      </c>
      <c r="AW48" t="e">
        <f t="shared" si="0"/>
        <v>#N/A</v>
      </c>
      <c r="BC48" s="92">
        <v>3.6</v>
      </c>
      <c r="BG48" s="28">
        <v>2.27</v>
      </c>
    </row>
    <row r="49" spans="1:59">
      <c r="A49" s="70"/>
      <c r="B49" s="70"/>
      <c r="C49" s="70">
        <v>2</v>
      </c>
      <c r="D49" s="70" t="s">
        <v>95</v>
      </c>
      <c r="E49" s="1"/>
      <c r="F49" s="1"/>
      <c r="I49" t="e">
        <f>G49-VLOOKUP(H49,'Bag weights'!A$2:B$6,2,FALSE)</f>
        <v>#N/A</v>
      </c>
      <c r="L49" t="e">
        <f>J49-VLOOKUP(K49,'Bag weights'!D$2:E$6,2,FALSE)</f>
        <v>#N/A</v>
      </c>
      <c r="N49" s="95"/>
      <c r="O49" t="e">
        <f>M49-VLOOKUP(N49,'Bag weights'!A$2:B$6,2,FALSE)</f>
        <v>#N/A</v>
      </c>
      <c r="R49" t="e">
        <f>P49-VLOOKUP(Q49,'Bag weights'!A$2:B$6,2,FALSE)</f>
        <v>#N/A</v>
      </c>
      <c r="U49" t="e">
        <f>S49- VLOOKUP(T49,'Bag weights'!A$2:B$6,2,FALSE)</f>
        <v>#N/A</v>
      </c>
      <c r="X49" t="e">
        <f>V49-VLOOKUP(W49,'Bag weights'!A$2:B$6,2,FALSE)</f>
        <v>#N/A</v>
      </c>
      <c r="AA49" t="e">
        <f>Y49-VLOOKUP(Z49,'Bag weights'!A$2:B$6,2,FALSE)</f>
        <v>#N/A</v>
      </c>
      <c r="AD49" t="e">
        <f>AB49-VLOOKUP(AC49,'Bag weights'!A$2:B$6,2,FALSE)</f>
        <v>#N/A</v>
      </c>
      <c r="AG49" t="e">
        <f>AE49-VLOOKUP(AF49,'Bag weights'!A$2:B$6,2,FALSE)</f>
        <v>#N/A</v>
      </c>
      <c r="AJ49" t="e">
        <f>AH49-VLOOKUP(AI49,'Bag weights'!A$2:B$6,2,FALSE)</f>
        <v>#N/A</v>
      </c>
      <c r="AM49" t="e">
        <f>AK49-VLOOKUP(AL49,'Bag weights'!A$2:B$6,2,FALSE)</f>
        <v>#N/A</v>
      </c>
      <c r="AP49" t="e">
        <f>AN49-VLOOKUP(AO49,'Bag weights'!A$2:B$6,2,FALSE)</f>
        <v>#N/A</v>
      </c>
      <c r="AS49" t="e">
        <f>AQ49-VLOOKUP(AR49,'Bag weights'!A$2:B$6,2,FALSE)</f>
        <v>#N/A</v>
      </c>
      <c r="AV49" t="e">
        <f>AT49-VLOOKUP(AU49,'Bag weights'!A$2:B$6,2,FALSE)</f>
        <v>#N/A</v>
      </c>
      <c r="AW49" t="e">
        <f t="shared" si="0"/>
        <v>#N/A</v>
      </c>
      <c r="BC49" s="92">
        <v>3.4</v>
      </c>
      <c r="BG49" s="28">
        <v>3.55</v>
      </c>
    </row>
    <row r="50" spans="1:59">
      <c r="A50" s="70"/>
      <c r="B50" s="70"/>
      <c r="C50" s="70">
        <v>2</v>
      </c>
      <c r="D50" s="70" t="s">
        <v>96</v>
      </c>
      <c r="E50" s="13">
        <v>106.75</v>
      </c>
      <c r="F50" s="13" t="s">
        <v>284</v>
      </c>
      <c r="I50" t="e">
        <f>G50-VLOOKUP(H50,'Bag weights'!A$2:B$6,2,FALSE)</f>
        <v>#N/A</v>
      </c>
      <c r="L50" t="e">
        <f>J50-VLOOKUP(K50,'Bag weights'!D$2:E$6,2,FALSE)</f>
        <v>#N/A</v>
      </c>
      <c r="N50" s="95"/>
      <c r="O50" t="e">
        <f>M50-VLOOKUP(N50,'Bag weights'!A$2:B$6,2,FALSE)</f>
        <v>#N/A</v>
      </c>
      <c r="R50" t="e">
        <f>P50-VLOOKUP(Q50,'Bag weights'!A$2:B$6,2,FALSE)</f>
        <v>#N/A</v>
      </c>
      <c r="U50" t="e">
        <f>S50- VLOOKUP(T50,'Bag weights'!A$2:B$6,2,FALSE)</f>
        <v>#N/A</v>
      </c>
      <c r="X50" t="e">
        <f>V50-VLOOKUP(W50,'Bag weights'!A$2:B$6,2,FALSE)</f>
        <v>#N/A</v>
      </c>
      <c r="AA50" t="e">
        <f>Y50-VLOOKUP(Z50,'Bag weights'!A$2:B$6,2,FALSE)</f>
        <v>#N/A</v>
      </c>
      <c r="AD50" t="e">
        <f>AB50-VLOOKUP(AC50,'Bag weights'!A$2:B$6,2,FALSE)</f>
        <v>#N/A</v>
      </c>
      <c r="AG50" t="e">
        <f>AE50-VLOOKUP(AF50,'Bag weights'!A$2:B$6,2,FALSE)</f>
        <v>#N/A</v>
      </c>
      <c r="AJ50" t="e">
        <f>AH50-VLOOKUP(AI50,'Bag weights'!A$2:B$6,2,FALSE)</f>
        <v>#N/A</v>
      </c>
      <c r="AM50" t="e">
        <f>AK50-VLOOKUP(AL50,'Bag weights'!A$2:B$6,2,FALSE)</f>
        <v>#N/A</v>
      </c>
      <c r="AP50" t="e">
        <f>AN50-VLOOKUP(AO50,'Bag weights'!A$2:B$6,2,FALSE)</f>
        <v>#N/A</v>
      </c>
      <c r="AS50" t="e">
        <f>AQ50-VLOOKUP(AR50,'Bag weights'!A$2:B$6,2,FALSE)</f>
        <v>#N/A</v>
      </c>
      <c r="AV50" t="e">
        <f>AT50-VLOOKUP(AU50,'Bag weights'!A$2:B$6,2,FALSE)</f>
        <v>#N/A</v>
      </c>
      <c r="AW50" t="e">
        <f t="shared" si="0"/>
        <v>#N/A</v>
      </c>
      <c r="BC50" s="92">
        <v>5.3</v>
      </c>
      <c r="BF50" s="28" t="s">
        <v>302</v>
      </c>
    </row>
    <row r="51" spans="1:59">
      <c r="A51" s="70"/>
      <c r="B51" s="70"/>
      <c r="C51" s="70">
        <v>2</v>
      </c>
      <c r="D51" s="70" t="s">
        <v>39</v>
      </c>
      <c r="E51" s="13">
        <v>96.95</v>
      </c>
      <c r="F51" s="13" t="s">
        <v>284</v>
      </c>
      <c r="I51" t="e">
        <f>G51-VLOOKUP(H51,'Bag weights'!A$2:B$6,2,FALSE)</f>
        <v>#N/A</v>
      </c>
      <c r="L51" t="e">
        <f>J51-VLOOKUP(K51,'Bag weights'!D$2:E$6,2,FALSE)</f>
        <v>#N/A</v>
      </c>
      <c r="N51" s="95"/>
      <c r="O51" t="e">
        <f>M51-VLOOKUP(N51,'Bag weights'!A$2:B$6,2,FALSE)</f>
        <v>#N/A</v>
      </c>
      <c r="R51" t="e">
        <f>P51-VLOOKUP(Q51,'Bag weights'!A$2:B$6,2,FALSE)</f>
        <v>#N/A</v>
      </c>
      <c r="U51" t="e">
        <f>S51- VLOOKUP(T51,'Bag weights'!A$2:B$6,2,FALSE)</f>
        <v>#N/A</v>
      </c>
      <c r="X51" t="e">
        <f>V51-VLOOKUP(W51,'Bag weights'!A$2:B$6,2,FALSE)</f>
        <v>#N/A</v>
      </c>
      <c r="AA51" t="e">
        <f>Y51-VLOOKUP(Z51,'Bag weights'!A$2:B$6,2,FALSE)</f>
        <v>#N/A</v>
      </c>
      <c r="AD51" t="e">
        <f>AB51-VLOOKUP(AC51,'Bag weights'!A$2:B$6,2,FALSE)</f>
        <v>#N/A</v>
      </c>
      <c r="AG51" t="e">
        <f>AE51-VLOOKUP(AF51,'Bag weights'!A$2:B$6,2,FALSE)</f>
        <v>#N/A</v>
      </c>
      <c r="AJ51" t="e">
        <f>AH51-VLOOKUP(AI51,'Bag weights'!A$2:B$6,2,FALSE)</f>
        <v>#N/A</v>
      </c>
      <c r="AM51" t="e">
        <f>AK51-VLOOKUP(AL51,'Bag weights'!A$2:B$6,2,FALSE)</f>
        <v>#N/A</v>
      </c>
      <c r="AP51" t="e">
        <f>AN51-VLOOKUP(AO51,'Bag weights'!A$2:B$6,2,FALSE)</f>
        <v>#N/A</v>
      </c>
      <c r="AS51" t="e">
        <f>AQ51-VLOOKUP(AR51,'Bag weights'!A$2:B$6,2,FALSE)</f>
        <v>#N/A</v>
      </c>
      <c r="AV51" t="e">
        <f>AT51-VLOOKUP(AU51,'Bag weights'!A$2:B$6,2,FALSE)</f>
        <v>#N/A</v>
      </c>
      <c r="AW51" t="e">
        <f t="shared" si="0"/>
        <v>#N/A</v>
      </c>
      <c r="BC51" s="92">
        <v>4</v>
      </c>
      <c r="BG51" s="28">
        <v>9.2899999999999991</v>
      </c>
    </row>
    <row r="52" spans="1:59">
      <c r="A52" s="70"/>
      <c r="B52" s="70"/>
      <c r="C52" s="70">
        <v>2</v>
      </c>
      <c r="D52" s="70" t="s">
        <v>97</v>
      </c>
      <c r="E52" s="13">
        <v>110.06</v>
      </c>
      <c r="F52" s="13" t="s">
        <v>284</v>
      </c>
      <c r="I52" t="e">
        <f>G52-VLOOKUP(H52,'Bag weights'!A$2:B$6,2,FALSE)</f>
        <v>#N/A</v>
      </c>
      <c r="L52" t="e">
        <f>J52-VLOOKUP(K52,'Bag weights'!D$2:E$6,2,FALSE)</f>
        <v>#N/A</v>
      </c>
      <c r="N52" s="95"/>
      <c r="O52" t="e">
        <f>M52-VLOOKUP(N52,'Bag weights'!A$2:B$6,2,FALSE)</f>
        <v>#N/A</v>
      </c>
      <c r="R52" t="e">
        <f>P52-VLOOKUP(Q52,'Bag weights'!A$2:B$6,2,FALSE)</f>
        <v>#N/A</v>
      </c>
      <c r="U52" t="e">
        <f>S52- VLOOKUP(T52,'Bag weights'!A$2:B$6,2,FALSE)</f>
        <v>#N/A</v>
      </c>
      <c r="X52" t="e">
        <f>V52-VLOOKUP(W52,'Bag weights'!A$2:B$6,2,FALSE)</f>
        <v>#N/A</v>
      </c>
      <c r="AA52" t="e">
        <f>Y52-VLOOKUP(Z52,'Bag weights'!A$2:B$6,2,FALSE)</f>
        <v>#N/A</v>
      </c>
      <c r="AD52" t="e">
        <f>AB52-VLOOKUP(AC52,'Bag weights'!A$2:B$6,2,FALSE)</f>
        <v>#N/A</v>
      </c>
      <c r="AG52" t="e">
        <f>AE52-VLOOKUP(AF52,'Bag weights'!A$2:B$6,2,FALSE)</f>
        <v>#N/A</v>
      </c>
      <c r="AJ52" t="e">
        <f>AH52-VLOOKUP(AI52,'Bag weights'!A$2:B$6,2,FALSE)</f>
        <v>#N/A</v>
      </c>
      <c r="AM52" t="e">
        <f>AK52-VLOOKUP(AL52,'Bag weights'!A$2:B$6,2,FALSE)</f>
        <v>#N/A</v>
      </c>
      <c r="AP52" t="e">
        <f>AN52-VLOOKUP(AO52,'Bag weights'!A$2:B$6,2,FALSE)</f>
        <v>#N/A</v>
      </c>
      <c r="AS52" t="e">
        <f>AQ52-VLOOKUP(AR52,'Bag weights'!A$2:B$6,2,FALSE)</f>
        <v>#N/A</v>
      </c>
      <c r="AV52" t="e">
        <f>AT52-VLOOKUP(AU52,'Bag weights'!A$2:B$6,2,FALSE)</f>
        <v>#N/A</v>
      </c>
      <c r="AW52" t="e">
        <f t="shared" si="0"/>
        <v>#N/A</v>
      </c>
      <c r="BC52" s="92">
        <v>4.2</v>
      </c>
      <c r="BG52" s="28">
        <v>4.62</v>
      </c>
    </row>
    <row r="53" spans="1:59">
      <c r="A53" s="70"/>
      <c r="B53" s="70"/>
      <c r="C53" s="70">
        <v>3</v>
      </c>
      <c r="D53" s="70" t="s">
        <v>94</v>
      </c>
      <c r="E53" s="13">
        <v>118.57</v>
      </c>
      <c r="F53" s="13" t="s">
        <v>284</v>
      </c>
      <c r="I53" t="e">
        <f>G53-VLOOKUP(H53,'Bag weights'!A$2:B$6,2,FALSE)</f>
        <v>#N/A</v>
      </c>
      <c r="L53" t="e">
        <f>J53-VLOOKUP(K53,'Bag weights'!D$2:E$6,2,FALSE)</f>
        <v>#N/A</v>
      </c>
      <c r="N53" s="95"/>
      <c r="O53" t="e">
        <f>M53-VLOOKUP(N53,'Bag weights'!A$2:B$6,2,FALSE)</f>
        <v>#N/A</v>
      </c>
      <c r="R53" t="e">
        <f>P53-VLOOKUP(Q53,'Bag weights'!A$2:B$6,2,FALSE)</f>
        <v>#N/A</v>
      </c>
      <c r="U53" t="e">
        <f>S53- VLOOKUP(T53,'Bag weights'!A$2:B$6,2,FALSE)</f>
        <v>#N/A</v>
      </c>
      <c r="X53" t="e">
        <f>V53-VLOOKUP(W53,'Bag weights'!A$2:B$6,2,FALSE)</f>
        <v>#N/A</v>
      </c>
      <c r="AA53" t="e">
        <f>Y53-VLOOKUP(Z53,'Bag weights'!A$2:B$6,2,FALSE)</f>
        <v>#N/A</v>
      </c>
      <c r="AD53" t="e">
        <f>AB53-VLOOKUP(AC53,'Bag weights'!A$2:B$6,2,FALSE)</f>
        <v>#N/A</v>
      </c>
      <c r="AG53" t="e">
        <f>AE53-VLOOKUP(AF53,'Bag weights'!A$2:B$6,2,FALSE)</f>
        <v>#N/A</v>
      </c>
      <c r="AJ53" t="e">
        <f>AH53-VLOOKUP(AI53,'Bag weights'!A$2:B$6,2,FALSE)</f>
        <v>#N/A</v>
      </c>
      <c r="AM53" t="e">
        <f>AK53-VLOOKUP(AL53,'Bag weights'!A$2:B$6,2,FALSE)</f>
        <v>#N/A</v>
      </c>
      <c r="AP53" t="e">
        <f>AN53-VLOOKUP(AO53,'Bag weights'!A$2:B$6,2,FALSE)</f>
        <v>#N/A</v>
      </c>
      <c r="AS53" t="e">
        <f>AQ53-VLOOKUP(AR53,'Bag weights'!A$2:B$6,2,FALSE)</f>
        <v>#N/A</v>
      </c>
      <c r="AV53" t="e">
        <f>AT53-VLOOKUP(AU53,'Bag weights'!A$2:B$6,2,FALSE)</f>
        <v>#N/A</v>
      </c>
      <c r="AW53" t="e">
        <f t="shared" si="0"/>
        <v>#N/A</v>
      </c>
      <c r="BC53" s="92">
        <v>7.7</v>
      </c>
      <c r="BF53" s="28" t="s">
        <v>302</v>
      </c>
    </row>
    <row r="54" spans="1:59">
      <c r="A54" s="70"/>
      <c r="B54" s="70"/>
      <c r="C54" s="70">
        <v>3</v>
      </c>
      <c r="D54" s="70" t="s">
        <v>95</v>
      </c>
      <c r="E54" s="13">
        <v>111.88</v>
      </c>
      <c r="F54" s="13" t="s">
        <v>284</v>
      </c>
      <c r="I54" t="e">
        <f>G54-VLOOKUP(H54,'Bag weights'!A$2:B$6,2,FALSE)</f>
        <v>#N/A</v>
      </c>
      <c r="L54" t="e">
        <f>J54-VLOOKUP(K54,'Bag weights'!D$2:E$6,2,FALSE)</f>
        <v>#N/A</v>
      </c>
      <c r="N54" s="95"/>
      <c r="O54" t="e">
        <f>M54-VLOOKUP(N54,'Bag weights'!A$2:B$6,2,FALSE)</f>
        <v>#N/A</v>
      </c>
      <c r="R54" t="e">
        <f>P54-VLOOKUP(Q54,'Bag weights'!A$2:B$6,2,FALSE)</f>
        <v>#N/A</v>
      </c>
      <c r="U54" t="e">
        <f>S54- VLOOKUP(T54,'Bag weights'!A$2:B$6,2,FALSE)</f>
        <v>#N/A</v>
      </c>
      <c r="X54" t="e">
        <f>V54-VLOOKUP(W54,'Bag weights'!A$2:B$6,2,FALSE)</f>
        <v>#N/A</v>
      </c>
      <c r="AA54" t="e">
        <f>Y54-VLOOKUP(Z54,'Bag weights'!A$2:B$6,2,FALSE)</f>
        <v>#N/A</v>
      </c>
      <c r="AD54" t="e">
        <f>AB54-VLOOKUP(AC54,'Bag weights'!A$2:B$6,2,FALSE)</f>
        <v>#N/A</v>
      </c>
      <c r="AG54" t="e">
        <f>AE54-VLOOKUP(AF54,'Bag weights'!A$2:B$6,2,FALSE)</f>
        <v>#N/A</v>
      </c>
      <c r="AJ54" t="e">
        <f>AH54-VLOOKUP(AI54,'Bag weights'!A$2:B$6,2,FALSE)</f>
        <v>#N/A</v>
      </c>
      <c r="AM54" t="e">
        <f>AK54-VLOOKUP(AL54,'Bag weights'!A$2:B$6,2,FALSE)</f>
        <v>#N/A</v>
      </c>
      <c r="AP54" t="e">
        <f>AN54-VLOOKUP(AO54,'Bag weights'!A$2:B$6,2,FALSE)</f>
        <v>#N/A</v>
      </c>
      <c r="AS54" t="e">
        <f>AQ54-VLOOKUP(AR54,'Bag weights'!A$2:B$6,2,FALSE)</f>
        <v>#N/A</v>
      </c>
      <c r="AV54" t="e">
        <f>AT54-VLOOKUP(AU54,'Bag weights'!A$2:B$6,2,FALSE)</f>
        <v>#N/A</v>
      </c>
      <c r="AW54" t="e">
        <f t="shared" si="0"/>
        <v>#N/A</v>
      </c>
      <c r="BC54" s="92">
        <v>6</v>
      </c>
      <c r="BG54" s="28">
        <v>0.43</v>
      </c>
    </row>
    <row r="55" spans="1:59">
      <c r="A55" s="70"/>
      <c r="B55" s="70"/>
      <c r="C55" s="70">
        <v>3</v>
      </c>
      <c r="D55" s="70" t="s">
        <v>96</v>
      </c>
      <c r="E55" s="13">
        <v>112.57</v>
      </c>
      <c r="F55" s="13" t="s">
        <v>284</v>
      </c>
      <c r="I55" t="e">
        <f>G55-VLOOKUP(H55,'Bag weights'!A$2:B$6,2,FALSE)</f>
        <v>#N/A</v>
      </c>
      <c r="L55" t="e">
        <f>J55-VLOOKUP(K55,'Bag weights'!D$2:E$6,2,FALSE)</f>
        <v>#N/A</v>
      </c>
      <c r="N55" s="95"/>
      <c r="O55" t="e">
        <f>M55-VLOOKUP(N55,'Bag weights'!A$2:B$6,2,FALSE)</f>
        <v>#N/A</v>
      </c>
      <c r="R55" t="e">
        <f>P55-VLOOKUP(Q55,'Bag weights'!A$2:B$6,2,FALSE)</f>
        <v>#N/A</v>
      </c>
      <c r="U55" t="e">
        <f>S55- VLOOKUP(T55,'Bag weights'!A$2:B$6,2,FALSE)</f>
        <v>#N/A</v>
      </c>
      <c r="X55" t="e">
        <f>V55-VLOOKUP(W55,'Bag weights'!A$2:B$6,2,FALSE)</f>
        <v>#N/A</v>
      </c>
      <c r="AA55" t="e">
        <f>Y55-VLOOKUP(Z55,'Bag weights'!A$2:B$6,2,FALSE)</f>
        <v>#N/A</v>
      </c>
      <c r="AD55" t="e">
        <f>AB55-VLOOKUP(AC55,'Bag weights'!A$2:B$6,2,FALSE)</f>
        <v>#N/A</v>
      </c>
      <c r="AG55" t="e">
        <f>AE55-VLOOKUP(AF55,'Bag weights'!A$2:B$6,2,FALSE)</f>
        <v>#N/A</v>
      </c>
      <c r="AJ55" t="e">
        <f>AH55-VLOOKUP(AI55,'Bag weights'!A$2:B$6,2,FALSE)</f>
        <v>#N/A</v>
      </c>
      <c r="AM55" t="e">
        <f>AK55-VLOOKUP(AL55,'Bag weights'!A$2:B$6,2,FALSE)</f>
        <v>#N/A</v>
      </c>
      <c r="AP55" t="e">
        <f>AN55-VLOOKUP(AO55,'Bag weights'!A$2:B$6,2,FALSE)</f>
        <v>#N/A</v>
      </c>
      <c r="AS55" t="e">
        <f>AQ55-VLOOKUP(AR55,'Bag weights'!A$2:B$6,2,FALSE)</f>
        <v>#N/A</v>
      </c>
      <c r="AV55" t="e">
        <f>AT55-VLOOKUP(AU55,'Bag weights'!A$2:B$6,2,FALSE)</f>
        <v>#N/A</v>
      </c>
      <c r="AW55" t="e">
        <f t="shared" si="0"/>
        <v>#N/A</v>
      </c>
      <c r="BC55" s="92">
        <v>6.5</v>
      </c>
      <c r="BG55" s="28">
        <v>3.39</v>
      </c>
    </row>
    <row r="56" spans="1:59">
      <c r="A56" s="70"/>
      <c r="B56" s="70"/>
      <c r="C56" s="70">
        <v>3</v>
      </c>
      <c r="D56" s="70" t="s">
        <v>39</v>
      </c>
      <c r="E56" s="13">
        <v>106.88</v>
      </c>
      <c r="F56" s="13" t="s">
        <v>284</v>
      </c>
      <c r="I56" t="e">
        <f>G56-VLOOKUP(H56,'Bag weights'!A$2:B$6,2,FALSE)</f>
        <v>#N/A</v>
      </c>
      <c r="L56" t="e">
        <f>J56-VLOOKUP(K56,'Bag weights'!D$2:E$6,2,FALSE)</f>
        <v>#N/A</v>
      </c>
      <c r="N56" s="95"/>
      <c r="O56" t="e">
        <f>M56-VLOOKUP(N56,'Bag weights'!A$2:B$6,2,FALSE)</f>
        <v>#N/A</v>
      </c>
      <c r="R56" t="e">
        <f>P56-VLOOKUP(Q56,'Bag weights'!A$2:B$6,2,FALSE)</f>
        <v>#N/A</v>
      </c>
      <c r="U56" t="e">
        <f>S56- VLOOKUP(T56,'Bag weights'!A$2:B$6,2,FALSE)</f>
        <v>#N/A</v>
      </c>
      <c r="X56" t="e">
        <f>V56-VLOOKUP(W56,'Bag weights'!A$2:B$6,2,FALSE)</f>
        <v>#N/A</v>
      </c>
      <c r="AA56" t="e">
        <f>Y56-VLOOKUP(Z56,'Bag weights'!A$2:B$6,2,FALSE)</f>
        <v>#N/A</v>
      </c>
      <c r="AD56" t="e">
        <f>AB56-VLOOKUP(AC56,'Bag weights'!A$2:B$6,2,FALSE)</f>
        <v>#N/A</v>
      </c>
      <c r="AG56" t="e">
        <f>AE56-VLOOKUP(AF56,'Bag weights'!A$2:B$6,2,FALSE)</f>
        <v>#N/A</v>
      </c>
      <c r="AJ56" t="e">
        <f>AH56-VLOOKUP(AI56,'Bag weights'!A$2:B$6,2,FALSE)</f>
        <v>#N/A</v>
      </c>
      <c r="AM56" t="e">
        <f>AK56-VLOOKUP(AL56,'Bag weights'!A$2:B$6,2,FALSE)</f>
        <v>#N/A</v>
      </c>
      <c r="AP56" t="e">
        <f>AN56-VLOOKUP(AO56,'Bag weights'!A$2:B$6,2,FALSE)</f>
        <v>#N/A</v>
      </c>
      <c r="AS56" t="e">
        <f>AQ56-VLOOKUP(AR56,'Bag weights'!A$2:B$6,2,FALSE)</f>
        <v>#N/A</v>
      </c>
      <c r="AV56" t="e">
        <f>AT56-VLOOKUP(AU56,'Bag weights'!A$2:B$6,2,FALSE)</f>
        <v>#N/A</v>
      </c>
      <c r="AW56" t="e">
        <f t="shared" si="0"/>
        <v>#N/A</v>
      </c>
      <c r="BC56" s="92">
        <v>4.7</v>
      </c>
      <c r="BG56" s="28">
        <v>2.65</v>
      </c>
    </row>
    <row r="57" spans="1:59">
      <c r="A57" s="70"/>
      <c r="B57" s="70"/>
      <c r="C57" s="70">
        <v>3</v>
      </c>
      <c r="D57" s="70" t="s">
        <v>97</v>
      </c>
      <c r="E57" s="13">
        <v>115.5</v>
      </c>
      <c r="F57" s="13" t="s">
        <v>284</v>
      </c>
      <c r="I57" t="e">
        <f>G57-VLOOKUP(H57,'Bag weights'!A$2:B$6,2,FALSE)</f>
        <v>#N/A</v>
      </c>
      <c r="L57" t="e">
        <f>J57-VLOOKUP(K57,'Bag weights'!D$2:E$6,2,FALSE)</f>
        <v>#N/A</v>
      </c>
      <c r="N57" s="95"/>
      <c r="O57" t="e">
        <f>M57-VLOOKUP(N57,'Bag weights'!A$2:B$6,2,FALSE)</f>
        <v>#N/A</v>
      </c>
      <c r="R57" t="e">
        <f>P57-VLOOKUP(Q57,'Bag weights'!A$2:B$6,2,FALSE)</f>
        <v>#N/A</v>
      </c>
      <c r="U57" t="e">
        <f>S57- VLOOKUP(T57,'Bag weights'!A$2:B$6,2,FALSE)</f>
        <v>#N/A</v>
      </c>
      <c r="X57" t="e">
        <f>V57-VLOOKUP(W57,'Bag weights'!A$2:B$6,2,FALSE)</f>
        <v>#N/A</v>
      </c>
      <c r="AA57" t="e">
        <f>Y57-VLOOKUP(Z57,'Bag weights'!A$2:B$6,2,FALSE)</f>
        <v>#N/A</v>
      </c>
      <c r="AD57" t="e">
        <f>AB57-VLOOKUP(AC57,'Bag weights'!A$2:B$6,2,FALSE)</f>
        <v>#N/A</v>
      </c>
      <c r="AG57" t="e">
        <f>AE57-VLOOKUP(AF57,'Bag weights'!A$2:B$6,2,FALSE)</f>
        <v>#N/A</v>
      </c>
      <c r="AJ57" t="e">
        <f>AH57-VLOOKUP(AI57,'Bag weights'!A$2:B$6,2,FALSE)</f>
        <v>#N/A</v>
      </c>
      <c r="AM57" t="e">
        <f>AK57-VLOOKUP(AL57,'Bag weights'!A$2:B$6,2,FALSE)</f>
        <v>#N/A</v>
      </c>
      <c r="AP57" t="e">
        <f>AN57-VLOOKUP(AO57,'Bag weights'!A$2:B$6,2,FALSE)</f>
        <v>#N/A</v>
      </c>
      <c r="AS57" t="e">
        <f>AQ57-VLOOKUP(AR57,'Bag weights'!A$2:B$6,2,FALSE)</f>
        <v>#N/A</v>
      </c>
      <c r="AV57" t="e">
        <f>AT57-VLOOKUP(AU57,'Bag weights'!A$2:B$6,2,FALSE)</f>
        <v>#N/A</v>
      </c>
      <c r="AW57" t="e">
        <f t="shared" si="0"/>
        <v>#N/A</v>
      </c>
      <c r="BC57" s="92">
        <v>4.9000000000000004</v>
      </c>
      <c r="BG57" s="28">
        <v>2.96</v>
      </c>
    </row>
    <row r="58" spans="1:59">
      <c r="A58" s="70"/>
      <c r="B58" s="70"/>
      <c r="C58" s="70">
        <v>4</v>
      </c>
      <c r="D58" s="70" t="s">
        <v>94</v>
      </c>
      <c r="E58" s="13">
        <v>103.12</v>
      </c>
      <c r="F58" s="13" t="s">
        <v>284</v>
      </c>
      <c r="I58" t="e">
        <f>G58-VLOOKUP(H58,'Bag weights'!A$2:B$6,2,FALSE)</f>
        <v>#N/A</v>
      </c>
      <c r="L58" t="e">
        <f>J58-VLOOKUP(K58,'Bag weights'!D$2:E$6,2,FALSE)</f>
        <v>#N/A</v>
      </c>
      <c r="N58" s="95"/>
      <c r="O58" t="e">
        <f>M58-VLOOKUP(N58,'Bag weights'!A$2:B$6,2,FALSE)</f>
        <v>#N/A</v>
      </c>
      <c r="R58" t="e">
        <f>P58-VLOOKUP(Q58,'Bag weights'!A$2:B$6,2,FALSE)</f>
        <v>#N/A</v>
      </c>
      <c r="U58" t="e">
        <f>S58- VLOOKUP(T58,'Bag weights'!A$2:B$6,2,FALSE)</f>
        <v>#N/A</v>
      </c>
      <c r="X58" t="e">
        <f>V58-VLOOKUP(W58,'Bag weights'!A$2:B$6,2,FALSE)</f>
        <v>#N/A</v>
      </c>
      <c r="AA58" t="e">
        <f>Y58-VLOOKUP(Z58,'Bag weights'!A$2:B$6,2,FALSE)</f>
        <v>#N/A</v>
      </c>
      <c r="AD58" t="e">
        <f>AB58-VLOOKUP(AC58,'Bag weights'!A$2:B$6,2,FALSE)</f>
        <v>#N/A</v>
      </c>
      <c r="AG58" t="e">
        <f>AE58-VLOOKUP(AF58,'Bag weights'!A$2:B$6,2,FALSE)</f>
        <v>#N/A</v>
      </c>
      <c r="AJ58" t="e">
        <f>AH58-VLOOKUP(AI58,'Bag weights'!A$2:B$6,2,FALSE)</f>
        <v>#N/A</v>
      </c>
      <c r="AM58" t="e">
        <f>AK58-VLOOKUP(AL58,'Bag weights'!A$2:B$6,2,FALSE)</f>
        <v>#N/A</v>
      </c>
      <c r="AP58" t="e">
        <f>AN58-VLOOKUP(AO58,'Bag weights'!A$2:B$6,2,FALSE)</f>
        <v>#N/A</v>
      </c>
      <c r="AS58" t="e">
        <f>AQ58-VLOOKUP(AR58,'Bag weights'!A$2:B$6,2,FALSE)</f>
        <v>#N/A</v>
      </c>
      <c r="AV58" t="e">
        <f>AT58-VLOOKUP(AU58,'Bag weights'!A$2:B$6,2,FALSE)</f>
        <v>#N/A</v>
      </c>
      <c r="AW58" t="e">
        <f t="shared" si="0"/>
        <v>#N/A</v>
      </c>
      <c r="BC58" s="92">
        <v>5.5</v>
      </c>
      <c r="BF58" s="28" t="s">
        <v>302</v>
      </c>
    </row>
    <row r="59" spans="1:59">
      <c r="A59" s="70"/>
      <c r="B59" s="70"/>
      <c r="C59" s="70">
        <v>4</v>
      </c>
      <c r="D59" s="70" t="s">
        <v>95</v>
      </c>
      <c r="E59" s="13">
        <v>98.54</v>
      </c>
      <c r="F59" s="13" t="s">
        <v>284</v>
      </c>
      <c r="I59" t="e">
        <f>G59-VLOOKUP(H59,'Bag weights'!A$2:B$6,2,FALSE)</f>
        <v>#N/A</v>
      </c>
      <c r="L59" t="e">
        <f>J59-VLOOKUP(K59,'Bag weights'!D$2:E$6,2,FALSE)</f>
        <v>#N/A</v>
      </c>
      <c r="N59" s="95"/>
      <c r="O59" t="e">
        <f>M59-VLOOKUP(N59,'Bag weights'!A$2:B$6,2,FALSE)</f>
        <v>#N/A</v>
      </c>
      <c r="R59" t="e">
        <f>P59-VLOOKUP(Q59,'Bag weights'!A$2:B$6,2,FALSE)</f>
        <v>#N/A</v>
      </c>
      <c r="U59" t="e">
        <f>S59- VLOOKUP(T59,'Bag weights'!A$2:B$6,2,FALSE)</f>
        <v>#N/A</v>
      </c>
      <c r="X59" t="e">
        <f>V59-VLOOKUP(W59,'Bag weights'!A$2:B$6,2,FALSE)</f>
        <v>#N/A</v>
      </c>
      <c r="AA59" t="e">
        <f>Y59-VLOOKUP(Z59,'Bag weights'!A$2:B$6,2,FALSE)</f>
        <v>#N/A</v>
      </c>
      <c r="AD59" t="e">
        <f>AB59-VLOOKUP(AC59,'Bag weights'!A$2:B$6,2,FALSE)</f>
        <v>#N/A</v>
      </c>
      <c r="AG59" t="e">
        <f>AE59-VLOOKUP(AF59,'Bag weights'!A$2:B$6,2,FALSE)</f>
        <v>#N/A</v>
      </c>
      <c r="AJ59" t="e">
        <f>AH59-VLOOKUP(AI59,'Bag weights'!A$2:B$6,2,FALSE)</f>
        <v>#N/A</v>
      </c>
      <c r="AM59" t="e">
        <f>AK59-VLOOKUP(AL59,'Bag weights'!A$2:B$6,2,FALSE)</f>
        <v>#N/A</v>
      </c>
      <c r="AP59" t="e">
        <f>AN59-VLOOKUP(AO59,'Bag weights'!A$2:B$6,2,FALSE)</f>
        <v>#N/A</v>
      </c>
      <c r="AS59" t="e">
        <f>AQ59-VLOOKUP(AR59,'Bag weights'!A$2:B$6,2,FALSE)</f>
        <v>#N/A</v>
      </c>
      <c r="AV59" t="e">
        <f>AT59-VLOOKUP(AU59,'Bag weights'!A$2:B$6,2,FALSE)</f>
        <v>#N/A</v>
      </c>
      <c r="AW59" t="e">
        <f t="shared" si="0"/>
        <v>#N/A</v>
      </c>
      <c r="BC59" s="92">
        <v>5.3</v>
      </c>
      <c r="BG59" s="28">
        <v>2.83</v>
      </c>
    </row>
    <row r="60" spans="1:59">
      <c r="A60" s="70"/>
      <c r="B60" s="70"/>
      <c r="C60" s="70">
        <v>4</v>
      </c>
      <c r="D60" s="70" t="s">
        <v>96</v>
      </c>
      <c r="E60" s="13">
        <v>67.45</v>
      </c>
      <c r="F60" s="13" t="s">
        <v>284</v>
      </c>
      <c r="I60" t="e">
        <f>G60-VLOOKUP(H60,'Bag weights'!A$2:B$6,2,FALSE)</f>
        <v>#N/A</v>
      </c>
      <c r="L60" t="e">
        <f>J60-VLOOKUP(K60,'Bag weights'!D$2:E$6,2,FALSE)</f>
        <v>#N/A</v>
      </c>
      <c r="N60" s="95"/>
      <c r="O60" t="e">
        <f>M60-VLOOKUP(N60,'Bag weights'!A$2:B$6,2,FALSE)</f>
        <v>#N/A</v>
      </c>
      <c r="R60" t="e">
        <f>P60-VLOOKUP(Q60,'Bag weights'!A$2:B$6,2,FALSE)</f>
        <v>#N/A</v>
      </c>
      <c r="U60" t="e">
        <f>S60- VLOOKUP(T60,'Bag weights'!A$2:B$6,2,FALSE)</f>
        <v>#N/A</v>
      </c>
      <c r="X60" t="e">
        <f>V60-VLOOKUP(W60,'Bag weights'!A$2:B$6,2,FALSE)</f>
        <v>#N/A</v>
      </c>
      <c r="AA60" t="e">
        <f>Y60-VLOOKUP(Z60,'Bag weights'!A$2:B$6,2,FALSE)</f>
        <v>#N/A</v>
      </c>
      <c r="AD60" t="e">
        <f>AB60-VLOOKUP(AC60,'Bag weights'!A$2:B$6,2,FALSE)</f>
        <v>#N/A</v>
      </c>
      <c r="AG60" t="e">
        <f>AE60-VLOOKUP(AF60,'Bag weights'!A$2:B$6,2,FALSE)</f>
        <v>#N/A</v>
      </c>
      <c r="AJ60" t="e">
        <f>AH60-VLOOKUP(AI60,'Bag weights'!A$2:B$6,2,FALSE)</f>
        <v>#N/A</v>
      </c>
      <c r="AM60" t="e">
        <f>AK60-VLOOKUP(AL60,'Bag weights'!A$2:B$6,2,FALSE)</f>
        <v>#N/A</v>
      </c>
      <c r="AP60" t="e">
        <f>AN60-VLOOKUP(AO60,'Bag weights'!A$2:B$6,2,FALSE)</f>
        <v>#N/A</v>
      </c>
      <c r="AS60" t="e">
        <f>AQ60-VLOOKUP(AR60,'Bag weights'!A$2:B$6,2,FALSE)</f>
        <v>#N/A</v>
      </c>
      <c r="AV60" t="e">
        <f>AT60-VLOOKUP(AU60,'Bag weights'!A$2:B$6,2,FALSE)</f>
        <v>#N/A</v>
      </c>
      <c r="AW60" t="e">
        <f t="shared" si="0"/>
        <v>#N/A</v>
      </c>
      <c r="BC60" s="92">
        <v>6.4</v>
      </c>
      <c r="BG60" s="28">
        <v>2.2200000000000002</v>
      </c>
    </row>
    <row r="61" spans="1:59">
      <c r="A61" s="70"/>
      <c r="B61" s="70"/>
      <c r="C61" s="70">
        <v>4</v>
      </c>
      <c r="D61" s="70" t="s">
        <v>39</v>
      </c>
      <c r="E61" s="13">
        <v>95.28</v>
      </c>
      <c r="F61" s="13" t="s">
        <v>284</v>
      </c>
      <c r="I61" t="e">
        <f>G61-VLOOKUP(H61,'Bag weights'!A$2:B$6,2,FALSE)</f>
        <v>#N/A</v>
      </c>
      <c r="L61" t="e">
        <f>J61-VLOOKUP(K61,'Bag weights'!D$2:E$6,2,FALSE)</f>
        <v>#N/A</v>
      </c>
      <c r="N61" s="95"/>
      <c r="O61" t="e">
        <f>M61-VLOOKUP(N61,'Bag weights'!A$2:B$6,2,FALSE)</f>
        <v>#N/A</v>
      </c>
      <c r="R61" t="e">
        <f>P61-VLOOKUP(Q61,'Bag weights'!A$2:B$6,2,FALSE)</f>
        <v>#N/A</v>
      </c>
      <c r="U61" t="e">
        <f>S61- VLOOKUP(T61,'Bag weights'!A$2:B$6,2,FALSE)</f>
        <v>#N/A</v>
      </c>
      <c r="X61" t="e">
        <f>V61-VLOOKUP(W61,'Bag weights'!A$2:B$6,2,FALSE)</f>
        <v>#N/A</v>
      </c>
      <c r="AA61" t="e">
        <f>Y61-VLOOKUP(Z61,'Bag weights'!A$2:B$6,2,FALSE)</f>
        <v>#N/A</v>
      </c>
      <c r="AD61" t="e">
        <f>AB61-VLOOKUP(AC61,'Bag weights'!A$2:B$6,2,FALSE)</f>
        <v>#N/A</v>
      </c>
      <c r="AG61" t="e">
        <f>AE61-VLOOKUP(AF61,'Bag weights'!A$2:B$6,2,FALSE)</f>
        <v>#N/A</v>
      </c>
      <c r="AJ61" t="e">
        <f>AH61-VLOOKUP(AI61,'Bag weights'!A$2:B$6,2,FALSE)</f>
        <v>#N/A</v>
      </c>
      <c r="AM61" t="e">
        <f>AK61-VLOOKUP(AL61,'Bag weights'!A$2:B$6,2,FALSE)</f>
        <v>#N/A</v>
      </c>
      <c r="AP61" t="e">
        <f>AN61-VLOOKUP(AO61,'Bag weights'!A$2:B$6,2,FALSE)</f>
        <v>#N/A</v>
      </c>
      <c r="AS61" t="e">
        <f>AQ61-VLOOKUP(AR61,'Bag weights'!A$2:B$6,2,FALSE)</f>
        <v>#N/A</v>
      </c>
      <c r="AV61" t="e">
        <f>AT61-VLOOKUP(AU61,'Bag weights'!A$2:B$6,2,FALSE)</f>
        <v>#N/A</v>
      </c>
      <c r="AW61" t="e">
        <f t="shared" si="0"/>
        <v>#N/A</v>
      </c>
      <c r="BC61" s="92">
        <v>10.1</v>
      </c>
      <c r="BG61" s="28">
        <v>3.51</v>
      </c>
    </row>
    <row r="62" spans="1:59">
      <c r="A62" s="70"/>
      <c r="B62" s="70"/>
      <c r="C62" s="70">
        <v>4</v>
      </c>
      <c r="D62" s="70" t="s">
        <v>97</v>
      </c>
      <c r="E62" s="13">
        <v>104.36</v>
      </c>
      <c r="F62" s="13" t="s">
        <v>284</v>
      </c>
      <c r="I62" t="e">
        <f>G62-VLOOKUP(H62,'Bag weights'!A$2:B$6,2,FALSE)</f>
        <v>#N/A</v>
      </c>
      <c r="L62" t="e">
        <f>J62-VLOOKUP(K62,'Bag weights'!D$2:E$6,2,FALSE)</f>
        <v>#N/A</v>
      </c>
      <c r="N62" s="95"/>
      <c r="O62" t="e">
        <f>M62-VLOOKUP(N62,'Bag weights'!A$2:B$6,2,FALSE)</f>
        <v>#N/A</v>
      </c>
      <c r="R62" t="e">
        <f>P62-VLOOKUP(Q62,'Bag weights'!A$2:B$6,2,FALSE)</f>
        <v>#N/A</v>
      </c>
      <c r="U62" t="e">
        <f>S62- VLOOKUP(T62,'Bag weights'!A$2:B$6,2,FALSE)</f>
        <v>#N/A</v>
      </c>
      <c r="X62" t="e">
        <f>V62-VLOOKUP(W62,'Bag weights'!A$2:B$6,2,FALSE)</f>
        <v>#N/A</v>
      </c>
      <c r="AA62" t="e">
        <f>Y62-VLOOKUP(Z62,'Bag weights'!A$2:B$6,2,FALSE)</f>
        <v>#N/A</v>
      </c>
      <c r="AD62" t="e">
        <f>AB62-VLOOKUP(AC62,'Bag weights'!A$2:B$6,2,FALSE)</f>
        <v>#N/A</v>
      </c>
      <c r="AG62" t="e">
        <f>AE62-VLOOKUP(AF62,'Bag weights'!A$2:B$6,2,FALSE)</f>
        <v>#N/A</v>
      </c>
      <c r="AJ62" t="e">
        <f>AH62-VLOOKUP(AI62,'Bag weights'!A$2:B$6,2,FALSE)</f>
        <v>#N/A</v>
      </c>
      <c r="AM62" t="e">
        <f>AK62-VLOOKUP(AL62,'Bag weights'!A$2:B$6,2,FALSE)</f>
        <v>#N/A</v>
      </c>
      <c r="AP62" t="e">
        <f>AN62-VLOOKUP(AO62,'Bag weights'!A$2:B$6,2,FALSE)</f>
        <v>#N/A</v>
      </c>
      <c r="AS62" t="e">
        <f>AQ62-VLOOKUP(AR62,'Bag weights'!A$2:B$6,2,FALSE)</f>
        <v>#N/A</v>
      </c>
      <c r="AV62" t="e">
        <f>AT62-VLOOKUP(AU62,'Bag weights'!A$2:B$6,2,FALSE)</f>
        <v>#N/A</v>
      </c>
      <c r="AW62" t="e">
        <f t="shared" si="0"/>
        <v>#N/A</v>
      </c>
      <c r="BC62" s="92">
        <v>6.5</v>
      </c>
      <c r="BF62" s="28" t="s">
        <v>303</v>
      </c>
      <c r="BG62" s="28">
        <v>2.91</v>
      </c>
    </row>
    <row r="63" spans="1:59">
      <c r="A63" s="70" t="s">
        <v>37</v>
      </c>
      <c r="B63" s="70" t="s">
        <v>98</v>
      </c>
      <c r="C63" s="70">
        <v>1</v>
      </c>
      <c r="D63" s="70" t="s">
        <v>94</v>
      </c>
      <c r="E63" s="1"/>
      <c r="F63" s="1"/>
      <c r="I63" t="e">
        <f>G63-VLOOKUP(H63,'Bag weights'!A$2:B$6,2,FALSE)</f>
        <v>#N/A</v>
      </c>
      <c r="L63" t="e">
        <f>J63-VLOOKUP(K63,'Bag weights'!D$2:E$6,2,FALSE)</f>
        <v>#N/A</v>
      </c>
      <c r="N63" s="95"/>
      <c r="O63" t="e">
        <f>M63-VLOOKUP(N63,'Bag weights'!A$2:B$6,2,FALSE)</f>
        <v>#N/A</v>
      </c>
      <c r="R63" t="e">
        <f>P63-VLOOKUP(Q63,'Bag weights'!A$2:B$6,2,FALSE)</f>
        <v>#N/A</v>
      </c>
      <c r="S63" s="28">
        <v>34.520000000000003</v>
      </c>
      <c r="T63" s="28" t="s">
        <v>286</v>
      </c>
      <c r="U63">
        <f>S63- VLOOKUP(T63,'Bag weights'!A$2:B$6,2,FALSE)</f>
        <v>19.120000000000005</v>
      </c>
      <c r="X63" t="e">
        <f>V63-VLOOKUP(W63,'Bag weights'!A$2:B$6,2,FALSE)</f>
        <v>#N/A</v>
      </c>
      <c r="Y63" s="28">
        <v>21.24</v>
      </c>
      <c r="Z63" s="28" t="s">
        <v>287</v>
      </c>
      <c r="AA63">
        <f>Y63-VLOOKUP(Z63,'Bag weights'!A$2:B$6,2,FALSE)</f>
        <v>13.409999999999998</v>
      </c>
      <c r="AB63" s="28">
        <v>12.05</v>
      </c>
      <c r="AC63" s="28" t="s">
        <v>287</v>
      </c>
      <c r="AD63">
        <f>AB63-VLOOKUP(AC63,'Bag weights'!A$2:B$6,2,FALSE)</f>
        <v>4.2200000000000006</v>
      </c>
      <c r="AG63" t="e">
        <f>AE63-VLOOKUP(AF63,'Bag weights'!A$2:B$6,2,FALSE)</f>
        <v>#N/A</v>
      </c>
      <c r="AH63" s="28">
        <v>13.43</v>
      </c>
      <c r="AI63" s="28" t="s">
        <v>287</v>
      </c>
      <c r="AJ63">
        <f>AH63-VLOOKUP(AI63,'Bag weights'!A$2:B$6,2,FALSE)</f>
        <v>5.6</v>
      </c>
      <c r="AK63" s="28">
        <v>39.229999999999997</v>
      </c>
      <c r="AL63" s="28" t="s">
        <v>286</v>
      </c>
      <c r="AM63">
        <f>AK63-VLOOKUP(AL63,'Bag weights'!A$2:B$6,2,FALSE)</f>
        <v>23.83</v>
      </c>
      <c r="AN63" s="28">
        <v>48.65</v>
      </c>
      <c r="AO63" s="28" t="s">
        <v>292</v>
      </c>
      <c r="AP63" t="e">
        <f>AN63-VLOOKUP(AO63,'Bag weights'!A$2:B$6,2,FALSE)</f>
        <v>#N/A</v>
      </c>
      <c r="AS63" t="e">
        <f>AQ63-VLOOKUP(AR63,'Bag weights'!A$2:B$6,2,FALSE)</f>
        <v>#N/A</v>
      </c>
      <c r="AT63" s="28">
        <v>3.73</v>
      </c>
      <c r="AU63" s="28" t="s">
        <v>288</v>
      </c>
      <c r="AV63">
        <f>AT63-VLOOKUP(AU63,'Bag weights'!A$2:B$6,2,FALSE)</f>
        <v>1.2399999999999998</v>
      </c>
      <c r="AW63" t="e">
        <f t="shared" si="0"/>
        <v>#N/A</v>
      </c>
      <c r="BC63" s="92">
        <v>6.8</v>
      </c>
      <c r="BG63" s="28">
        <v>4.7699999999999996</v>
      </c>
    </row>
    <row r="64" spans="1:59">
      <c r="A64" s="75" t="s">
        <v>291</v>
      </c>
      <c r="B64" s="70"/>
      <c r="C64" s="70">
        <v>1</v>
      </c>
      <c r="D64" s="70" t="s">
        <v>95</v>
      </c>
      <c r="E64" s="1"/>
      <c r="F64" s="1"/>
      <c r="I64" t="e">
        <f>G64-VLOOKUP(H64,'Bag weights'!A$2:B$6,2,FALSE)</f>
        <v>#N/A</v>
      </c>
      <c r="L64" t="e">
        <f>J64-VLOOKUP(K64,'Bag weights'!D$2:E$6,2,FALSE)</f>
        <v>#N/A</v>
      </c>
      <c r="N64" s="95"/>
      <c r="O64" t="e">
        <f>M64-VLOOKUP(N64,'Bag weights'!A$2:B$6,2,FALSE)</f>
        <v>#N/A</v>
      </c>
      <c r="R64" t="e">
        <f>P64-VLOOKUP(Q64,'Bag weights'!A$2:B$6,2,FALSE)</f>
        <v>#N/A</v>
      </c>
      <c r="U64" t="e">
        <f>S64- VLOOKUP(T64,'Bag weights'!A$2:B$6,2,FALSE)</f>
        <v>#N/A</v>
      </c>
      <c r="X64" t="e">
        <f>V64-VLOOKUP(W64,'Bag weights'!A$2:B$6,2,FALSE)</f>
        <v>#N/A</v>
      </c>
      <c r="AA64" t="e">
        <f>Y64-VLOOKUP(Z64,'Bag weights'!A$2:B$6,2,FALSE)</f>
        <v>#N/A</v>
      </c>
      <c r="AD64" t="e">
        <f>AB64-VLOOKUP(AC64,'Bag weights'!A$2:B$6,2,FALSE)</f>
        <v>#N/A</v>
      </c>
      <c r="AG64" t="e">
        <f>AE64-VLOOKUP(AF64,'Bag weights'!A$2:B$6,2,FALSE)</f>
        <v>#N/A</v>
      </c>
      <c r="AJ64" t="e">
        <f>AH64-VLOOKUP(AI64,'Bag weights'!A$2:B$6,2,FALSE)</f>
        <v>#N/A</v>
      </c>
      <c r="AM64" t="e">
        <f>AK64-VLOOKUP(AL64,'Bag weights'!A$2:B$6,2,FALSE)</f>
        <v>#N/A</v>
      </c>
      <c r="AP64" t="e">
        <f>AN64-VLOOKUP(AO64,'Bag weights'!A$2:B$6,2,FALSE)</f>
        <v>#N/A</v>
      </c>
      <c r="AS64" t="e">
        <f>AQ64-VLOOKUP(AR64,'Bag weights'!A$2:B$6,2,FALSE)</f>
        <v>#N/A</v>
      </c>
      <c r="AV64" t="e">
        <f>AT64-VLOOKUP(AU64,'Bag weights'!A$2:B$6,2,FALSE)</f>
        <v>#N/A</v>
      </c>
      <c r="AW64" t="e">
        <f t="shared" si="0"/>
        <v>#N/A</v>
      </c>
      <c r="BC64" s="92">
        <v>5.6</v>
      </c>
      <c r="BG64" s="28">
        <v>6.58</v>
      </c>
    </row>
    <row r="65" spans="1:59">
      <c r="A65" s="129" t="s">
        <v>324</v>
      </c>
      <c r="B65" s="130"/>
      <c r="C65" s="70">
        <v>1</v>
      </c>
      <c r="D65" s="70" t="s">
        <v>96</v>
      </c>
      <c r="E65" s="1"/>
      <c r="F65" s="1"/>
      <c r="G65" s="28">
        <v>1.83</v>
      </c>
      <c r="H65" s="28" t="s">
        <v>289</v>
      </c>
      <c r="I65">
        <f>G65-VLOOKUP(H65,'Bag weights'!A$2:B$6,2,FALSE)</f>
        <v>0.34000000000000008</v>
      </c>
      <c r="L65" t="e">
        <f>J65-VLOOKUP(K65,'Bag weights'!D$2:E$6,2,FALSE)</f>
        <v>#N/A</v>
      </c>
      <c r="N65" s="95"/>
      <c r="O65" t="e">
        <f>M65-VLOOKUP(N65,'Bag weights'!A$2:B$6,2,FALSE)</f>
        <v>#N/A</v>
      </c>
      <c r="R65" t="e">
        <f>P65-VLOOKUP(Q65,'Bag weights'!A$2:B$6,2,FALSE)</f>
        <v>#N/A</v>
      </c>
      <c r="S65" s="28">
        <v>36.29</v>
      </c>
      <c r="T65" s="28" t="s">
        <v>286</v>
      </c>
      <c r="U65">
        <f>S65- VLOOKUP(T65,'Bag weights'!A$2:B$6,2,FALSE)</f>
        <v>20.89</v>
      </c>
      <c r="V65" s="28">
        <v>1.47</v>
      </c>
      <c r="W65" s="28" t="s">
        <v>289</v>
      </c>
      <c r="X65">
        <f>V65-VLOOKUP(W65,'Bag weights'!A$2:B$6,2,FALSE)</f>
        <v>-2.0000000000000018E-2</v>
      </c>
      <c r="Y65" s="28">
        <v>45.12</v>
      </c>
      <c r="Z65" s="28" t="s">
        <v>286</v>
      </c>
      <c r="AA65">
        <f>Y65-VLOOKUP(Z65,'Bag weights'!A$2:B$6,2,FALSE)</f>
        <v>29.72</v>
      </c>
      <c r="AB65" s="28">
        <v>10.27</v>
      </c>
      <c r="AC65" s="28" t="s">
        <v>287</v>
      </c>
      <c r="AD65">
        <f>AB65-VLOOKUP(AC65,'Bag weights'!A$2:B$6,2,FALSE)</f>
        <v>2.4399999999999995</v>
      </c>
      <c r="AE65" s="28">
        <v>2.57</v>
      </c>
      <c r="AF65" s="28" t="s">
        <v>288</v>
      </c>
      <c r="AG65">
        <f>AE65-VLOOKUP(AF65,'Bag weights'!A$2:B$6,2,FALSE)</f>
        <v>7.9999999999999627E-2</v>
      </c>
      <c r="AH65" s="28">
        <v>14.9</v>
      </c>
      <c r="AI65" s="28" t="s">
        <v>287</v>
      </c>
      <c r="AJ65">
        <f>AH65-VLOOKUP(AI65,'Bag weights'!A$2:B$6,2,FALSE)</f>
        <v>7.07</v>
      </c>
      <c r="AM65" t="e">
        <f>AK65-VLOOKUP(AL65,'Bag weights'!A$2:B$6,2,FALSE)</f>
        <v>#N/A</v>
      </c>
      <c r="AN65" s="28">
        <v>36.72</v>
      </c>
      <c r="AO65" s="28" t="s">
        <v>292</v>
      </c>
      <c r="AP65" t="e">
        <f>AN65-VLOOKUP(AO65,'Bag weights'!A$2:B$6,2,FALSE)</f>
        <v>#N/A</v>
      </c>
      <c r="AS65" t="e">
        <f>AQ65-VLOOKUP(AR65,'Bag weights'!A$2:B$6,2,FALSE)</f>
        <v>#N/A</v>
      </c>
      <c r="AT65" s="28">
        <v>3.39</v>
      </c>
      <c r="AU65" s="28" t="s">
        <v>288</v>
      </c>
      <c r="AV65">
        <f>AT65-VLOOKUP(AU65,'Bag weights'!A$2:B$6,2,FALSE)</f>
        <v>0.89999999999999991</v>
      </c>
      <c r="AW65" t="e">
        <f t="shared" si="0"/>
        <v>#N/A</v>
      </c>
      <c r="BC65" s="92">
        <v>7.3</v>
      </c>
      <c r="BG65" s="28">
        <v>8.07</v>
      </c>
    </row>
    <row r="66" spans="1:59">
      <c r="A66" s="131"/>
      <c r="B66" s="132"/>
      <c r="C66" s="70">
        <v>1</v>
      </c>
      <c r="D66" s="70" t="s">
        <v>39</v>
      </c>
      <c r="E66" s="1"/>
      <c r="F66" s="1"/>
      <c r="I66" t="e">
        <f>G66-VLOOKUP(H66,'Bag weights'!A$2:B$6,2,FALSE)</f>
        <v>#N/A</v>
      </c>
      <c r="L66" t="e">
        <f>J66-VLOOKUP(K66,'Bag weights'!D$2:E$6,2,FALSE)</f>
        <v>#N/A</v>
      </c>
      <c r="N66" s="95"/>
      <c r="O66" t="e">
        <f>M66-VLOOKUP(N66,'Bag weights'!A$2:B$6,2,FALSE)</f>
        <v>#N/A</v>
      </c>
      <c r="R66" t="e">
        <f>P66-VLOOKUP(Q66,'Bag weights'!A$2:B$6,2,FALSE)</f>
        <v>#N/A</v>
      </c>
      <c r="U66" t="e">
        <f>S66- VLOOKUP(T66,'Bag weights'!A$2:B$6,2,FALSE)</f>
        <v>#N/A</v>
      </c>
      <c r="X66" t="e">
        <f>V66-VLOOKUP(W66,'Bag weights'!A$2:B$6,2,FALSE)</f>
        <v>#N/A</v>
      </c>
      <c r="AA66" t="e">
        <f>Y66-VLOOKUP(Z66,'Bag weights'!A$2:B$6,2,FALSE)</f>
        <v>#N/A</v>
      </c>
      <c r="AD66" t="e">
        <f>AB66-VLOOKUP(AC66,'Bag weights'!A$2:B$6,2,FALSE)</f>
        <v>#N/A</v>
      </c>
      <c r="AG66" t="e">
        <f>AE66-VLOOKUP(AF66,'Bag weights'!A$2:B$6,2,FALSE)</f>
        <v>#N/A</v>
      </c>
      <c r="AJ66" t="e">
        <f>AH66-VLOOKUP(AI66,'Bag weights'!A$2:B$6,2,FALSE)</f>
        <v>#N/A</v>
      </c>
      <c r="AM66" t="e">
        <f>AK66-VLOOKUP(AL66,'Bag weights'!A$2:B$6,2,FALSE)</f>
        <v>#N/A</v>
      </c>
      <c r="AP66" t="e">
        <f>AN66-VLOOKUP(AO66,'Bag weights'!A$2:B$6,2,FALSE)</f>
        <v>#N/A</v>
      </c>
      <c r="AS66" t="e">
        <f>AQ66-VLOOKUP(AR66,'Bag weights'!A$2:B$6,2,FALSE)</f>
        <v>#N/A</v>
      </c>
      <c r="AV66" t="e">
        <f>AT66-VLOOKUP(AU66,'Bag weights'!A$2:B$6,2,FALSE)</f>
        <v>#N/A</v>
      </c>
      <c r="AW66" t="e">
        <f t="shared" si="0"/>
        <v>#N/A</v>
      </c>
      <c r="BC66" s="92">
        <v>13.4</v>
      </c>
      <c r="BG66" s="28">
        <v>5.08</v>
      </c>
    </row>
    <row r="67" spans="1:59">
      <c r="A67" s="133"/>
      <c r="B67" s="134"/>
      <c r="C67" s="70">
        <v>1</v>
      </c>
      <c r="D67" s="70" t="s">
        <v>97</v>
      </c>
      <c r="E67" s="1"/>
      <c r="F67" s="1"/>
      <c r="G67" s="28">
        <v>4.01</v>
      </c>
      <c r="H67" s="28" t="s">
        <v>288</v>
      </c>
      <c r="I67">
        <f>G67-VLOOKUP(H67,'Bag weights'!A$2:B$6,2,FALSE)</f>
        <v>1.5199999999999996</v>
      </c>
      <c r="L67" t="e">
        <f>J67-VLOOKUP(K67,'Bag weights'!D$2:E$6,2,FALSE)</f>
        <v>#N/A</v>
      </c>
      <c r="M67" s="28">
        <v>1.71</v>
      </c>
      <c r="N67" s="87" t="s">
        <v>289</v>
      </c>
      <c r="O67">
        <f>M67-VLOOKUP(N67,'Bag weights'!A$2:B$6,2,FALSE)</f>
        <v>0.21999999999999997</v>
      </c>
      <c r="R67" t="e">
        <f>P67-VLOOKUP(Q67,'Bag weights'!A$2:B$6,2,FALSE)</f>
        <v>#N/A</v>
      </c>
      <c r="S67" s="28">
        <v>30.65</v>
      </c>
      <c r="T67" s="28" t="s">
        <v>286</v>
      </c>
      <c r="U67">
        <f>S67- VLOOKUP(T67,'Bag weights'!A$2:B$6,2,FALSE)</f>
        <v>15.249999999999998</v>
      </c>
      <c r="X67" t="e">
        <f>V67-VLOOKUP(W67,'Bag weights'!A$2:B$6,2,FALSE)</f>
        <v>#N/A</v>
      </c>
      <c r="Y67" s="28">
        <v>31.2</v>
      </c>
      <c r="Z67" s="28" t="s">
        <v>286</v>
      </c>
      <c r="AA67">
        <f>Y67-VLOOKUP(Z67,'Bag weights'!A$2:B$6,2,FALSE)</f>
        <v>15.799999999999999</v>
      </c>
      <c r="AB67" s="28">
        <v>29.58</v>
      </c>
      <c r="AC67" s="28" t="s">
        <v>286</v>
      </c>
      <c r="AD67">
        <f>AB67-VLOOKUP(AC67,'Bag weights'!A$2:B$6,2,FALSE)</f>
        <v>14.179999999999998</v>
      </c>
      <c r="AG67" t="e">
        <f>AE67-VLOOKUP(AF67,'Bag weights'!A$2:B$6,2,FALSE)</f>
        <v>#N/A</v>
      </c>
      <c r="AH67" s="28">
        <v>13.32</v>
      </c>
      <c r="AI67" s="28" t="s">
        <v>287</v>
      </c>
      <c r="AJ67">
        <f>AH67-VLOOKUP(AI67,'Bag weights'!A$2:B$6,2,FALSE)</f>
        <v>5.49</v>
      </c>
      <c r="AK67" s="28">
        <v>29.46</v>
      </c>
      <c r="AL67" s="28" t="s">
        <v>286</v>
      </c>
      <c r="AM67">
        <f>AK67-VLOOKUP(AL67,'Bag weights'!A$2:B$6,2,FALSE)</f>
        <v>14.06</v>
      </c>
      <c r="AN67" s="28">
        <v>14.35</v>
      </c>
      <c r="AO67" s="28" t="s">
        <v>287</v>
      </c>
      <c r="AP67">
        <f>AN67-VLOOKUP(AO67,'Bag weights'!A$2:B$6,2,FALSE)</f>
        <v>6.52</v>
      </c>
      <c r="AS67" t="e">
        <f>AQ67-VLOOKUP(AR67,'Bag weights'!A$2:B$6,2,FALSE)</f>
        <v>#N/A</v>
      </c>
      <c r="AT67" s="28">
        <v>3.86</v>
      </c>
      <c r="AU67" s="28" t="s">
        <v>288</v>
      </c>
      <c r="AV67">
        <f>AT67-VLOOKUP(AU67,'Bag weights'!A$2:B$6,2,FALSE)</f>
        <v>1.3699999999999997</v>
      </c>
      <c r="AW67" t="e">
        <f t="shared" si="0"/>
        <v>#N/A</v>
      </c>
      <c r="BC67" s="92">
        <v>4.7</v>
      </c>
      <c r="BG67" s="28">
        <v>6.03</v>
      </c>
    </row>
    <row r="68" spans="1:59">
      <c r="A68" s="70"/>
      <c r="B68" s="70"/>
      <c r="C68" s="70">
        <v>2</v>
      </c>
      <c r="D68" s="70" t="s">
        <v>94</v>
      </c>
      <c r="E68" s="1"/>
      <c r="F68" s="1"/>
      <c r="I68" t="e">
        <f>G68-VLOOKUP(H68,'Bag weights'!A$2:B$6,2,FALSE)</f>
        <v>#N/A</v>
      </c>
      <c r="L68" t="e">
        <f>J68-VLOOKUP(K68,'Bag weights'!D$2:E$6,2,FALSE)</f>
        <v>#N/A</v>
      </c>
      <c r="N68" s="95"/>
      <c r="O68" t="e">
        <f>M68-VLOOKUP(N68,'Bag weights'!A$2:B$6,2,FALSE)</f>
        <v>#N/A</v>
      </c>
      <c r="R68" t="e">
        <f>P68-VLOOKUP(Q68,'Bag weights'!A$2:B$6,2,FALSE)</f>
        <v>#N/A</v>
      </c>
      <c r="U68" t="e">
        <f>S68- VLOOKUP(T68,'Bag weights'!A$2:B$6,2,FALSE)</f>
        <v>#N/A</v>
      </c>
      <c r="X68" t="e">
        <f>V68-VLOOKUP(W68,'Bag weights'!A$2:B$6,2,FALSE)</f>
        <v>#N/A</v>
      </c>
      <c r="AA68" t="e">
        <f>Y68-VLOOKUP(Z68,'Bag weights'!A$2:B$6,2,FALSE)</f>
        <v>#N/A</v>
      </c>
      <c r="AD68" t="e">
        <f>AB68-VLOOKUP(AC68,'Bag weights'!A$2:B$6,2,FALSE)</f>
        <v>#N/A</v>
      </c>
      <c r="AG68" t="e">
        <f>AE68-VLOOKUP(AF68,'Bag weights'!A$2:B$6,2,FALSE)</f>
        <v>#N/A</v>
      </c>
      <c r="AJ68" t="e">
        <f>AH68-VLOOKUP(AI68,'Bag weights'!A$2:B$6,2,FALSE)</f>
        <v>#N/A</v>
      </c>
      <c r="AM68" t="e">
        <f>AK68-VLOOKUP(AL68,'Bag weights'!A$2:B$6,2,FALSE)</f>
        <v>#N/A</v>
      </c>
      <c r="AP68" t="e">
        <f>AN68-VLOOKUP(AO68,'Bag weights'!A$2:B$6,2,FALSE)</f>
        <v>#N/A</v>
      </c>
      <c r="AS68" t="e">
        <f>AQ68-VLOOKUP(AR68,'Bag weights'!A$2:B$6,2,FALSE)</f>
        <v>#N/A</v>
      </c>
      <c r="AV68" t="e">
        <f>AT68-VLOOKUP(AU68,'Bag weights'!A$2:B$6,2,FALSE)</f>
        <v>#N/A</v>
      </c>
      <c r="AW68" t="e">
        <f t="shared" si="0"/>
        <v>#N/A</v>
      </c>
      <c r="BC68" s="92">
        <v>8.9</v>
      </c>
      <c r="BG68" s="28">
        <v>6.51</v>
      </c>
    </row>
    <row r="69" spans="1:59">
      <c r="A69" s="70"/>
      <c r="B69" s="70"/>
      <c r="C69" s="70">
        <v>2</v>
      </c>
      <c r="D69" s="70" t="s">
        <v>95</v>
      </c>
      <c r="E69" s="13" t="s">
        <v>325</v>
      </c>
      <c r="F69" s="1"/>
      <c r="G69" s="28">
        <v>1.53</v>
      </c>
      <c r="H69" s="28" t="s">
        <v>289</v>
      </c>
      <c r="I69">
        <f>G69-VLOOKUP(H69,'Bag weights'!A$2:B$6,2,FALSE)</f>
        <v>4.0000000000000036E-2</v>
      </c>
      <c r="L69" t="e">
        <f>J69-VLOOKUP(K69,'Bag weights'!D$2:E$6,2,FALSE)</f>
        <v>#N/A</v>
      </c>
      <c r="N69" s="95"/>
      <c r="O69" t="e">
        <f>M69-VLOOKUP(N69,'Bag weights'!A$2:B$6,2,FALSE)</f>
        <v>#N/A</v>
      </c>
      <c r="R69" t="e">
        <f>P69-VLOOKUP(Q69,'Bag weights'!A$2:B$6,2,FALSE)</f>
        <v>#N/A</v>
      </c>
      <c r="S69" s="28">
        <v>24.71</v>
      </c>
      <c r="T69" s="28" t="s">
        <v>286</v>
      </c>
      <c r="U69">
        <f>S69- VLOOKUP(T69,'Bag weights'!A$2:B$6,2,FALSE)</f>
        <v>9.31</v>
      </c>
      <c r="V69" s="28">
        <v>1.44</v>
      </c>
      <c r="W69" s="28" t="s">
        <v>289</v>
      </c>
      <c r="X69">
        <f>V69-VLOOKUP(W69,'Bag weights'!A$2:B$6,2,FALSE)</f>
        <v>-5.0000000000000044E-2</v>
      </c>
      <c r="Y69" s="28">
        <v>17.16</v>
      </c>
      <c r="Z69" s="28" t="s">
        <v>287</v>
      </c>
      <c r="AA69">
        <f>Y69-VLOOKUP(Z69,'Bag weights'!A$2:B$6,2,FALSE)</f>
        <v>9.33</v>
      </c>
      <c r="AB69" s="28">
        <v>26.97</v>
      </c>
      <c r="AC69" s="28" t="s">
        <v>286</v>
      </c>
      <c r="AD69">
        <f>AB69-VLOOKUP(AC69,'Bag weights'!A$2:B$6,2,FALSE)</f>
        <v>11.569999999999999</v>
      </c>
      <c r="AE69" s="28">
        <v>1.61</v>
      </c>
      <c r="AF69" s="28" t="s">
        <v>289</v>
      </c>
      <c r="AG69">
        <f>AE69-VLOOKUP(AF69,'Bag weights'!A$2:B$6,2,FALSE)</f>
        <v>0.12000000000000011</v>
      </c>
      <c r="AH69" s="28">
        <v>19.07</v>
      </c>
      <c r="AI69" s="28" t="s">
        <v>287</v>
      </c>
      <c r="AJ69">
        <f>AH69-VLOOKUP(AI69,'Bag weights'!A$2:B$6,2,FALSE)</f>
        <v>11.24</v>
      </c>
      <c r="AK69" s="28">
        <v>35.19</v>
      </c>
      <c r="AL69" s="28" t="s">
        <v>286</v>
      </c>
      <c r="AM69">
        <f>AK69-VLOOKUP(AL69,'Bag weights'!A$2:B$6,2,FALSE)</f>
        <v>19.79</v>
      </c>
      <c r="AN69" s="28">
        <v>18.55</v>
      </c>
      <c r="AO69" s="28" t="s">
        <v>287</v>
      </c>
      <c r="AP69">
        <f>AN69-VLOOKUP(AO69,'Bag weights'!A$2:B$6,2,FALSE)</f>
        <v>10.72</v>
      </c>
      <c r="AS69" t="e">
        <f>AQ69-VLOOKUP(AR69,'Bag weights'!A$2:B$6,2,FALSE)</f>
        <v>#N/A</v>
      </c>
      <c r="AT69" s="28">
        <v>3.23</v>
      </c>
      <c r="AU69" s="28" t="s">
        <v>288</v>
      </c>
      <c r="AV69">
        <f>AT69-VLOOKUP(AU69,'Bag weights'!A$2:B$6,2,FALSE)</f>
        <v>0.73999999999999977</v>
      </c>
      <c r="AW69" t="e">
        <f t="shared" si="0"/>
        <v>#N/A</v>
      </c>
      <c r="BC69" s="92">
        <v>9.6</v>
      </c>
      <c r="BG69" s="28">
        <v>3.72</v>
      </c>
    </row>
    <row r="70" spans="1:59">
      <c r="A70" s="70"/>
      <c r="B70" s="70"/>
      <c r="C70" s="70">
        <v>2</v>
      </c>
      <c r="D70" s="70" t="s">
        <v>96</v>
      </c>
      <c r="E70" s="1"/>
      <c r="F70" s="1"/>
      <c r="G70" s="28">
        <v>7.88</v>
      </c>
      <c r="H70" s="28" t="s">
        <v>287</v>
      </c>
      <c r="I70">
        <f>G70-VLOOKUP(H70,'Bag weights'!A$2:B$6,2,FALSE)</f>
        <v>4.9999999999999822E-2</v>
      </c>
      <c r="L70" t="e">
        <f>J70-VLOOKUP(K70,'Bag weights'!D$2:E$6,2,FALSE)</f>
        <v>#N/A</v>
      </c>
      <c r="M70" s="28">
        <v>7.62</v>
      </c>
      <c r="N70" s="87" t="s">
        <v>287</v>
      </c>
      <c r="O70">
        <f>M70-VLOOKUP(N70,'Bag weights'!A$2:B$6,2,FALSE)</f>
        <v>-0.20999999999999996</v>
      </c>
      <c r="R70" t="e">
        <f>P70-VLOOKUP(Q70,'Bag weights'!A$2:B$6,2,FALSE)</f>
        <v>#N/A</v>
      </c>
      <c r="S70" s="28">
        <v>26.69</v>
      </c>
      <c r="T70" s="28" t="s">
        <v>286</v>
      </c>
      <c r="U70">
        <f>S70- VLOOKUP(T70,'Bag weights'!A$2:B$6,2,FALSE)</f>
        <v>11.290000000000001</v>
      </c>
      <c r="X70" t="e">
        <f>V70-VLOOKUP(W70,'Bag weights'!A$2:B$6,2,FALSE)</f>
        <v>#N/A</v>
      </c>
      <c r="Y70" s="28">
        <v>31.27</v>
      </c>
      <c r="Z70" s="28" t="s">
        <v>286</v>
      </c>
      <c r="AA70">
        <f>Y70-VLOOKUP(Z70,'Bag weights'!A$2:B$6,2,FALSE)</f>
        <v>15.87</v>
      </c>
      <c r="AB70" s="28">
        <v>19.29</v>
      </c>
      <c r="AC70" s="28" t="s">
        <v>286</v>
      </c>
      <c r="AD70">
        <f>AB70-VLOOKUP(AC70,'Bag weights'!A$2:B$6,2,FALSE)</f>
        <v>3.8899999999999988</v>
      </c>
      <c r="AG70" t="e">
        <f>AE70-VLOOKUP(AF70,'Bag weights'!A$2:B$6,2,FALSE)</f>
        <v>#N/A</v>
      </c>
      <c r="AH70" s="28">
        <v>24.79</v>
      </c>
      <c r="AI70" s="28" t="s">
        <v>287</v>
      </c>
      <c r="AJ70">
        <f>AH70-VLOOKUP(AI70,'Bag weights'!A$2:B$6,2,FALSE)</f>
        <v>16.96</v>
      </c>
      <c r="AK70" s="28">
        <v>15.37</v>
      </c>
      <c r="AL70" s="28" t="s">
        <v>287</v>
      </c>
      <c r="AM70">
        <f>AK70-VLOOKUP(AL70,'Bag weights'!A$2:B$6,2,FALSE)</f>
        <v>7.5399999999999991</v>
      </c>
      <c r="AN70" s="28">
        <v>39.979999999999997</v>
      </c>
      <c r="AO70" s="28" t="s">
        <v>292</v>
      </c>
      <c r="AP70" t="e">
        <f>AN70-VLOOKUP(AO70,'Bag weights'!A$2:B$6,2,FALSE)</f>
        <v>#N/A</v>
      </c>
      <c r="AS70" t="e">
        <f>AQ70-VLOOKUP(AR70,'Bag weights'!A$2:B$6,2,FALSE)</f>
        <v>#N/A</v>
      </c>
      <c r="AT70" s="28">
        <v>1.59</v>
      </c>
      <c r="AU70" s="28" t="s">
        <v>289</v>
      </c>
      <c r="AV70">
        <f>AT70-VLOOKUP(AU70,'Bag weights'!A$2:B$6,2,FALSE)</f>
        <v>0.10000000000000009</v>
      </c>
      <c r="AW70" t="e">
        <f t="shared" si="0"/>
        <v>#N/A</v>
      </c>
      <c r="BC70" s="92">
        <v>6.6</v>
      </c>
      <c r="BF70" s="28" t="s">
        <v>326</v>
      </c>
    </row>
    <row r="71" spans="1:59">
      <c r="A71" s="70"/>
      <c r="B71" s="70"/>
      <c r="C71" s="70">
        <v>2</v>
      </c>
      <c r="D71" s="70" t="s">
        <v>39</v>
      </c>
      <c r="E71" s="1"/>
      <c r="F71" s="1"/>
      <c r="I71" t="e">
        <f>G71-VLOOKUP(H71,'Bag weights'!A$2:B$6,2,FALSE)</f>
        <v>#N/A</v>
      </c>
      <c r="L71" t="e">
        <f>J71-VLOOKUP(K71,'Bag weights'!D$2:E$6,2,FALSE)</f>
        <v>#N/A</v>
      </c>
      <c r="N71" s="87"/>
      <c r="O71" t="e">
        <f>M72-VLOOKUP(N71,'Bag weights'!A$2:B$6,2,FALSE)</f>
        <v>#N/A</v>
      </c>
      <c r="R71" t="e">
        <f>P71-VLOOKUP(Q71,'Bag weights'!A$2:B$6,2,FALSE)</f>
        <v>#N/A</v>
      </c>
      <c r="S71" s="28">
        <v>36.68</v>
      </c>
      <c r="T71" s="28" t="s">
        <v>286</v>
      </c>
      <c r="U71">
        <f>S71- VLOOKUP(T71,'Bag weights'!A$2:B$6,2,FALSE)</f>
        <v>21.28</v>
      </c>
      <c r="X71" t="e">
        <f>V71-VLOOKUP(W71,'Bag weights'!A$2:B$6,2,FALSE)</f>
        <v>#N/A</v>
      </c>
      <c r="Y71" s="28">
        <v>12.84</v>
      </c>
      <c r="Z71" s="28" t="s">
        <v>287</v>
      </c>
      <c r="AA71">
        <f>Y71-VLOOKUP(Z71,'Bag weights'!A$2:B$6,2,FALSE)</f>
        <v>5.01</v>
      </c>
      <c r="AB71" s="28">
        <v>12.54</v>
      </c>
      <c r="AC71" s="28" t="s">
        <v>287</v>
      </c>
      <c r="AD71">
        <f>AB71-VLOOKUP(AC71,'Bag weights'!A$2:B$6,2,FALSE)</f>
        <v>4.7099999999999991</v>
      </c>
      <c r="AE71" s="28">
        <v>3.05</v>
      </c>
      <c r="AF71" s="28" t="s">
        <v>288</v>
      </c>
      <c r="AG71">
        <f>AE71-VLOOKUP(AF71,'Bag weights'!A$2:B$6,2,FALSE)</f>
        <v>0.55999999999999961</v>
      </c>
      <c r="AH71" s="28">
        <v>18.71</v>
      </c>
      <c r="AI71" s="28" t="s">
        <v>287</v>
      </c>
      <c r="AJ71">
        <f>AH71-VLOOKUP(AI71,'Bag weights'!A$2:B$6,2,FALSE)</f>
        <v>10.88</v>
      </c>
      <c r="AK71" s="28">
        <v>21.07</v>
      </c>
      <c r="AL71" s="28" t="s">
        <v>287</v>
      </c>
      <c r="AM71">
        <f>AK71-VLOOKUP(AL71,'Bag weights'!A$2:B$6,2,FALSE)</f>
        <v>13.24</v>
      </c>
      <c r="AN71" s="28">
        <v>25.38</v>
      </c>
      <c r="AO71" s="28" t="s">
        <v>287</v>
      </c>
      <c r="AP71">
        <f>AN71-VLOOKUP(AO71,'Bag weights'!A$2:B$6,2,FALSE)</f>
        <v>17.549999999999997</v>
      </c>
      <c r="AS71" t="e">
        <f>AQ71-VLOOKUP(AR71,'Bag weights'!A$2:B$6,2,FALSE)</f>
        <v>#N/A</v>
      </c>
      <c r="AT71" s="28">
        <v>2.83</v>
      </c>
      <c r="AU71" s="28" t="s">
        <v>288</v>
      </c>
      <c r="AV71">
        <f>AT71-VLOOKUP(AU71,'Bag weights'!A$2:B$6,2,FALSE)</f>
        <v>0.33999999999999986</v>
      </c>
      <c r="AW71" t="e">
        <f t="shared" si="0"/>
        <v>#N/A</v>
      </c>
      <c r="BC71" s="92">
        <v>7</v>
      </c>
      <c r="BG71" s="28">
        <v>3.94</v>
      </c>
    </row>
    <row r="72" spans="1:59">
      <c r="A72" s="70"/>
      <c r="B72" s="70"/>
      <c r="C72" s="70">
        <v>2</v>
      </c>
      <c r="D72" s="70" t="s">
        <v>97</v>
      </c>
      <c r="E72" s="1"/>
      <c r="F72" s="1"/>
      <c r="I72" t="e">
        <f>G72-VLOOKUP(H72,'Bag weights'!A$2:B$6,2,FALSE)</f>
        <v>#N/A</v>
      </c>
      <c r="L72" t="e">
        <f>J72-VLOOKUP(K72,'Bag weights'!D$2:E$6,2,FALSE)</f>
        <v>#N/A</v>
      </c>
      <c r="M72" s="28">
        <v>10.24</v>
      </c>
      <c r="N72" s="87" t="s">
        <v>287</v>
      </c>
      <c r="O72">
        <f>M72-VLOOKUP(N72,'Bag weights'!A$2:B$6,2,FALSE)</f>
        <v>2.41</v>
      </c>
      <c r="R72" t="e">
        <f>P72-VLOOKUP(Q72,'Bag weights'!A$2:B$6,2,FALSE)</f>
        <v>#N/A</v>
      </c>
      <c r="S72" s="28">
        <v>48.46</v>
      </c>
      <c r="T72" s="28" t="s">
        <v>286</v>
      </c>
      <c r="U72">
        <f>S72- VLOOKUP(T72,'Bag weights'!A$2:B$6,2,FALSE)</f>
        <v>33.06</v>
      </c>
      <c r="X72" t="e">
        <f>V72-VLOOKUP(W72,'Bag weights'!A$2:B$6,2,FALSE)</f>
        <v>#N/A</v>
      </c>
      <c r="Y72" s="28">
        <v>13.67</v>
      </c>
      <c r="Z72" s="28" t="s">
        <v>287</v>
      </c>
      <c r="AA72">
        <f>Y72-VLOOKUP(Z72,'Bag weights'!A$2:B$6,2,FALSE)</f>
        <v>5.84</v>
      </c>
      <c r="AB72" s="28">
        <v>43.57</v>
      </c>
      <c r="AC72" s="28" t="s">
        <v>286</v>
      </c>
      <c r="AD72">
        <f>AB72-VLOOKUP(AC72,'Bag weights'!A$2:B$6,2,FALSE)</f>
        <v>28.17</v>
      </c>
      <c r="AG72" t="e">
        <f>AE72-VLOOKUP(AF72,'Bag weights'!A$2:B$6,2,FALSE)</f>
        <v>#N/A</v>
      </c>
      <c r="AH72" s="28">
        <v>16.22</v>
      </c>
      <c r="AI72" s="28" t="s">
        <v>287</v>
      </c>
      <c r="AJ72">
        <f>AH72-VLOOKUP(AI72,'Bag weights'!A$2:B$6,2,FALSE)</f>
        <v>8.3899999999999988</v>
      </c>
      <c r="AK72" s="28">
        <v>33.74</v>
      </c>
      <c r="AL72" s="28" t="s">
        <v>287</v>
      </c>
      <c r="AM72">
        <f>AK72-VLOOKUP(AL72,'Bag weights'!A$2:B$6,2,FALSE)</f>
        <v>25.910000000000004</v>
      </c>
      <c r="AN72" s="28">
        <v>32.97</v>
      </c>
      <c r="AO72" s="28" t="s">
        <v>287</v>
      </c>
      <c r="AP72">
        <f>AN72-VLOOKUP(AO72,'Bag weights'!A$2:B$6,2,FALSE)</f>
        <v>25.14</v>
      </c>
      <c r="AS72" t="e">
        <f>AQ72-VLOOKUP(AR72,'Bag weights'!A$2:B$6,2,FALSE)</f>
        <v>#N/A</v>
      </c>
      <c r="AT72" s="28">
        <v>3.62</v>
      </c>
      <c r="AU72" s="28" t="s">
        <v>288</v>
      </c>
      <c r="AV72">
        <f>AT72-VLOOKUP(AU72,'Bag weights'!A$2:B$6,2,FALSE)</f>
        <v>1.1299999999999999</v>
      </c>
      <c r="AW72" t="e">
        <f t="shared" si="0"/>
        <v>#N/A</v>
      </c>
      <c r="BC72" s="92">
        <v>10</v>
      </c>
      <c r="BG72" s="28">
        <v>3.69</v>
      </c>
    </row>
    <row r="73" spans="1:59">
      <c r="A73" s="70"/>
      <c r="B73" s="70"/>
      <c r="C73" s="70">
        <v>3</v>
      </c>
      <c r="D73" s="70" t="s">
        <v>94</v>
      </c>
      <c r="E73" s="1"/>
      <c r="F73" s="1"/>
      <c r="I73" t="e">
        <f>G73-VLOOKUP(H73,'Bag weights'!A$2:B$6,2,FALSE)</f>
        <v>#N/A</v>
      </c>
      <c r="L73" t="e">
        <f>J73-VLOOKUP(K73,'Bag weights'!D$2:E$6,2,FALSE)</f>
        <v>#N/A</v>
      </c>
      <c r="N73" s="95"/>
      <c r="O73" t="e">
        <f>M73-VLOOKUP(N73,'Bag weights'!A$2:B$6,2,FALSE)</f>
        <v>#N/A</v>
      </c>
      <c r="R73" t="e">
        <f>P73-VLOOKUP(Q73,'Bag weights'!A$2:B$6,2,FALSE)</f>
        <v>#N/A</v>
      </c>
      <c r="U73" t="e">
        <f>S73- VLOOKUP(T73,'Bag weights'!A$2:B$6,2,FALSE)</f>
        <v>#N/A</v>
      </c>
      <c r="X73" t="e">
        <f>V73-VLOOKUP(W73,'Bag weights'!A$2:B$6,2,FALSE)</f>
        <v>#N/A</v>
      </c>
      <c r="AA73" t="e">
        <f>Y73-VLOOKUP(Z73,'Bag weights'!A$2:B$6,2,FALSE)</f>
        <v>#N/A</v>
      </c>
      <c r="AD73" t="e">
        <f>AB73-VLOOKUP(AC73,'Bag weights'!A$2:B$6,2,FALSE)</f>
        <v>#N/A</v>
      </c>
      <c r="AG73" t="e">
        <f>AE73-VLOOKUP(AF73,'Bag weights'!A$2:B$6,2,FALSE)</f>
        <v>#N/A</v>
      </c>
      <c r="AJ73" t="e">
        <f>AH73-VLOOKUP(AI73,'Bag weights'!A$2:B$6,2,FALSE)</f>
        <v>#N/A</v>
      </c>
      <c r="AM73" t="e">
        <f>AK73-VLOOKUP(AL73,'Bag weights'!A$2:B$6,2,FALSE)</f>
        <v>#N/A</v>
      </c>
      <c r="AP73" t="e">
        <f>AN73-VLOOKUP(AO73,'Bag weights'!A$2:B$6,2,FALSE)</f>
        <v>#N/A</v>
      </c>
      <c r="AS73" t="e">
        <f>AQ73-VLOOKUP(AR73,'Bag weights'!A$2:B$6,2,FALSE)</f>
        <v>#N/A</v>
      </c>
      <c r="AV73" t="e">
        <f>AT73-VLOOKUP(AU73,'Bag weights'!A$2:B$6,2,FALSE)</f>
        <v>#N/A</v>
      </c>
      <c r="AW73" t="e">
        <f t="shared" si="0"/>
        <v>#N/A</v>
      </c>
      <c r="BC73" s="92">
        <v>5.9</v>
      </c>
      <c r="BF73" s="28" t="s">
        <v>326</v>
      </c>
    </row>
    <row r="74" spans="1:59">
      <c r="A74" s="70"/>
      <c r="B74" s="70"/>
      <c r="C74" s="70">
        <v>3</v>
      </c>
      <c r="D74" s="70" t="s">
        <v>95</v>
      </c>
      <c r="E74" s="1"/>
      <c r="F74" s="1"/>
      <c r="I74" t="e">
        <f>G74-VLOOKUP(H74,'Bag weights'!A$2:B$6,2,FALSE)</f>
        <v>#N/A</v>
      </c>
      <c r="L74" t="e">
        <f>J74-VLOOKUP(K74,'Bag weights'!D$2:E$6,2,FALSE)</f>
        <v>#N/A</v>
      </c>
      <c r="N74" s="95"/>
      <c r="O74" t="e">
        <f>M74-VLOOKUP(N74,'Bag weights'!A$2:B$6,2,FALSE)</f>
        <v>#N/A</v>
      </c>
      <c r="R74" t="e">
        <f>P74-VLOOKUP(Q74,'Bag weights'!A$2:B$6,2,FALSE)</f>
        <v>#N/A</v>
      </c>
      <c r="U74" t="e">
        <f>S74- VLOOKUP(T74,'Bag weights'!A$2:B$6,2,FALSE)</f>
        <v>#N/A</v>
      </c>
      <c r="X74" t="e">
        <f>V74-VLOOKUP(W74,'Bag weights'!A$2:B$6,2,FALSE)</f>
        <v>#N/A</v>
      </c>
      <c r="AA74" t="e">
        <f>Y74-VLOOKUP(Z74,'Bag weights'!A$2:B$6,2,FALSE)</f>
        <v>#N/A</v>
      </c>
      <c r="AD74" t="e">
        <f>AB74-VLOOKUP(AC74,'Bag weights'!A$2:B$6,2,FALSE)</f>
        <v>#N/A</v>
      </c>
      <c r="AG74" t="e">
        <f>AE74-VLOOKUP(AF74,'Bag weights'!A$2:B$6,2,FALSE)</f>
        <v>#N/A</v>
      </c>
      <c r="AJ74" t="e">
        <f>AH74-VLOOKUP(AI74,'Bag weights'!A$2:B$6,2,FALSE)</f>
        <v>#N/A</v>
      </c>
      <c r="AM74" t="e">
        <f>AK74-VLOOKUP(AL74,'Bag weights'!A$2:B$6,2,FALSE)</f>
        <v>#N/A</v>
      </c>
      <c r="AP74" t="e">
        <f>AN74-VLOOKUP(AO74,'Bag weights'!A$2:B$6,2,FALSE)</f>
        <v>#N/A</v>
      </c>
      <c r="AS74" t="e">
        <f>AQ74-VLOOKUP(AR74,'Bag weights'!A$2:B$6,2,FALSE)</f>
        <v>#N/A</v>
      </c>
      <c r="AV74" t="e">
        <f>AT74-VLOOKUP(AU74,'Bag weights'!A$2:B$6,2,FALSE)</f>
        <v>#N/A</v>
      </c>
      <c r="AW74" t="e">
        <f t="shared" si="0"/>
        <v>#N/A</v>
      </c>
      <c r="BC74" s="92">
        <v>17.600000000000001</v>
      </c>
      <c r="BG74" s="28">
        <v>3.2</v>
      </c>
    </row>
    <row r="75" spans="1:59">
      <c r="A75" s="70"/>
      <c r="B75" s="70"/>
      <c r="C75" s="70">
        <v>3</v>
      </c>
      <c r="D75" s="70" t="s">
        <v>96</v>
      </c>
      <c r="E75" s="13" t="s">
        <v>325</v>
      </c>
      <c r="F75" s="1"/>
      <c r="I75" t="e">
        <f>G75-VLOOKUP(H75,'Bag weights'!A$2:B$6,2,FALSE)</f>
        <v>#N/A</v>
      </c>
      <c r="L75" t="e">
        <f>J75-VLOOKUP(K75,'Bag weights'!D$2:E$6,2,FALSE)</f>
        <v>#N/A</v>
      </c>
      <c r="N75" s="95"/>
      <c r="O75" t="e">
        <f>M75-VLOOKUP(N75,'Bag weights'!A$2:B$6,2,FALSE)</f>
        <v>#N/A</v>
      </c>
      <c r="R75" t="e">
        <f>P75-VLOOKUP(Q75,'Bag weights'!A$2:B$6,2,FALSE)</f>
        <v>#N/A</v>
      </c>
      <c r="S75" s="28">
        <v>37.15</v>
      </c>
      <c r="T75" s="28" t="s">
        <v>284</v>
      </c>
      <c r="U75">
        <f>S75- VLOOKUP(T75,'Bag weights'!A$2:B$6,2,FALSE)</f>
        <v>16.2</v>
      </c>
      <c r="X75" t="e">
        <f>V75-VLOOKUP(W75,'Bag weights'!A$2:B$6,2,FALSE)</f>
        <v>#N/A</v>
      </c>
      <c r="Y75" s="28">
        <v>52.22</v>
      </c>
      <c r="Z75" s="28" t="s">
        <v>284</v>
      </c>
      <c r="AA75">
        <f>Y75-VLOOKUP(Z75,'Bag weights'!A$2:B$6,2,FALSE)</f>
        <v>31.27</v>
      </c>
      <c r="AB75" s="28">
        <v>8.91</v>
      </c>
      <c r="AC75" s="28" t="s">
        <v>287</v>
      </c>
      <c r="AD75">
        <f>AB75-VLOOKUP(AC75,'Bag weights'!A$2:B$6,2,FALSE)</f>
        <v>1.08</v>
      </c>
      <c r="AE75" s="28">
        <v>10.1</v>
      </c>
      <c r="AF75" s="28" t="s">
        <v>287</v>
      </c>
      <c r="AG75">
        <f>AE75-VLOOKUP(AF75,'Bag weights'!A$2:B$6,2,FALSE)</f>
        <v>2.2699999999999996</v>
      </c>
      <c r="AH75" s="28">
        <v>15.31</v>
      </c>
      <c r="AI75" s="28" t="s">
        <v>287</v>
      </c>
      <c r="AJ75">
        <f>AH75-VLOOKUP(AI75,'Bag weights'!A$2:B$6,2,FALSE)</f>
        <v>7.48</v>
      </c>
      <c r="AK75" s="28">
        <v>25.71</v>
      </c>
      <c r="AL75" s="28" t="s">
        <v>287</v>
      </c>
      <c r="AM75">
        <f>AK75-VLOOKUP(AL75,'Bag weights'!A$2:B$6,2,FALSE)</f>
        <v>17.880000000000003</v>
      </c>
      <c r="AN75" s="28">
        <v>16.3</v>
      </c>
      <c r="AO75" s="28" t="s">
        <v>287</v>
      </c>
      <c r="AP75">
        <f>AN75-VLOOKUP(AO75,'Bag weights'!A$2:B$6,2,FALSE)</f>
        <v>8.4700000000000006</v>
      </c>
      <c r="AS75" t="e">
        <f>AQ75-VLOOKUP(AR75,'Bag weights'!A$2:B$6,2,FALSE)</f>
        <v>#N/A</v>
      </c>
      <c r="AT75" s="28">
        <v>1.24</v>
      </c>
      <c r="AU75" s="28" t="s">
        <v>290</v>
      </c>
      <c r="AV75" t="e">
        <f>AT75-VLOOKUP(AU75,'Bag weights'!A$2:B$6,2,FALSE)</f>
        <v>#N/A</v>
      </c>
      <c r="AW75" t="e">
        <f t="shared" si="0"/>
        <v>#N/A</v>
      </c>
      <c r="AX75" s="28">
        <v>0.01</v>
      </c>
      <c r="BC75" s="92">
        <v>9.8000000000000007</v>
      </c>
      <c r="BG75" s="28">
        <v>5.59</v>
      </c>
    </row>
    <row r="76" spans="1:59">
      <c r="A76" s="70"/>
      <c r="B76" s="70"/>
      <c r="C76" s="70">
        <v>3</v>
      </c>
      <c r="D76" s="70" t="s">
        <v>39</v>
      </c>
      <c r="E76" s="1"/>
      <c r="F76" s="1"/>
      <c r="I76" t="e">
        <f>G76-VLOOKUP(H76,'Bag weights'!A$2:B$6,2,FALSE)</f>
        <v>#N/A</v>
      </c>
      <c r="L76" t="e">
        <f>J76-VLOOKUP(K76,'Bag weights'!D$2:E$6,2,FALSE)</f>
        <v>#N/A</v>
      </c>
      <c r="N76" s="95"/>
      <c r="O76" t="e">
        <f>M76-VLOOKUP(N76,'Bag weights'!A$2:B$6,2,FALSE)</f>
        <v>#N/A</v>
      </c>
      <c r="R76" t="e">
        <f>P76-VLOOKUP(Q76,'Bag weights'!A$2:B$6,2,FALSE)</f>
        <v>#N/A</v>
      </c>
      <c r="U76" t="e">
        <f>S76- VLOOKUP(T76,'Bag weights'!A$2:B$6,2,FALSE)</f>
        <v>#N/A</v>
      </c>
      <c r="X76" t="e">
        <f>V76-VLOOKUP(W76,'Bag weights'!A$2:B$6,2,FALSE)</f>
        <v>#N/A</v>
      </c>
      <c r="AA76" t="e">
        <f>Y76-VLOOKUP(Z76,'Bag weights'!A$2:B$6,2,FALSE)</f>
        <v>#N/A</v>
      </c>
      <c r="AD76" t="e">
        <f>AB76-VLOOKUP(AC76,'Bag weights'!A$2:B$6,2,FALSE)</f>
        <v>#N/A</v>
      </c>
      <c r="AG76" t="e">
        <f>AE76-VLOOKUP(AF76,'Bag weights'!A$2:B$6,2,FALSE)</f>
        <v>#N/A</v>
      </c>
      <c r="AJ76" t="e">
        <f>AH76-VLOOKUP(AI76,'Bag weights'!A$2:B$6,2,FALSE)</f>
        <v>#N/A</v>
      </c>
      <c r="AM76" t="e">
        <f>AK76-VLOOKUP(AL76,'Bag weights'!A$2:B$6,2,FALSE)</f>
        <v>#N/A</v>
      </c>
      <c r="AP76" t="e">
        <f>AN76-VLOOKUP(AO76,'Bag weights'!A$2:B$6,2,FALSE)</f>
        <v>#N/A</v>
      </c>
      <c r="AS76" t="e">
        <f>AQ76-VLOOKUP(AR76,'Bag weights'!A$2:B$6,2,FALSE)</f>
        <v>#N/A</v>
      </c>
      <c r="AV76" t="e">
        <f>AT76-VLOOKUP(AU76,'Bag weights'!A$2:B$6,2,FALSE)</f>
        <v>#N/A</v>
      </c>
      <c r="AW76" t="e">
        <f t="shared" si="0"/>
        <v>#N/A</v>
      </c>
      <c r="BC76" s="92">
        <v>26.3</v>
      </c>
      <c r="BG76" s="28">
        <v>4.5599999999999996</v>
      </c>
    </row>
    <row r="77" spans="1:59">
      <c r="A77" s="70"/>
      <c r="B77" s="70"/>
      <c r="C77" s="70">
        <v>3</v>
      </c>
      <c r="D77" s="70" t="s">
        <v>97</v>
      </c>
      <c r="E77" s="1"/>
      <c r="F77" s="1"/>
      <c r="I77" t="e">
        <f>G77-VLOOKUP(H77,'Bag weights'!A$2:B$6,2,FALSE)</f>
        <v>#N/A</v>
      </c>
      <c r="L77" t="e">
        <f>J77-VLOOKUP(K77,'Bag weights'!D$2:E$6,2,FALSE)</f>
        <v>#N/A</v>
      </c>
      <c r="N77" s="95"/>
      <c r="O77" t="e">
        <f>M77-VLOOKUP(N77,'Bag weights'!A$2:B$6,2,FALSE)</f>
        <v>#N/A</v>
      </c>
      <c r="R77" t="e">
        <f>P77-VLOOKUP(Q77,'Bag weights'!A$2:B$6,2,FALSE)</f>
        <v>#N/A</v>
      </c>
      <c r="U77" t="e">
        <f>S77- VLOOKUP(T77,'Bag weights'!A$2:B$6,2,FALSE)</f>
        <v>#N/A</v>
      </c>
      <c r="X77" t="e">
        <f>V77-VLOOKUP(W77,'Bag weights'!A$2:B$6,2,FALSE)</f>
        <v>#N/A</v>
      </c>
      <c r="AA77" t="e">
        <f>Y77-VLOOKUP(Z77,'Bag weights'!A$2:B$6,2,FALSE)</f>
        <v>#N/A</v>
      </c>
      <c r="AD77" t="e">
        <f>AB77-VLOOKUP(AC77,'Bag weights'!A$2:B$6,2,FALSE)</f>
        <v>#N/A</v>
      </c>
      <c r="AG77" t="e">
        <f>AE77-VLOOKUP(AF77,'Bag weights'!A$2:B$6,2,FALSE)</f>
        <v>#N/A</v>
      </c>
      <c r="AJ77" t="e">
        <f>AH77-VLOOKUP(AI77,'Bag weights'!A$2:B$6,2,FALSE)</f>
        <v>#N/A</v>
      </c>
      <c r="AM77" t="e">
        <f>AK77-VLOOKUP(AL77,'Bag weights'!A$2:B$6,2,FALSE)</f>
        <v>#N/A</v>
      </c>
      <c r="AP77" t="e">
        <f>AN77-VLOOKUP(AO77,'Bag weights'!A$2:B$6,2,FALSE)</f>
        <v>#N/A</v>
      </c>
      <c r="AS77" t="e">
        <f>AQ77-VLOOKUP(AR77,'Bag weights'!A$2:B$6,2,FALSE)</f>
        <v>#N/A</v>
      </c>
      <c r="AV77" t="e">
        <f>AT77-VLOOKUP(AU77,'Bag weights'!A$2:B$6,2,FALSE)</f>
        <v>#N/A</v>
      </c>
      <c r="AW77" t="e">
        <f t="shared" si="0"/>
        <v>#N/A</v>
      </c>
      <c r="BC77" s="92">
        <v>11.2</v>
      </c>
      <c r="BG77" s="28">
        <v>4.5</v>
      </c>
    </row>
    <row r="78" spans="1:59">
      <c r="A78" s="70"/>
      <c r="B78" s="70"/>
      <c r="C78" s="70">
        <v>4</v>
      </c>
      <c r="D78" s="70" t="s">
        <v>94</v>
      </c>
      <c r="E78" s="1"/>
      <c r="F78" s="1"/>
      <c r="I78" t="e">
        <f>G78-VLOOKUP(H78,'Bag weights'!A$2:B$6,2,FALSE)</f>
        <v>#N/A</v>
      </c>
      <c r="L78" t="e">
        <f>J78-VLOOKUP(K78,'Bag weights'!D$2:E$6,2,FALSE)</f>
        <v>#N/A</v>
      </c>
      <c r="N78" s="95"/>
      <c r="O78" t="e">
        <f>M78-VLOOKUP(N78,'Bag weights'!A$2:B$6,2,FALSE)</f>
        <v>#N/A</v>
      </c>
      <c r="R78" t="e">
        <f>P78-VLOOKUP(Q78,'Bag weights'!A$2:B$6,2,FALSE)</f>
        <v>#N/A</v>
      </c>
      <c r="U78" t="e">
        <f>S78- VLOOKUP(T78,'Bag weights'!A$2:B$6,2,FALSE)</f>
        <v>#N/A</v>
      </c>
      <c r="X78" t="e">
        <f>V78-VLOOKUP(W78,'Bag weights'!A$2:B$6,2,FALSE)</f>
        <v>#N/A</v>
      </c>
      <c r="AA78" t="e">
        <f>Y78-VLOOKUP(Z78,'Bag weights'!A$2:B$6,2,FALSE)</f>
        <v>#N/A</v>
      </c>
      <c r="AD78" t="e">
        <f>AB78-VLOOKUP(AC78,'Bag weights'!A$2:B$6,2,FALSE)</f>
        <v>#N/A</v>
      </c>
      <c r="AG78" t="e">
        <f>AE78-VLOOKUP(AF78,'Bag weights'!A$2:B$6,2,FALSE)</f>
        <v>#N/A</v>
      </c>
      <c r="AJ78" t="e">
        <f>AH78-VLOOKUP(AI78,'Bag weights'!A$2:B$6,2,FALSE)</f>
        <v>#N/A</v>
      </c>
      <c r="AM78" t="e">
        <f>AK78-VLOOKUP(AL78,'Bag weights'!A$2:B$6,2,FALSE)</f>
        <v>#N/A</v>
      </c>
      <c r="AP78" t="e">
        <f>AN78-VLOOKUP(AO78,'Bag weights'!A$2:B$6,2,FALSE)</f>
        <v>#N/A</v>
      </c>
      <c r="AS78" t="e">
        <f>AQ78-VLOOKUP(AR78,'Bag weights'!A$2:B$6,2,FALSE)</f>
        <v>#N/A</v>
      </c>
      <c r="AV78" t="e">
        <f>AT78-VLOOKUP(AU78,'Bag weights'!A$2:B$6,2,FALSE)</f>
        <v>#N/A</v>
      </c>
      <c r="AW78" t="e">
        <f t="shared" si="0"/>
        <v>#N/A</v>
      </c>
      <c r="BC78" s="92">
        <v>9.1</v>
      </c>
      <c r="BF78" s="28" t="s">
        <v>326</v>
      </c>
    </row>
    <row r="79" spans="1:59">
      <c r="A79" s="70"/>
      <c r="B79" s="70"/>
      <c r="C79" s="70">
        <v>4</v>
      </c>
      <c r="D79" s="70" t="s">
        <v>95</v>
      </c>
      <c r="E79" s="1"/>
      <c r="F79" s="1"/>
      <c r="I79" t="e">
        <f>G79-VLOOKUP(H79,'Bag weights'!A$2:B$6,2,FALSE)</f>
        <v>#N/A</v>
      </c>
      <c r="L79" t="e">
        <f>J79-VLOOKUP(K79,'Bag weights'!D$2:E$6,2,FALSE)</f>
        <v>#N/A</v>
      </c>
      <c r="N79" s="95"/>
      <c r="O79" t="e">
        <f>M79-VLOOKUP(N79,'Bag weights'!A$2:B$6,2,FALSE)</f>
        <v>#N/A</v>
      </c>
      <c r="R79" t="e">
        <f>P79-VLOOKUP(Q79,'Bag weights'!A$2:B$6,2,FALSE)</f>
        <v>#N/A</v>
      </c>
      <c r="S79" s="28">
        <v>32.299999999999997</v>
      </c>
      <c r="T79" s="28" t="s">
        <v>284</v>
      </c>
      <c r="U79">
        <f>S79- VLOOKUP(T79,'Bag weights'!A$2:B$6,2,FALSE)</f>
        <v>11.349999999999998</v>
      </c>
      <c r="V79" s="28">
        <v>2.96</v>
      </c>
      <c r="W79" s="28" t="s">
        <v>288</v>
      </c>
      <c r="X79">
        <f>V79-VLOOKUP(W79,'Bag weights'!A$2:B$6,2,FALSE)</f>
        <v>0.46999999999999975</v>
      </c>
      <c r="Y79" s="28">
        <v>39.26</v>
      </c>
      <c r="Z79" s="28" t="s">
        <v>284</v>
      </c>
      <c r="AA79">
        <f>Y79-VLOOKUP(Z79,'Bag weights'!A$2:B$6,2,FALSE)</f>
        <v>18.309999999999999</v>
      </c>
      <c r="AB79" s="28">
        <v>9.61</v>
      </c>
      <c r="AC79" s="28" t="s">
        <v>287</v>
      </c>
      <c r="AD79">
        <f>AB79-VLOOKUP(AC79,'Bag weights'!A$2:B$6,2,FALSE)</f>
        <v>1.7799999999999994</v>
      </c>
      <c r="AE79" s="28">
        <v>3.03</v>
      </c>
      <c r="AF79" s="28" t="s">
        <v>288</v>
      </c>
      <c r="AG79">
        <f>AE79-VLOOKUP(AF79,'Bag weights'!A$2:B$6,2,FALSE)</f>
        <v>0.53999999999999959</v>
      </c>
      <c r="AH79" s="28">
        <v>36.5</v>
      </c>
      <c r="AI79" s="28" t="s">
        <v>284</v>
      </c>
      <c r="AJ79">
        <f>AH79-VLOOKUP(AI79,'Bag weights'!A$2:B$6,2,FALSE)</f>
        <v>15.55</v>
      </c>
      <c r="AK79" s="28">
        <v>41</v>
      </c>
      <c r="AL79" s="28" t="s">
        <v>284</v>
      </c>
      <c r="AM79">
        <f>AK79-VLOOKUP(AL79,'Bag weights'!A$2:B$6,2,FALSE)</f>
        <v>20.05</v>
      </c>
      <c r="AN79" s="28">
        <v>14.6</v>
      </c>
      <c r="AO79" s="28" t="s">
        <v>287</v>
      </c>
      <c r="AP79">
        <f>AN79-VLOOKUP(AO79,'Bag weights'!A$2:B$6,2,FALSE)</f>
        <v>6.77</v>
      </c>
      <c r="AS79" t="e">
        <f>AQ79-VLOOKUP(AR79,'Bag weights'!A$2:B$6,2,FALSE)</f>
        <v>#N/A</v>
      </c>
      <c r="AT79" s="28">
        <v>2.8</v>
      </c>
      <c r="AU79" s="28" t="s">
        <v>288</v>
      </c>
      <c r="AV79">
        <f>AT79-VLOOKUP(AU79,'Bag weights'!A$2:B$6,2,FALSE)</f>
        <v>0.30999999999999961</v>
      </c>
      <c r="AW79" t="e">
        <f t="shared" si="0"/>
        <v>#N/A</v>
      </c>
      <c r="BC79" s="92">
        <v>16.399999999999999</v>
      </c>
      <c r="BG79" s="28">
        <v>7.88</v>
      </c>
    </row>
    <row r="80" spans="1:59">
      <c r="A80" s="70"/>
      <c r="B80" s="70"/>
      <c r="C80" s="70">
        <v>4</v>
      </c>
      <c r="D80" s="70" t="s">
        <v>96</v>
      </c>
      <c r="E80" s="13" t="s">
        <v>325</v>
      </c>
      <c r="F80" s="1"/>
      <c r="G80" s="28">
        <v>1.5</v>
      </c>
      <c r="H80" s="28" t="s">
        <v>289</v>
      </c>
      <c r="I80">
        <f>G80-VLOOKUP(H80,'Bag weights'!A$2:B$6,2,FALSE)</f>
        <v>1.0000000000000009E-2</v>
      </c>
      <c r="L80" t="e">
        <f>J80-VLOOKUP(K80,'Bag weights'!D$2:E$6,2,FALSE)</f>
        <v>#N/A</v>
      </c>
      <c r="M80" s="28">
        <v>1.64</v>
      </c>
      <c r="N80" s="87" t="s">
        <v>289</v>
      </c>
      <c r="O80">
        <f>M80-VLOOKUP(N80,'Bag weights'!A$2:B$6,2,FALSE)</f>
        <v>0.14999999999999991</v>
      </c>
      <c r="R80" t="e">
        <f>P80-VLOOKUP(Q80,'Bag weights'!A$2:B$6,2,FALSE)</f>
        <v>#N/A</v>
      </c>
      <c r="S80" s="28">
        <v>36.700000000000003</v>
      </c>
      <c r="T80" s="28" t="s">
        <v>284</v>
      </c>
      <c r="U80">
        <f>S80- VLOOKUP(T80,'Bag weights'!A$2:B$6,2,FALSE)</f>
        <v>15.750000000000004</v>
      </c>
      <c r="V80" s="28">
        <v>1.76</v>
      </c>
      <c r="W80" s="28" t="s">
        <v>289</v>
      </c>
      <c r="X80">
        <f>V80-VLOOKUP(W80,'Bag weights'!A$2:B$6,2,FALSE)</f>
        <v>0.27</v>
      </c>
      <c r="Y80" s="28">
        <v>35.57</v>
      </c>
      <c r="Z80" s="28" t="s">
        <v>284</v>
      </c>
      <c r="AA80">
        <f>Y80-VLOOKUP(Z80,'Bag weights'!A$2:B$6,2,FALSE)</f>
        <v>14.620000000000001</v>
      </c>
      <c r="AB80" s="28">
        <v>6.03</v>
      </c>
      <c r="AC80" s="28" t="s">
        <v>287</v>
      </c>
      <c r="AD80">
        <f>AB80-VLOOKUP(AC80,'Bag weights'!A$2:B$6,2,FALSE)</f>
        <v>-1.7999999999999998</v>
      </c>
      <c r="AE80" s="28">
        <v>13.7</v>
      </c>
      <c r="AF80" s="28" t="s">
        <v>287</v>
      </c>
      <c r="AG80">
        <f>AE80-VLOOKUP(AF80,'Bag weights'!A$2:B$6,2,FALSE)</f>
        <v>5.8699999999999992</v>
      </c>
      <c r="AH80" s="28">
        <v>15.28</v>
      </c>
      <c r="AI80" s="28" t="s">
        <v>287</v>
      </c>
      <c r="AJ80">
        <f>AH80-VLOOKUP(AI80,'Bag weights'!A$2:B$6,2,FALSE)</f>
        <v>7.4499999999999993</v>
      </c>
      <c r="AK80" s="28">
        <v>36.96</v>
      </c>
      <c r="AL80" s="28" t="s">
        <v>284</v>
      </c>
      <c r="AM80">
        <f>AK80-VLOOKUP(AL80,'Bag weights'!A$2:B$6,2,FALSE)</f>
        <v>16.010000000000002</v>
      </c>
      <c r="AN80" s="28">
        <v>8.1300000000000008</v>
      </c>
      <c r="AO80" s="28" t="s">
        <v>288</v>
      </c>
      <c r="AP80">
        <f>AN80-VLOOKUP(AO80,'Bag weights'!A$2:B$6,2,FALSE)</f>
        <v>5.6400000000000006</v>
      </c>
      <c r="AS80" t="e">
        <f>AQ80-VLOOKUP(AR80,'Bag weights'!A$2:B$6,2,FALSE)</f>
        <v>#N/A</v>
      </c>
      <c r="AT80" s="28">
        <v>2.09</v>
      </c>
      <c r="AU80" s="28" t="s">
        <v>289</v>
      </c>
      <c r="AV80">
        <f>AT80-VLOOKUP(AU80,'Bag weights'!A$2:B$6,2,FALSE)</f>
        <v>0.59999999999999987</v>
      </c>
      <c r="AW80" t="e">
        <f t="shared" si="0"/>
        <v>#N/A</v>
      </c>
      <c r="BC80" s="92">
        <v>10.6</v>
      </c>
      <c r="BG80" s="28">
        <v>6.68</v>
      </c>
    </row>
    <row r="81" spans="1:59">
      <c r="A81" s="70"/>
      <c r="B81" s="70"/>
      <c r="C81" s="70">
        <v>4</v>
      </c>
      <c r="D81" s="70" t="s">
        <v>39</v>
      </c>
      <c r="E81" s="1"/>
      <c r="F81" s="1"/>
      <c r="I81" t="e">
        <f>G81-VLOOKUP(H81,'Bag weights'!A$2:B$6,2,FALSE)</f>
        <v>#N/A</v>
      </c>
      <c r="L81" t="e">
        <f>J81-VLOOKUP(K81,'Bag weights'!D$2:E$6,2,FALSE)</f>
        <v>#N/A</v>
      </c>
      <c r="N81" s="95"/>
      <c r="O81" t="e">
        <f>M81-VLOOKUP(N81,'Bag weights'!A$2:B$6,2,FALSE)</f>
        <v>#N/A</v>
      </c>
      <c r="R81" t="e">
        <f>P81-VLOOKUP(Q81,'Bag weights'!A$2:B$6,2,FALSE)</f>
        <v>#N/A</v>
      </c>
      <c r="U81" t="e">
        <f>S81- VLOOKUP(T81,'Bag weights'!A$2:B$6,2,FALSE)</f>
        <v>#N/A</v>
      </c>
      <c r="X81" t="e">
        <f>V81-VLOOKUP(W81,'Bag weights'!A$2:B$6,2,FALSE)</f>
        <v>#N/A</v>
      </c>
      <c r="AA81" t="e">
        <f>Y81-VLOOKUP(Z81,'Bag weights'!A$2:B$6,2,FALSE)</f>
        <v>#N/A</v>
      </c>
      <c r="AD81" t="e">
        <f>AB81-VLOOKUP(AC81,'Bag weights'!A$2:B$6,2,FALSE)</f>
        <v>#N/A</v>
      </c>
      <c r="AG81" t="e">
        <f>AE81-VLOOKUP(AF81,'Bag weights'!A$2:B$6,2,FALSE)</f>
        <v>#N/A</v>
      </c>
      <c r="AJ81" t="e">
        <f>AH81-VLOOKUP(AI81,'Bag weights'!A$2:B$6,2,FALSE)</f>
        <v>#N/A</v>
      </c>
      <c r="AM81" t="e">
        <f>AK81-VLOOKUP(AL81,'Bag weights'!A$2:B$6,2,FALSE)</f>
        <v>#N/A</v>
      </c>
      <c r="AP81" t="e">
        <f>AN81-VLOOKUP(AO81,'Bag weights'!A$2:B$6,2,FALSE)</f>
        <v>#N/A</v>
      </c>
      <c r="AS81" t="e">
        <f>AQ81-VLOOKUP(AR81,'Bag weights'!A$2:B$6,2,FALSE)</f>
        <v>#N/A</v>
      </c>
      <c r="AV81" t="e">
        <f>AT81-VLOOKUP(AU81,'Bag weights'!A$2:B$6,2,FALSE)</f>
        <v>#N/A</v>
      </c>
      <c r="AW81" t="e">
        <f t="shared" si="0"/>
        <v>#N/A</v>
      </c>
      <c r="BC81" s="92">
        <v>5.7</v>
      </c>
      <c r="BG81" s="28">
        <v>8.35</v>
      </c>
    </row>
    <row r="82" spans="1:59">
      <c r="A82" s="70"/>
      <c r="B82" s="70"/>
      <c r="C82" s="70">
        <v>4</v>
      </c>
      <c r="D82" s="70" t="s">
        <v>97</v>
      </c>
      <c r="E82" s="1"/>
      <c r="F82" s="1"/>
      <c r="I82" t="e">
        <f>G82-VLOOKUP(H82,'Bag weights'!A$2:B$6,2,FALSE)</f>
        <v>#N/A</v>
      </c>
      <c r="L82" t="e">
        <f>J82-VLOOKUP(K82,'Bag weights'!D$2:E$6,2,FALSE)</f>
        <v>#N/A</v>
      </c>
      <c r="N82" s="95"/>
      <c r="O82" t="e">
        <f>M82-VLOOKUP(N82,'Bag weights'!A$2:B$6,2,FALSE)</f>
        <v>#N/A</v>
      </c>
      <c r="R82" t="e">
        <f>P82-VLOOKUP(Q82,'Bag weights'!A$2:B$6,2,FALSE)</f>
        <v>#N/A</v>
      </c>
      <c r="U82" t="e">
        <f>S82- VLOOKUP(T82,'Bag weights'!A$2:B$6,2,FALSE)</f>
        <v>#N/A</v>
      </c>
      <c r="X82" t="e">
        <f>V82-VLOOKUP(W82,'Bag weights'!A$2:B$6,2,FALSE)</f>
        <v>#N/A</v>
      </c>
      <c r="AA82" t="e">
        <f>Y82-VLOOKUP(Z82,'Bag weights'!A$2:B$6,2,FALSE)</f>
        <v>#N/A</v>
      </c>
      <c r="AD82" t="e">
        <f>AB82-VLOOKUP(AC82,'Bag weights'!A$2:B$6,2,FALSE)</f>
        <v>#N/A</v>
      </c>
      <c r="AG82" t="e">
        <f>AE82-VLOOKUP(AF82,'Bag weights'!A$2:B$6,2,FALSE)</f>
        <v>#N/A</v>
      </c>
      <c r="AJ82" t="e">
        <f>AH82-VLOOKUP(AI82,'Bag weights'!A$2:B$6,2,FALSE)</f>
        <v>#N/A</v>
      </c>
      <c r="AM82" t="e">
        <f>AK82-VLOOKUP(AL82,'Bag weights'!A$2:B$6,2,FALSE)</f>
        <v>#N/A</v>
      </c>
      <c r="AS82" t="e">
        <f>AQ82-VLOOKUP(AR82,'Bag weights'!A$2:B$6,2,FALSE)</f>
        <v>#N/A</v>
      </c>
      <c r="AV82" t="e">
        <f>AT82-VLOOKUP(AU82,'Bag weights'!A$2:B$6,2,FALSE)</f>
        <v>#N/A</v>
      </c>
      <c r="AW82" t="e">
        <f>SUM(AS82+AP84+AM82+AJ82+AG82+AD82+AA82+X82+U82+R82+I82+O82)</f>
        <v>#N/A</v>
      </c>
      <c r="BC82" s="92">
        <v>5.8</v>
      </c>
      <c r="BG82" s="28">
        <v>5.69</v>
      </c>
    </row>
    <row r="83" spans="1:59">
      <c r="A83" s="70"/>
      <c r="B83" s="70"/>
      <c r="C83" s="75">
        <v>5</v>
      </c>
      <c r="D83" s="75" t="s">
        <v>95</v>
      </c>
      <c r="E83" s="13" t="s">
        <v>325</v>
      </c>
      <c r="F83" s="1"/>
      <c r="G83" s="28">
        <v>24.85</v>
      </c>
      <c r="H83" s="28" t="s">
        <v>287</v>
      </c>
      <c r="I83">
        <f>G83-VLOOKUP(H83,'Bag weights'!A$2:B$6,2,FALSE)</f>
        <v>17.020000000000003</v>
      </c>
      <c r="N83" s="95"/>
      <c r="S83" s="28">
        <v>21.77</v>
      </c>
      <c r="T83" s="28" t="s">
        <v>287</v>
      </c>
      <c r="U83">
        <f>S83- VLOOKUP(T83,'Bag weights'!A$2:B$6,2,FALSE)</f>
        <v>13.94</v>
      </c>
      <c r="Y83" s="28">
        <v>15.13</v>
      </c>
      <c r="Z83" s="28" t="s">
        <v>287</v>
      </c>
      <c r="AA83">
        <f>Y83-VLOOKUP(Z83,'Bag weights'!A$2:B$6,2,FALSE)</f>
        <v>7.3000000000000007</v>
      </c>
      <c r="AB83" s="28">
        <v>45.61</v>
      </c>
      <c r="AC83" s="28" t="s">
        <v>284</v>
      </c>
      <c r="AD83">
        <f>AB83-VLOOKUP(AC83,'Bag weights'!A$2:B$6,2,FALSE)</f>
        <v>24.66</v>
      </c>
      <c r="AE83" s="28">
        <v>9.1199999999999992</v>
      </c>
      <c r="AF83" s="28" t="s">
        <v>287</v>
      </c>
      <c r="AG83">
        <f>AE83-VLOOKUP(AF83,'Bag weights'!A$2:B$6,2,FALSE)</f>
        <v>1.2899999999999991</v>
      </c>
      <c r="AH83" s="28">
        <v>12.29</v>
      </c>
      <c r="AI83" s="28" t="s">
        <v>287</v>
      </c>
      <c r="AJ83">
        <f>AH83-VLOOKUP(AI83,'Bag weights'!A$2:B$6,2,FALSE)</f>
        <v>4.4599999999999991</v>
      </c>
      <c r="AK83" s="28">
        <v>20.67</v>
      </c>
      <c r="AL83" s="28" t="s">
        <v>287</v>
      </c>
      <c r="AM83">
        <f>AK83-VLOOKUP(AL83,'Bag weights'!A$2:B$6,2,FALSE)</f>
        <v>12.840000000000002</v>
      </c>
      <c r="AN83" s="28">
        <v>15.79</v>
      </c>
      <c r="AO83" s="28" t="s">
        <v>287</v>
      </c>
      <c r="AP83">
        <f>AN83-VLOOKUP(AO83,'Bag weights'!A$2:B$6,2,FALSE)</f>
        <v>7.9599999999999991</v>
      </c>
      <c r="BC83" s="92"/>
      <c r="BG83" s="28"/>
    </row>
    <row r="84" spans="1:59">
      <c r="A84" s="70"/>
      <c r="B84" s="70"/>
      <c r="C84" s="75">
        <v>5</v>
      </c>
      <c r="D84" s="75" t="s">
        <v>39</v>
      </c>
      <c r="E84" s="13" t="s">
        <v>325</v>
      </c>
      <c r="F84" s="1"/>
      <c r="N84" s="95"/>
      <c r="S84" s="28">
        <v>52.54</v>
      </c>
      <c r="T84" s="28" t="s">
        <v>284</v>
      </c>
      <c r="U84">
        <f>S84- VLOOKUP(T84,'Bag weights'!A$2:B$6,2,FALSE)</f>
        <v>31.59</v>
      </c>
      <c r="Y84" s="28">
        <v>9.02</v>
      </c>
      <c r="Z84" s="28" t="s">
        <v>287</v>
      </c>
      <c r="AA84">
        <f>Y84-VLOOKUP(Z84,'Bag weights'!A$2:B$6,2,FALSE)</f>
        <v>1.1899999999999995</v>
      </c>
      <c r="AB84" s="28">
        <v>12.97</v>
      </c>
      <c r="AC84" s="28" t="s">
        <v>287</v>
      </c>
      <c r="AD84">
        <f>AB84-VLOOKUP(AC84,'Bag weights'!A$2:B$6,2,FALSE)</f>
        <v>5.1400000000000006</v>
      </c>
      <c r="AE84" s="28">
        <v>8.6999999999999993</v>
      </c>
      <c r="AF84" s="28" t="s">
        <v>287</v>
      </c>
      <c r="AG84">
        <f>AE84-VLOOKUP(AF84,'Bag weights'!A$2:B$6,2,FALSE)</f>
        <v>0.86999999999999922</v>
      </c>
      <c r="AH84" s="28">
        <v>13.73</v>
      </c>
      <c r="AI84" s="28" t="s">
        <v>287</v>
      </c>
      <c r="AJ84">
        <f>AH84-VLOOKUP(AI84,'Bag weights'!A$2:B$6,2,FALSE)</f>
        <v>5.9</v>
      </c>
      <c r="AK84" s="28">
        <v>26.08</v>
      </c>
      <c r="AL84" s="28" t="s">
        <v>287</v>
      </c>
      <c r="AM84">
        <f>AK84-VLOOKUP(AL84,'Bag weights'!A$2:B$6,2,FALSE)</f>
        <v>18.25</v>
      </c>
      <c r="AN84" s="28">
        <v>6.62</v>
      </c>
      <c r="AO84" s="28" t="s">
        <v>288</v>
      </c>
      <c r="AP84">
        <f>AN84-VLOOKUP(AO84,'Bag weights'!A$2:B$6,2,FALSE)</f>
        <v>4.13</v>
      </c>
      <c r="AT84" s="28">
        <v>3.28</v>
      </c>
      <c r="AU84" s="28" t="s">
        <v>289</v>
      </c>
      <c r="AV84">
        <f>AT84-VLOOKUP(AU84,'Bag weights'!A$2:B$6,2,FALSE)</f>
        <v>1.7899999999999998</v>
      </c>
      <c r="BC84" s="92"/>
      <c r="BG84" s="28"/>
    </row>
    <row r="85" spans="1:59">
      <c r="A85" s="70" t="s">
        <v>37</v>
      </c>
      <c r="B85" s="70" t="s">
        <v>99</v>
      </c>
      <c r="C85" s="70">
        <v>1</v>
      </c>
      <c r="D85" s="70" t="s">
        <v>94</v>
      </c>
      <c r="E85" s="13">
        <v>136.66</v>
      </c>
      <c r="F85" s="13" t="s">
        <v>292</v>
      </c>
      <c r="I85" t="e">
        <f>G85-VLOOKUP(H85,'Bag weights'!A$2:B$6,2,FALSE)</f>
        <v>#N/A</v>
      </c>
      <c r="L85" t="e">
        <f>J85-VLOOKUP(K85,'Bag weights'!D$2:E$6,2,FALSE)</f>
        <v>#N/A</v>
      </c>
      <c r="N85" s="95"/>
      <c r="O85" t="e">
        <f>M85-VLOOKUP(N85,'Bag weights'!A$2:B$6,2,FALSE)</f>
        <v>#N/A</v>
      </c>
      <c r="R85" t="e">
        <f>P85-VLOOKUP(Q85,'Bag weights'!A$2:B$6,2,FALSE)</f>
        <v>#N/A</v>
      </c>
      <c r="U85" t="e">
        <f>S85- VLOOKUP(T85,'Bag weights'!A$2:B$6,2,FALSE)</f>
        <v>#N/A</v>
      </c>
      <c r="X85" t="e">
        <f>V85-VLOOKUP(W85,'Bag weights'!A$2:B$6,2,FALSE)</f>
        <v>#N/A</v>
      </c>
      <c r="AA85" t="e">
        <f>Y85-VLOOKUP(Z85,'Bag weights'!A$2:B$6,2,FALSE)</f>
        <v>#N/A</v>
      </c>
      <c r="AD85" t="e">
        <f>AB85-VLOOKUP(AC85,'Bag weights'!A$2:B$6,2,FALSE)</f>
        <v>#N/A</v>
      </c>
      <c r="AG85" t="e">
        <f>AE85-VLOOKUP(AF85,'Bag weights'!A$2:B$6,2,FALSE)</f>
        <v>#N/A</v>
      </c>
      <c r="AJ85" t="e">
        <f>AH85-VLOOKUP(AI85,'Bag weights'!A$2:B$6,2,FALSE)</f>
        <v>#N/A</v>
      </c>
      <c r="AM85" t="e">
        <f>AK85-VLOOKUP(AL85,'Bag weights'!A$2:B$6,2,FALSE)</f>
        <v>#N/A</v>
      </c>
      <c r="AP85" t="e">
        <f>AN85-VLOOKUP(AO85,'Bag weights'!A$2:B$6,2,FALSE)</f>
        <v>#N/A</v>
      </c>
      <c r="AS85" t="e">
        <f>AQ85-VLOOKUP(AR85,'Bag weights'!A$2:B$6,2,FALSE)</f>
        <v>#N/A</v>
      </c>
      <c r="AV85" t="e">
        <f>AT85-VLOOKUP(AU85,'Bag weights'!A$2:B$6,2,FALSE)</f>
        <v>#N/A</v>
      </c>
      <c r="AW85" t="e">
        <f t="shared" ref="AW85:AW101" si="1">SUM(AS85+AP85+AM85+AJ85+AG85+AD85+AA85+X85+U85+R85+I85+O85)</f>
        <v>#N/A</v>
      </c>
      <c r="BC85" s="92">
        <v>12.4</v>
      </c>
      <c r="BG85" s="28">
        <v>2.5499999999999998</v>
      </c>
    </row>
    <row r="86" spans="1:59">
      <c r="A86" s="75" t="s">
        <v>327</v>
      </c>
      <c r="B86" s="70"/>
      <c r="C86" s="70">
        <v>1</v>
      </c>
      <c r="D86" s="70" t="s">
        <v>95</v>
      </c>
      <c r="E86" s="13">
        <v>139.62</v>
      </c>
      <c r="F86" s="13" t="s">
        <v>292</v>
      </c>
      <c r="I86" t="e">
        <f>G86-VLOOKUP(H86,'Bag weights'!A$2:B$6,2,FALSE)</f>
        <v>#N/A</v>
      </c>
      <c r="L86" t="e">
        <f>J86-VLOOKUP(K86,'Bag weights'!D$2:E$6,2,FALSE)</f>
        <v>#N/A</v>
      </c>
      <c r="N86" s="95"/>
      <c r="O86" t="e">
        <f>M86-VLOOKUP(N86,'Bag weights'!A$2:B$6,2,FALSE)</f>
        <v>#N/A</v>
      </c>
      <c r="R86" t="e">
        <f>P86-VLOOKUP(Q86,'Bag weights'!A$2:B$6,2,FALSE)</f>
        <v>#N/A</v>
      </c>
      <c r="U86" t="e">
        <f>S86- VLOOKUP(T86,'Bag weights'!A$2:B$6,2,FALSE)</f>
        <v>#N/A</v>
      </c>
      <c r="X86" t="e">
        <f>V86-VLOOKUP(W86,'Bag weights'!A$2:B$6,2,FALSE)</f>
        <v>#N/A</v>
      </c>
      <c r="AA86" t="e">
        <f>Y86-VLOOKUP(Z86,'Bag weights'!A$2:B$6,2,FALSE)</f>
        <v>#N/A</v>
      </c>
      <c r="AD86" t="e">
        <f>AB86-VLOOKUP(AC86,'Bag weights'!A$2:B$6,2,FALSE)</f>
        <v>#N/A</v>
      </c>
      <c r="AG86" t="e">
        <f>AE86-VLOOKUP(AF86,'Bag weights'!A$2:B$6,2,FALSE)</f>
        <v>#N/A</v>
      </c>
      <c r="AJ86" t="e">
        <f>AH86-VLOOKUP(AI86,'Bag weights'!A$2:B$6,2,FALSE)</f>
        <v>#N/A</v>
      </c>
      <c r="AM86" t="e">
        <f>AK86-VLOOKUP(AL86,'Bag weights'!A$2:B$6,2,FALSE)</f>
        <v>#N/A</v>
      </c>
      <c r="AP86" t="e">
        <f>AN86-VLOOKUP(AO86,'Bag weights'!A$2:B$6,2,FALSE)</f>
        <v>#N/A</v>
      </c>
      <c r="AS86" t="e">
        <f>AQ86-VLOOKUP(AR86,'Bag weights'!A$2:B$6,2,FALSE)</f>
        <v>#N/A</v>
      </c>
      <c r="AV86" t="e">
        <f>AT86-VLOOKUP(AU86,'Bag weights'!A$2:B$6,2,FALSE)</f>
        <v>#N/A</v>
      </c>
      <c r="AW86" t="e">
        <f t="shared" si="1"/>
        <v>#N/A</v>
      </c>
      <c r="BC86" s="92">
        <v>11.2</v>
      </c>
      <c r="BG86" s="28">
        <v>2.41</v>
      </c>
    </row>
    <row r="87" spans="1:59">
      <c r="A87" s="70"/>
      <c r="B87" s="70"/>
      <c r="C87" s="70">
        <v>1</v>
      </c>
      <c r="D87" s="70" t="s">
        <v>96</v>
      </c>
      <c r="E87" s="13">
        <v>132.03</v>
      </c>
      <c r="F87" s="13" t="s">
        <v>292</v>
      </c>
      <c r="I87" t="e">
        <f>G87-VLOOKUP(H87,'Bag weights'!A$2:B$6,2,FALSE)</f>
        <v>#N/A</v>
      </c>
      <c r="L87" t="e">
        <f>J87-VLOOKUP(K87,'Bag weights'!D$2:E$6,2,FALSE)</f>
        <v>#N/A</v>
      </c>
      <c r="N87" s="95"/>
      <c r="O87" t="e">
        <f>M87-VLOOKUP(N87,'Bag weights'!A$2:B$6,2,FALSE)</f>
        <v>#N/A</v>
      </c>
      <c r="R87" t="e">
        <f>P87-VLOOKUP(Q87,'Bag weights'!A$2:B$6,2,FALSE)</f>
        <v>#N/A</v>
      </c>
      <c r="U87" t="e">
        <f>S87- VLOOKUP(T87,'Bag weights'!A$2:B$6,2,FALSE)</f>
        <v>#N/A</v>
      </c>
      <c r="X87" t="e">
        <f>V87-VLOOKUP(W87,'Bag weights'!A$2:B$6,2,FALSE)</f>
        <v>#N/A</v>
      </c>
      <c r="AA87" t="e">
        <f>Y87-VLOOKUP(Z87,'Bag weights'!A$2:B$6,2,FALSE)</f>
        <v>#N/A</v>
      </c>
      <c r="AD87" t="e">
        <f>AB87-VLOOKUP(AC87,'Bag weights'!A$2:B$6,2,FALSE)</f>
        <v>#N/A</v>
      </c>
      <c r="AG87" t="e">
        <f>AE87-VLOOKUP(AF87,'Bag weights'!A$2:B$6,2,FALSE)</f>
        <v>#N/A</v>
      </c>
      <c r="AJ87" t="e">
        <f>AH87-VLOOKUP(AI87,'Bag weights'!A$2:B$6,2,FALSE)</f>
        <v>#N/A</v>
      </c>
      <c r="AM87" t="e">
        <f>AK87-VLOOKUP(AL87,'Bag weights'!A$2:B$6,2,FALSE)</f>
        <v>#N/A</v>
      </c>
      <c r="AP87" t="e">
        <f>AN87-VLOOKUP(AO87,'Bag weights'!A$2:B$6,2,FALSE)</f>
        <v>#N/A</v>
      </c>
      <c r="AS87" t="e">
        <f>AQ87-VLOOKUP(AR87,'Bag weights'!A$2:B$6,2,FALSE)</f>
        <v>#N/A</v>
      </c>
      <c r="AV87" t="e">
        <f>AT87-VLOOKUP(AU87,'Bag weights'!A$2:B$6,2,FALSE)</f>
        <v>#N/A</v>
      </c>
      <c r="AW87" t="e">
        <f t="shared" si="1"/>
        <v>#N/A</v>
      </c>
      <c r="BC87" s="92">
        <v>13.3</v>
      </c>
      <c r="BG87" s="28">
        <v>1.81</v>
      </c>
    </row>
    <row r="88" spans="1:59">
      <c r="A88" s="70"/>
      <c r="B88" s="70"/>
      <c r="C88" s="70">
        <v>1</v>
      </c>
      <c r="D88" s="70" t="s">
        <v>39</v>
      </c>
      <c r="E88" s="13">
        <v>116.97</v>
      </c>
      <c r="F88" s="13" t="s">
        <v>292</v>
      </c>
      <c r="I88" t="e">
        <f>G88-VLOOKUP(H88,'Bag weights'!A$2:B$6,2,FALSE)</f>
        <v>#N/A</v>
      </c>
      <c r="L88" t="e">
        <f>J88-VLOOKUP(K88,'Bag weights'!D$2:E$6,2,FALSE)</f>
        <v>#N/A</v>
      </c>
      <c r="N88" s="95"/>
      <c r="O88" t="e">
        <f>M88-VLOOKUP(N88,'Bag weights'!A$2:B$6,2,FALSE)</f>
        <v>#N/A</v>
      </c>
      <c r="R88" t="e">
        <f>P88-VLOOKUP(Q88,'Bag weights'!A$2:B$6,2,FALSE)</f>
        <v>#N/A</v>
      </c>
      <c r="U88" t="e">
        <f>S88- VLOOKUP(T88,'Bag weights'!A$2:B$6,2,FALSE)</f>
        <v>#N/A</v>
      </c>
      <c r="X88" t="e">
        <f>V88-VLOOKUP(W88,'Bag weights'!A$2:B$6,2,FALSE)</f>
        <v>#N/A</v>
      </c>
      <c r="AA88" t="e">
        <f>Y88-VLOOKUP(Z88,'Bag weights'!A$2:B$6,2,FALSE)</f>
        <v>#N/A</v>
      </c>
      <c r="AD88" t="e">
        <f>AB88-VLOOKUP(AC88,'Bag weights'!A$2:B$6,2,FALSE)</f>
        <v>#N/A</v>
      </c>
      <c r="AG88" t="e">
        <f>AE88-VLOOKUP(AF88,'Bag weights'!A$2:B$6,2,FALSE)</f>
        <v>#N/A</v>
      </c>
      <c r="AJ88" t="e">
        <f>AH88-VLOOKUP(AI88,'Bag weights'!A$2:B$6,2,FALSE)</f>
        <v>#N/A</v>
      </c>
      <c r="AM88" t="e">
        <f>AK88-VLOOKUP(AL88,'Bag weights'!A$2:B$6,2,FALSE)</f>
        <v>#N/A</v>
      </c>
      <c r="AP88" t="e">
        <f>AN88-VLOOKUP(AO88,'Bag weights'!A$2:B$6,2,FALSE)</f>
        <v>#N/A</v>
      </c>
      <c r="AS88" t="e">
        <f>AQ88-VLOOKUP(AR88,'Bag weights'!A$2:B$6,2,FALSE)</f>
        <v>#N/A</v>
      </c>
      <c r="AV88" t="e">
        <f>AT88-VLOOKUP(AU88,'Bag weights'!A$2:B$6,2,FALSE)</f>
        <v>#N/A</v>
      </c>
      <c r="AW88" t="e">
        <f t="shared" si="1"/>
        <v>#N/A</v>
      </c>
      <c r="BC88" s="92">
        <v>15.9</v>
      </c>
      <c r="BG88" s="28">
        <v>3.96</v>
      </c>
    </row>
    <row r="89" spans="1:59">
      <c r="A89" s="70"/>
      <c r="B89" s="70"/>
      <c r="C89" s="70">
        <v>1</v>
      </c>
      <c r="D89" s="70" t="s">
        <v>97</v>
      </c>
      <c r="E89" s="13">
        <v>118.93</v>
      </c>
      <c r="F89" s="13" t="s">
        <v>292</v>
      </c>
      <c r="I89" t="e">
        <f>G89-VLOOKUP(H89,'Bag weights'!A$2:B$6,2,FALSE)</f>
        <v>#N/A</v>
      </c>
      <c r="L89" t="e">
        <f>J89-VLOOKUP(K89,'Bag weights'!D$2:E$6,2,FALSE)</f>
        <v>#N/A</v>
      </c>
      <c r="N89" s="95"/>
      <c r="O89" t="e">
        <f>M89-VLOOKUP(N89,'Bag weights'!A$2:B$6,2,FALSE)</f>
        <v>#N/A</v>
      </c>
      <c r="R89" t="e">
        <f>P89-VLOOKUP(Q89,'Bag weights'!A$2:B$6,2,FALSE)</f>
        <v>#N/A</v>
      </c>
      <c r="U89" t="e">
        <f>S89- VLOOKUP(T89,'Bag weights'!A$2:B$6,2,FALSE)</f>
        <v>#N/A</v>
      </c>
      <c r="X89" t="e">
        <f>V89-VLOOKUP(W89,'Bag weights'!A$2:B$6,2,FALSE)</f>
        <v>#N/A</v>
      </c>
      <c r="AA89" t="e">
        <f>Y89-VLOOKUP(Z89,'Bag weights'!A$2:B$6,2,FALSE)</f>
        <v>#N/A</v>
      </c>
      <c r="AD89" t="e">
        <f>AB89-VLOOKUP(AC89,'Bag weights'!A$2:B$6,2,FALSE)</f>
        <v>#N/A</v>
      </c>
      <c r="AG89" t="e">
        <f>AE89-VLOOKUP(AF89,'Bag weights'!A$2:B$6,2,FALSE)</f>
        <v>#N/A</v>
      </c>
      <c r="AJ89" t="e">
        <f>AH89-VLOOKUP(AI89,'Bag weights'!A$2:B$6,2,FALSE)</f>
        <v>#N/A</v>
      </c>
      <c r="AM89" t="e">
        <f>AK89-VLOOKUP(AL89,'Bag weights'!A$2:B$6,2,FALSE)</f>
        <v>#N/A</v>
      </c>
      <c r="AP89" t="e">
        <f>AN89-VLOOKUP(AO89,'Bag weights'!A$2:B$6,2,FALSE)</f>
        <v>#N/A</v>
      </c>
      <c r="AS89" t="e">
        <f>AQ89-VLOOKUP(AR89,'Bag weights'!A$2:B$6,2,FALSE)</f>
        <v>#N/A</v>
      </c>
      <c r="AV89" t="e">
        <f>AT89-VLOOKUP(AU89,'Bag weights'!A$2:B$6,2,FALSE)</f>
        <v>#N/A</v>
      </c>
      <c r="AW89" t="e">
        <f t="shared" si="1"/>
        <v>#N/A</v>
      </c>
      <c r="BC89" s="92">
        <v>3.1</v>
      </c>
      <c r="BG89" s="28">
        <v>2.6</v>
      </c>
    </row>
    <row r="90" spans="1:59">
      <c r="A90" s="70"/>
      <c r="B90" s="70"/>
      <c r="C90" s="70">
        <v>2</v>
      </c>
      <c r="D90" s="70" t="s">
        <v>94</v>
      </c>
      <c r="E90" s="13">
        <v>109.71</v>
      </c>
      <c r="F90" s="13" t="s">
        <v>292</v>
      </c>
      <c r="I90" t="e">
        <f>G90-VLOOKUP(H90,'Bag weights'!A$2:B$6,2,FALSE)</f>
        <v>#N/A</v>
      </c>
      <c r="L90" t="e">
        <f>J90-VLOOKUP(K90,'Bag weights'!D$2:E$6,2,FALSE)</f>
        <v>#N/A</v>
      </c>
      <c r="N90" s="95"/>
      <c r="O90" t="e">
        <f>M90-VLOOKUP(N90,'Bag weights'!A$2:B$6,2,FALSE)</f>
        <v>#N/A</v>
      </c>
      <c r="R90" t="e">
        <f>P90-VLOOKUP(Q90,'Bag weights'!A$2:B$6,2,FALSE)</f>
        <v>#N/A</v>
      </c>
      <c r="U90" t="e">
        <f>S90- VLOOKUP(T90,'Bag weights'!A$2:B$6,2,FALSE)</f>
        <v>#N/A</v>
      </c>
      <c r="X90" t="e">
        <f>V90-VLOOKUP(W90,'Bag weights'!A$2:B$6,2,FALSE)</f>
        <v>#N/A</v>
      </c>
      <c r="AA90" t="e">
        <f>Y90-VLOOKUP(Z90,'Bag weights'!A$2:B$6,2,FALSE)</f>
        <v>#N/A</v>
      </c>
      <c r="AD90" t="e">
        <f>AB90-VLOOKUP(AC90,'Bag weights'!A$2:B$6,2,FALSE)</f>
        <v>#N/A</v>
      </c>
      <c r="AG90" t="e">
        <f>AE90-VLOOKUP(AF90,'Bag weights'!A$2:B$6,2,FALSE)</f>
        <v>#N/A</v>
      </c>
      <c r="AJ90" t="e">
        <f>AH90-VLOOKUP(AI90,'Bag weights'!A$2:B$6,2,FALSE)</f>
        <v>#N/A</v>
      </c>
      <c r="AM90" t="e">
        <f>AK90-VLOOKUP(AL90,'Bag weights'!A$2:B$6,2,FALSE)</f>
        <v>#N/A</v>
      </c>
      <c r="AP90" t="e">
        <f>AN90-VLOOKUP(AO90,'Bag weights'!A$2:B$6,2,FALSE)</f>
        <v>#N/A</v>
      </c>
      <c r="AS90" t="e">
        <f>AQ90-VLOOKUP(AR90,'Bag weights'!A$2:B$6,2,FALSE)</f>
        <v>#N/A</v>
      </c>
      <c r="AV90" t="e">
        <f>AT90-VLOOKUP(AU90,'Bag weights'!A$2:B$6,2,FALSE)</f>
        <v>#N/A</v>
      </c>
      <c r="AW90" t="e">
        <f t="shared" si="1"/>
        <v>#N/A</v>
      </c>
      <c r="BC90" s="92">
        <v>9.1</v>
      </c>
      <c r="BG90" s="28">
        <v>1.47</v>
      </c>
    </row>
    <row r="91" spans="1:59">
      <c r="A91" s="70"/>
      <c r="B91" s="70"/>
      <c r="C91" s="70">
        <v>2</v>
      </c>
      <c r="D91" s="70" t="s">
        <v>95</v>
      </c>
      <c r="E91" s="13">
        <v>126.73</v>
      </c>
      <c r="F91" s="13" t="s">
        <v>292</v>
      </c>
      <c r="I91" t="e">
        <f>G91-VLOOKUP(H91,'Bag weights'!A$2:B$6,2,FALSE)</f>
        <v>#N/A</v>
      </c>
      <c r="L91" t="e">
        <f>J91-VLOOKUP(K91,'Bag weights'!D$2:E$6,2,FALSE)</f>
        <v>#N/A</v>
      </c>
      <c r="N91" s="95"/>
      <c r="O91" t="e">
        <f>M91-VLOOKUP(N91,'Bag weights'!A$2:B$6,2,FALSE)</f>
        <v>#N/A</v>
      </c>
      <c r="R91" t="e">
        <f>P91-VLOOKUP(Q91,'Bag weights'!A$2:B$6,2,FALSE)</f>
        <v>#N/A</v>
      </c>
      <c r="U91" t="e">
        <f>S91- VLOOKUP(T91,'Bag weights'!A$2:B$6,2,FALSE)</f>
        <v>#N/A</v>
      </c>
      <c r="X91" t="e">
        <f>V91-VLOOKUP(W91,'Bag weights'!A$2:B$6,2,FALSE)</f>
        <v>#N/A</v>
      </c>
      <c r="AA91" t="e">
        <f>Y91-VLOOKUP(Z91,'Bag weights'!A$2:B$6,2,FALSE)</f>
        <v>#N/A</v>
      </c>
      <c r="AD91" t="e">
        <f>AB91-VLOOKUP(AC91,'Bag weights'!A$2:B$6,2,FALSE)</f>
        <v>#N/A</v>
      </c>
      <c r="AG91" t="e">
        <f>AE91-VLOOKUP(AF91,'Bag weights'!A$2:B$6,2,FALSE)</f>
        <v>#N/A</v>
      </c>
      <c r="AJ91" t="e">
        <f>AH91-VLOOKUP(AI91,'Bag weights'!A$2:B$6,2,FALSE)</f>
        <v>#N/A</v>
      </c>
      <c r="AM91" t="e">
        <f>AK91-VLOOKUP(AL91,'Bag weights'!A$2:B$6,2,FALSE)</f>
        <v>#N/A</v>
      </c>
      <c r="AP91" t="e">
        <f>AN91-VLOOKUP(AO91,'Bag weights'!A$2:B$6,2,FALSE)</f>
        <v>#N/A</v>
      </c>
      <c r="AS91" t="e">
        <f>AQ91-VLOOKUP(AR91,'Bag weights'!A$2:B$6,2,FALSE)</f>
        <v>#N/A</v>
      </c>
      <c r="AV91" t="e">
        <f>AT91-VLOOKUP(AU91,'Bag weights'!A$2:B$6,2,FALSE)</f>
        <v>#N/A</v>
      </c>
      <c r="AW91" t="e">
        <f t="shared" si="1"/>
        <v>#N/A</v>
      </c>
      <c r="BC91" s="92">
        <v>5.7</v>
      </c>
      <c r="BG91" s="28">
        <v>3.22</v>
      </c>
    </row>
    <row r="92" spans="1:59">
      <c r="A92" s="70"/>
      <c r="B92" s="70"/>
      <c r="C92" s="70">
        <v>2</v>
      </c>
      <c r="D92" s="70" t="s">
        <v>96</v>
      </c>
      <c r="E92" s="13">
        <v>123.78</v>
      </c>
      <c r="F92" s="13" t="s">
        <v>292</v>
      </c>
      <c r="I92" t="e">
        <f>G92-VLOOKUP(H92,'Bag weights'!A$2:B$6,2,FALSE)</f>
        <v>#N/A</v>
      </c>
      <c r="L92" t="e">
        <f>J92-VLOOKUP(K92,'Bag weights'!D$2:E$6,2,FALSE)</f>
        <v>#N/A</v>
      </c>
      <c r="N92" s="95"/>
      <c r="O92" t="e">
        <f>M92-VLOOKUP(N92,'Bag weights'!A$2:B$6,2,FALSE)</f>
        <v>#N/A</v>
      </c>
      <c r="R92" t="e">
        <f>P92-VLOOKUP(Q92,'Bag weights'!A$2:B$6,2,FALSE)</f>
        <v>#N/A</v>
      </c>
      <c r="U92" t="e">
        <f>S92- VLOOKUP(T92,'Bag weights'!A$2:B$6,2,FALSE)</f>
        <v>#N/A</v>
      </c>
      <c r="X92" t="e">
        <f>V92-VLOOKUP(W92,'Bag weights'!A$2:B$6,2,FALSE)</f>
        <v>#N/A</v>
      </c>
      <c r="AA92" t="e">
        <f>Y92-VLOOKUP(Z92,'Bag weights'!A$2:B$6,2,FALSE)</f>
        <v>#N/A</v>
      </c>
      <c r="AD92" t="e">
        <f>AB92-VLOOKUP(AC92,'Bag weights'!A$2:B$6,2,FALSE)</f>
        <v>#N/A</v>
      </c>
      <c r="AG92" t="e">
        <f>AE92-VLOOKUP(AF92,'Bag weights'!A$2:B$6,2,FALSE)</f>
        <v>#N/A</v>
      </c>
      <c r="AJ92" t="e">
        <f>AH92-VLOOKUP(AI92,'Bag weights'!A$2:B$6,2,FALSE)</f>
        <v>#N/A</v>
      </c>
      <c r="AM92" t="e">
        <f>AK92-VLOOKUP(AL92,'Bag weights'!A$2:B$6,2,FALSE)</f>
        <v>#N/A</v>
      </c>
      <c r="AP92" t="e">
        <f>AN92-VLOOKUP(AO92,'Bag weights'!A$2:B$6,2,FALSE)</f>
        <v>#N/A</v>
      </c>
      <c r="AS92" t="e">
        <f>AQ92-VLOOKUP(AR92,'Bag weights'!A$2:B$6,2,FALSE)</f>
        <v>#N/A</v>
      </c>
      <c r="AV92" t="e">
        <f>AT92-VLOOKUP(AU92,'Bag weights'!A$2:B$6,2,FALSE)</f>
        <v>#N/A</v>
      </c>
      <c r="AW92" t="e">
        <f t="shared" si="1"/>
        <v>#N/A</v>
      </c>
      <c r="BC92" s="92">
        <v>17</v>
      </c>
      <c r="BG92" s="28">
        <v>0.71</v>
      </c>
    </row>
    <row r="93" spans="1:59">
      <c r="A93" s="70"/>
      <c r="B93" s="70"/>
      <c r="C93" s="70">
        <v>2</v>
      </c>
      <c r="D93" s="70" t="s">
        <v>39</v>
      </c>
      <c r="E93" s="13">
        <v>128.75</v>
      </c>
      <c r="F93" s="13" t="s">
        <v>292</v>
      </c>
      <c r="I93" t="e">
        <f>G93-VLOOKUP(H93,'Bag weights'!A$2:B$6,2,FALSE)</f>
        <v>#N/A</v>
      </c>
      <c r="L93" t="e">
        <f>J93-VLOOKUP(K93,'Bag weights'!D$2:E$6,2,FALSE)</f>
        <v>#N/A</v>
      </c>
      <c r="N93" s="95"/>
      <c r="O93" t="e">
        <f>M93-VLOOKUP(N93,'Bag weights'!A$2:B$6,2,FALSE)</f>
        <v>#N/A</v>
      </c>
      <c r="R93" t="e">
        <f>P93-VLOOKUP(Q93,'Bag weights'!A$2:B$6,2,FALSE)</f>
        <v>#N/A</v>
      </c>
      <c r="U93" t="e">
        <f>S93- VLOOKUP(T93,'Bag weights'!A$2:B$6,2,FALSE)</f>
        <v>#N/A</v>
      </c>
      <c r="X93" t="e">
        <f>V93-VLOOKUP(W93,'Bag weights'!A$2:B$6,2,FALSE)</f>
        <v>#N/A</v>
      </c>
      <c r="AA93" t="e">
        <f>Y93-VLOOKUP(Z93,'Bag weights'!A$2:B$6,2,FALSE)</f>
        <v>#N/A</v>
      </c>
      <c r="AD93" t="e">
        <f>AB93-VLOOKUP(AC93,'Bag weights'!A$2:B$6,2,FALSE)</f>
        <v>#N/A</v>
      </c>
      <c r="AG93" t="e">
        <f>AE93-VLOOKUP(AF93,'Bag weights'!A$2:B$6,2,FALSE)</f>
        <v>#N/A</v>
      </c>
      <c r="AJ93" t="e">
        <f>AH93-VLOOKUP(AI93,'Bag weights'!A$2:B$6,2,FALSE)</f>
        <v>#N/A</v>
      </c>
      <c r="AM93" t="e">
        <f>AK93-VLOOKUP(AL93,'Bag weights'!A$2:B$6,2,FALSE)</f>
        <v>#N/A</v>
      </c>
      <c r="AP93" t="e">
        <f>AN93-VLOOKUP(AO93,'Bag weights'!A$2:B$6,2,FALSE)</f>
        <v>#N/A</v>
      </c>
      <c r="AS93" t="e">
        <f>AQ93-VLOOKUP(AR93,'Bag weights'!A$2:B$6,2,FALSE)</f>
        <v>#N/A</v>
      </c>
      <c r="AV93" t="e">
        <f>AT93-VLOOKUP(AU93,'Bag weights'!A$2:B$6,2,FALSE)</f>
        <v>#N/A</v>
      </c>
      <c r="AW93" t="e">
        <f t="shared" si="1"/>
        <v>#N/A</v>
      </c>
      <c r="BC93" s="92">
        <v>9.8000000000000007</v>
      </c>
      <c r="BG93" s="28">
        <v>1.99</v>
      </c>
    </row>
    <row r="94" spans="1:59">
      <c r="A94" s="70"/>
      <c r="B94" s="70"/>
      <c r="C94" s="70">
        <v>2</v>
      </c>
      <c r="D94" s="70" t="s">
        <v>97</v>
      </c>
      <c r="E94" s="13">
        <v>111.45</v>
      </c>
      <c r="F94" s="13" t="s">
        <v>292</v>
      </c>
      <c r="I94" t="e">
        <f>G94-VLOOKUP(H94,'Bag weights'!A$2:B$6,2,FALSE)</f>
        <v>#N/A</v>
      </c>
      <c r="L94" t="e">
        <f>J94-VLOOKUP(K94,'Bag weights'!D$2:E$6,2,FALSE)</f>
        <v>#N/A</v>
      </c>
      <c r="N94" s="95"/>
      <c r="O94" t="e">
        <f>M94-VLOOKUP(N94,'Bag weights'!A$2:B$6,2,FALSE)</f>
        <v>#N/A</v>
      </c>
      <c r="R94" t="e">
        <f>P94-VLOOKUP(Q94,'Bag weights'!A$2:B$6,2,FALSE)</f>
        <v>#N/A</v>
      </c>
      <c r="U94" t="e">
        <f>S94- VLOOKUP(T94,'Bag weights'!A$2:B$6,2,FALSE)</f>
        <v>#N/A</v>
      </c>
      <c r="X94" t="e">
        <f>V94-VLOOKUP(W94,'Bag weights'!A$2:B$6,2,FALSE)</f>
        <v>#N/A</v>
      </c>
      <c r="AA94" t="e">
        <f>Y94-VLOOKUP(Z94,'Bag weights'!A$2:B$6,2,FALSE)</f>
        <v>#N/A</v>
      </c>
      <c r="AD94" t="e">
        <f>AB94-VLOOKUP(AC94,'Bag weights'!A$2:B$6,2,FALSE)</f>
        <v>#N/A</v>
      </c>
      <c r="AG94" t="e">
        <f>AE94-VLOOKUP(AF94,'Bag weights'!A$2:B$6,2,FALSE)</f>
        <v>#N/A</v>
      </c>
      <c r="AJ94" t="e">
        <f>AH94-VLOOKUP(AI94,'Bag weights'!A$2:B$6,2,FALSE)</f>
        <v>#N/A</v>
      </c>
      <c r="AM94" t="e">
        <f>AK94-VLOOKUP(AL94,'Bag weights'!A$2:B$6,2,FALSE)</f>
        <v>#N/A</v>
      </c>
      <c r="AP94" t="e">
        <f>AN94-VLOOKUP(AO94,'Bag weights'!A$2:B$6,2,FALSE)</f>
        <v>#N/A</v>
      </c>
      <c r="AS94" t="e">
        <f>AQ94-VLOOKUP(AR94,'Bag weights'!A$2:B$6,2,FALSE)</f>
        <v>#N/A</v>
      </c>
      <c r="AV94" t="e">
        <f>AT94-VLOOKUP(AU94,'Bag weights'!A$2:B$6,2,FALSE)</f>
        <v>#N/A</v>
      </c>
      <c r="AW94" t="e">
        <f t="shared" si="1"/>
        <v>#N/A</v>
      </c>
      <c r="BC94" s="92">
        <v>4.2</v>
      </c>
      <c r="BG94" s="28">
        <v>3.26</v>
      </c>
    </row>
    <row r="95" spans="1:59">
      <c r="A95" s="70"/>
      <c r="B95" s="70"/>
      <c r="C95" s="70">
        <v>3</v>
      </c>
      <c r="D95" s="70" t="s">
        <v>94</v>
      </c>
      <c r="E95" s="13">
        <v>122.08</v>
      </c>
      <c r="F95" s="13" t="s">
        <v>292</v>
      </c>
      <c r="I95" t="e">
        <f>G95-VLOOKUP(H95,'Bag weights'!A$2:B$6,2,FALSE)</f>
        <v>#N/A</v>
      </c>
      <c r="L95" t="e">
        <f>J95-VLOOKUP(K95,'Bag weights'!D$2:E$6,2,FALSE)</f>
        <v>#N/A</v>
      </c>
      <c r="N95" s="95"/>
      <c r="O95" t="e">
        <f>M95-VLOOKUP(N95,'Bag weights'!A$2:B$6,2,FALSE)</f>
        <v>#N/A</v>
      </c>
      <c r="R95" t="e">
        <f>P95-VLOOKUP(Q95,'Bag weights'!A$2:B$6,2,FALSE)</f>
        <v>#N/A</v>
      </c>
      <c r="U95" t="e">
        <f>S95- VLOOKUP(T95,'Bag weights'!A$2:B$6,2,FALSE)</f>
        <v>#N/A</v>
      </c>
      <c r="X95" t="e">
        <f>V95-VLOOKUP(W95,'Bag weights'!A$2:B$6,2,FALSE)</f>
        <v>#N/A</v>
      </c>
      <c r="AA95" t="e">
        <f>Y95-VLOOKUP(Z95,'Bag weights'!A$2:B$6,2,FALSE)</f>
        <v>#N/A</v>
      </c>
      <c r="AD95" t="e">
        <f>AB95-VLOOKUP(AC95,'Bag weights'!A$2:B$6,2,FALSE)</f>
        <v>#N/A</v>
      </c>
      <c r="AG95" t="e">
        <f>AE95-VLOOKUP(AF95,'Bag weights'!A$2:B$6,2,FALSE)</f>
        <v>#N/A</v>
      </c>
      <c r="AJ95" t="e">
        <f>AH95-VLOOKUP(AI95,'Bag weights'!A$2:B$6,2,FALSE)</f>
        <v>#N/A</v>
      </c>
      <c r="AM95" t="e">
        <f>AK95-VLOOKUP(AL95,'Bag weights'!A$2:B$6,2,FALSE)</f>
        <v>#N/A</v>
      </c>
      <c r="AP95" t="e">
        <f>AN95-VLOOKUP(AO95,'Bag weights'!A$2:B$6,2,FALSE)</f>
        <v>#N/A</v>
      </c>
      <c r="AS95" t="e">
        <f>AQ95-VLOOKUP(AR95,'Bag weights'!A$2:B$6,2,FALSE)</f>
        <v>#N/A</v>
      </c>
      <c r="AV95" t="e">
        <f>AT95-VLOOKUP(AU95,'Bag weights'!A$2:B$6,2,FALSE)</f>
        <v>#N/A</v>
      </c>
      <c r="AW95" t="e">
        <f t="shared" si="1"/>
        <v>#N/A</v>
      </c>
      <c r="BC95" s="92">
        <v>110.3</v>
      </c>
      <c r="BG95" s="28">
        <v>3.09</v>
      </c>
    </row>
    <row r="96" spans="1:59">
      <c r="A96" s="70"/>
      <c r="B96" s="70"/>
      <c r="C96" s="70">
        <v>3</v>
      </c>
      <c r="D96" s="70" t="s">
        <v>95</v>
      </c>
      <c r="E96" s="13">
        <v>112.11</v>
      </c>
      <c r="F96" s="13" t="s">
        <v>292</v>
      </c>
      <c r="I96" t="e">
        <f>G96-VLOOKUP(H96,'Bag weights'!A$2:B$6,2,FALSE)</f>
        <v>#N/A</v>
      </c>
      <c r="L96" t="e">
        <f>J96-VLOOKUP(K96,'Bag weights'!D$2:E$6,2,FALSE)</f>
        <v>#N/A</v>
      </c>
      <c r="N96" s="95"/>
      <c r="O96" t="e">
        <f>M96-VLOOKUP(N96,'Bag weights'!A$2:B$6,2,FALSE)</f>
        <v>#N/A</v>
      </c>
      <c r="R96" t="e">
        <f>P96-VLOOKUP(Q96,'Bag weights'!A$2:B$6,2,FALSE)</f>
        <v>#N/A</v>
      </c>
      <c r="U96" t="e">
        <f>S96- VLOOKUP(T96,'Bag weights'!A$2:B$6,2,FALSE)</f>
        <v>#N/A</v>
      </c>
      <c r="X96" t="e">
        <f>V96-VLOOKUP(W96,'Bag weights'!A$2:B$6,2,FALSE)</f>
        <v>#N/A</v>
      </c>
      <c r="AA96" t="e">
        <f>Y96-VLOOKUP(Z96,'Bag weights'!A$2:B$6,2,FALSE)</f>
        <v>#N/A</v>
      </c>
      <c r="AD96" t="e">
        <f>AB96-VLOOKUP(AC96,'Bag weights'!A$2:B$6,2,FALSE)</f>
        <v>#N/A</v>
      </c>
      <c r="AG96" t="e">
        <f>AE96-VLOOKUP(AF96,'Bag weights'!A$2:B$6,2,FALSE)</f>
        <v>#N/A</v>
      </c>
      <c r="AJ96" t="e">
        <f>AH96-VLOOKUP(AI96,'Bag weights'!A$2:B$6,2,FALSE)</f>
        <v>#N/A</v>
      </c>
      <c r="AM96" t="e">
        <f>AK96-VLOOKUP(AL96,'Bag weights'!A$2:B$6,2,FALSE)</f>
        <v>#N/A</v>
      </c>
      <c r="AP96" t="e">
        <f>AN96-VLOOKUP(AO96,'Bag weights'!A$2:B$6,2,FALSE)</f>
        <v>#N/A</v>
      </c>
      <c r="AS96" t="e">
        <f>AQ96-VLOOKUP(AR96,'Bag weights'!A$2:B$6,2,FALSE)</f>
        <v>#N/A</v>
      </c>
      <c r="AV96" t="e">
        <f>AT96-VLOOKUP(AU96,'Bag weights'!A$2:B$6,2,FALSE)</f>
        <v>#N/A</v>
      </c>
      <c r="AW96" t="e">
        <f t="shared" si="1"/>
        <v>#N/A</v>
      </c>
      <c r="BC96" s="92">
        <v>49.2</v>
      </c>
      <c r="BG96" s="28">
        <v>1.76</v>
      </c>
    </row>
    <row r="97" spans="1:59">
      <c r="A97" s="70"/>
      <c r="B97" s="70"/>
      <c r="C97" s="70">
        <v>3</v>
      </c>
      <c r="D97" s="70" t="s">
        <v>96</v>
      </c>
      <c r="E97" s="13">
        <v>101.21</v>
      </c>
      <c r="F97" s="13" t="s">
        <v>292</v>
      </c>
      <c r="I97" t="e">
        <f>G97-VLOOKUP(H97,'Bag weights'!A$2:B$6,2,FALSE)</f>
        <v>#N/A</v>
      </c>
      <c r="L97" t="e">
        <f>J97-VLOOKUP(K97,'Bag weights'!D$2:E$6,2,FALSE)</f>
        <v>#N/A</v>
      </c>
      <c r="N97" s="95"/>
      <c r="O97" t="e">
        <f>M97-VLOOKUP(N97,'Bag weights'!A$2:B$6,2,FALSE)</f>
        <v>#N/A</v>
      </c>
      <c r="R97" t="e">
        <f>P97-VLOOKUP(Q97,'Bag weights'!A$2:B$6,2,FALSE)</f>
        <v>#N/A</v>
      </c>
      <c r="U97" t="e">
        <f>S97- VLOOKUP(T97,'Bag weights'!A$2:B$6,2,FALSE)</f>
        <v>#N/A</v>
      </c>
      <c r="X97" t="e">
        <f>V97-VLOOKUP(W97,'Bag weights'!A$2:B$6,2,FALSE)</f>
        <v>#N/A</v>
      </c>
      <c r="AA97" t="e">
        <f>Y97-VLOOKUP(Z97,'Bag weights'!A$2:B$6,2,FALSE)</f>
        <v>#N/A</v>
      </c>
      <c r="AD97" t="e">
        <f>AB97-VLOOKUP(AC97,'Bag weights'!A$2:B$6,2,FALSE)</f>
        <v>#N/A</v>
      </c>
      <c r="AG97" t="e">
        <f>AE97-VLOOKUP(AF97,'Bag weights'!A$2:B$6,2,FALSE)</f>
        <v>#N/A</v>
      </c>
      <c r="AJ97" t="e">
        <f>AH97-VLOOKUP(AI97,'Bag weights'!A$2:B$6,2,FALSE)</f>
        <v>#N/A</v>
      </c>
      <c r="AM97" t="e">
        <f>AK97-VLOOKUP(AL97,'Bag weights'!A$2:B$6,2,FALSE)</f>
        <v>#N/A</v>
      </c>
      <c r="AP97" t="e">
        <f>AN97-VLOOKUP(AO97,'Bag weights'!A$2:B$6,2,FALSE)</f>
        <v>#N/A</v>
      </c>
      <c r="AS97" t="e">
        <f>AQ97-VLOOKUP(AR97,'Bag weights'!A$2:B$6,2,FALSE)</f>
        <v>#N/A</v>
      </c>
      <c r="AV97" t="e">
        <f>AT97-VLOOKUP(AU97,'Bag weights'!A$2:B$6,2,FALSE)</f>
        <v>#N/A</v>
      </c>
      <c r="AW97" t="e">
        <f t="shared" si="1"/>
        <v>#N/A</v>
      </c>
      <c r="BC97" s="92">
        <v>10.3</v>
      </c>
      <c r="BG97" s="28">
        <v>2.66</v>
      </c>
    </row>
    <row r="98" spans="1:59">
      <c r="A98" s="70"/>
      <c r="B98" s="70"/>
      <c r="C98" s="70">
        <v>3</v>
      </c>
      <c r="D98" s="70" t="s">
        <v>39</v>
      </c>
      <c r="E98" s="13">
        <v>130.72</v>
      </c>
      <c r="F98" s="13" t="s">
        <v>292</v>
      </c>
      <c r="I98" t="e">
        <f>G98-VLOOKUP(H98,'Bag weights'!A$2:B$6,2,FALSE)</f>
        <v>#N/A</v>
      </c>
      <c r="L98" t="e">
        <f>J98-VLOOKUP(K98,'Bag weights'!D$2:E$6,2,FALSE)</f>
        <v>#N/A</v>
      </c>
      <c r="N98" s="95"/>
      <c r="O98" t="e">
        <f>M98-VLOOKUP(N98,'Bag weights'!A$2:B$6,2,FALSE)</f>
        <v>#N/A</v>
      </c>
      <c r="R98" t="e">
        <f>P98-VLOOKUP(Q98,'Bag weights'!A$2:B$6,2,FALSE)</f>
        <v>#N/A</v>
      </c>
      <c r="U98" t="e">
        <f>S98- VLOOKUP(T98,'Bag weights'!A$2:B$6,2,FALSE)</f>
        <v>#N/A</v>
      </c>
      <c r="X98" t="e">
        <f>V98-VLOOKUP(W98,'Bag weights'!A$2:B$6,2,FALSE)</f>
        <v>#N/A</v>
      </c>
      <c r="AA98" t="e">
        <f>Y98-VLOOKUP(Z98,'Bag weights'!A$2:B$6,2,FALSE)</f>
        <v>#N/A</v>
      </c>
      <c r="AD98" t="e">
        <f>AB98-VLOOKUP(AC98,'Bag weights'!A$2:B$6,2,FALSE)</f>
        <v>#N/A</v>
      </c>
      <c r="AG98" t="e">
        <f>AE98-VLOOKUP(AF98,'Bag weights'!A$2:B$6,2,FALSE)</f>
        <v>#N/A</v>
      </c>
      <c r="AJ98" t="e">
        <f>AH98-VLOOKUP(AI98,'Bag weights'!A$2:B$6,2,FALSE)</f>
        <v>#N/A</v>
      </c>
      <c r="AM98" t="e">
        <f>AK98-VLOOKUP(AL98,'Bag weights'!A$2:B$6,2,FALSE)</f>
        <v>#N/A</v>
      </c>
      <c r="AP98" t="e">
        <f>AN98-VLOOKUP(AO98,'Bag weights'!A$2:B$6,2,FALSE)</f>
        <v>#N/A</v>
      </c>
      <c r="AS98" t="e">
        <f>AQ98-VLOOKUP(AR98,'Bag weights'!A$2:B$6,2,FALSE)</f>
        <v>#N/A</v>
      </c>
      <c r="AV98" t="e">
        <f>AT98-VLOOKUP(AU98,'Bag weights'!A$2:B$6,2,FALSE)</f>
        <v>#N/A</v>
      </c>
      <c r="AW98" t="e">
        <f t="shared" si="1"/>
        <v>#N/A</v>
      </c>
      <c r="BC98" s="92">
        <v>16.8</v>
      </c>
      <c r="BG98" s="28">
        <v>5.74</v>
      </c>
    </row>
    <row r="99" spans="1:59">
      <c r="A99" s="70"/>
      <c r="B99" s="70"/>
      <c r="C99" s="70">
        <v>3</v>
      </c>
      <c r="D99" s="70" t="s">
        <v>97</v>
      </c>
      <c r="E99" s="13">
        <v>133.4</v>
      </c>
      <c r="F99" s="13" t="s">
        <v>292</v>
      </c>
      <c r="I99" t="e">
        <f>G99-VLOOKUP(H99,'Bag weights'!A$2:B$6,2,FALSE)</f>
        <v>#N/A</v>
      </c>
      <c r="L99" t="e">
        <f>J99-VLOOKUP(K99,'Bag weights'!D$2:E$6,2,FALSE)</f>
        <v>#N/A</v>
      </c>
      <c r="N99" s="95"/>
      <c r="O99" t="e">
        <f>M99-VLOOKUP(N99,'Bag weights'!A$2:B$6,2,FALSE)</f>
        <v>#N/A</v>
      </c>
      <c r="R99" t="e">
        <f>P99-VLOOKUP(Q99,'Bag weights'!A$2:B$6,2,FALSE)</f>
        <v>#N/A</v>
      </c>
      <c r="U99" t="e">
        <f>S99- VLOOKUP(T99,'Bag weights'!A$2:B$6,2,FALSE)</f>
        <v>#N/A</v>
      </c>
      <c r="X99" t="e">
        <f>V99-VLOOKUP(W99,'Bag weights'!A$2:B$6,2,FALSE)</f>
        <v>#N/A</v>
      </c>
      <c r="AA99" t="e">
        <f>Y99-VLOOKUP(Z99,'Bag weights'!A$2:B$6,2,FALSE)</f>
        <v>#N/A</v>
      </c>
      <c r="AD99" t="e">
        <f>AB99-VLOOKUP(AC99,'Bag weights'!A$2:B$6,2,FALSE)</f>
        <v>#N/A</v>
      </c>
      <c r="AG99" t="e">
        <f>AE99-VLOOKUP(AF99,'Bag weights'!A$2:B$6,2,FALSE)</f>
        <v>#N/A</v>
      </c>
      <c r="AJ99" t="e">
        <f>AH99-VLOOKUP(AI99,'Bag weights'!A$2:B$6,2,FALSE)</f>
        <v>#N/A</v>
      </c>
      <c r="AM99" t="e">
        <f>AK99-VLOOKUP(AL99,'Bag weights'!A$2:B$6,2,FALSE)</f>
        <v>#N/A</v>
      </c>
      <c r="AP99" t="e">
        <f>AN99-VLOOKUP(AO99,'Bag weights'!A$2:B$6,2,FALSE)</f>
        <v>#N/A</v>
      </c>
      <c r="AS99" t="e">
        <f>AQ99-VLOOKUP(AR99,'Bag weights'!A$2:B$6,2,FALSE)</f>
        <v>#N/A</v>
      </c>
      <c r="AV99" t="e">
        <f>AT99-VLOOKUP(AU99,'Bag weights'!A$2:B$6,2,FALSE)</f>
        <v>#N/A</v>
      </c>
      <c r="AW99" t="e">
        <f t="shared" si="1"/>
        <v>#N/A</v>
      </c>
      <c r="BC99" s="92">
        <v>22</v>
      </c>
      <c r="BG99" s="28">
        <v>2.42</v>
      </c>
    </row>
    <row r="100" spans="1:59">
      <c r="A100" s="70"/>
      <c r="B100" s="70"/>
      <c r="C100" s="75">
        <v>4</v>
      </c>
      <c r="D100" s="28" t="s">
        <v>94</v>
      </c>
      <c r="E100" s="28">
        <v>137.37</v>
      </c>
      <c r="F100" s="28" t="s">
        <v>292</v>
      </c>
      <c r="H100" t="e">
        <f>D100-VLOOKUP(G100,'Bag weights'!A$2:B$6,2,FALSE)</f>
        <v>#VALUE!</v>
      </c>
      <c r="I100" t="e">
        <f>G100-VLOOKUP(H100,'Bag weights'!A$2:B$6,2,FALSE)</f>
        <v>#VALUE!</v>
      </c>
      <c r="L100" t="e">
        <f>J100-VLOOKUP(K100,'Bag weights'!D$2:E$6,2,FALSE)</f>
        <v>#N/A</v>
      </c>
      <c r="N100" s="95"/>
      <c r="O100" t="e">
        <f>M100-VLOOKUP(N100,'Bag weights'!A$2:B$6,2,FALSE)</f>
        <v>#N/A</v>
      </c>
      <c r="R100" t="e">
        <f>P100-VLOOKUP(Q100,'Bag weights'!A$2:B$6,2,FALSE)</f>
        <v>#N/A</v>
      </c>
      <c r="U100" t="e">
        <f>S100- VLOOKUP(T100,'Bag weights'!A$2:B$6,2,FALSE)</f>
        <v>#N/A</v>
      </c>
      <c r="X100" t="e">
        <f>V100-VLOOKUP(W100,'Bag weights'!A$2:B$6,2,FALSE)</f>
        <v>#N/A</v>
      </c>
      <c r="AA100" t="e">
        <f>Y100-VLOOKUP(Z100,'Bag weights'!A$2:B$6,2,FALSE)</f>
        <v>#N/A</v>
      </c>
      <c r="AD100" t="e">
        <f>AB100-VLOOKUP(AC100,'Bag weights'!A$2:B$6,2,FALSE)</f>
        <v>#N/A</v>
      </c>
      <c r="AG100" t="e">
        <f>AE100-VLOOKUP(AF100,'Bag weights'!A$2:B$6,2,FALSE)</f>
        <v>#N/A</v>
      </c>
      <c r="AJ100" t="e">
        <f>AH100-VLOOKUP(AI100,'Bag weights'!A$2:B$6,2,FALSE)</f>
        <v>#N/A</v>
      </c>
      <c r="AM100" t="e">
        <f>AK100-VLOOKUP(AL100,'Bag weights'!A$2:B$6,2,FALSE)</f>
        <v>#N/A</v>
      </c>
      <c r="AP100" t="e">
        <f>AN100-VLOOKUP(AO100,'Bag weights'!A$2:B$6,2,FALSE)</f>
        <v>#N/A</v>
      </c>
      <c r="AS100" t="e">
        <f>AQ100-VLOOKUP(AR100,'Bag weights'!A$2:B$6,2,FALSE)</f>
        <v>#N/A</v>
      </c>
      <c r="AV100" t="e">
        <f>AT100-VLOOKUP(AU100,'Bag weights'!A$2:B$6,2,FALSE)</f>
        <v>#N/A</v>
      </c>
      <c r="AW100" t="e">
        <f t="shared" si="1"/>
        <v>#N/A</v>
      </c>
      <c r="BC100" s="92">
        <v>29.5</v>
      </c>
      <c r="BG100" s="28">
        <v>5.69</v>
      </c>
    </row>
    <row r="101" spans="1:59">
      <c r="A101" s="70"/>
      <c r="B101" s="70"/>
      <c r="C101" s="75">
        <v>4</v>
      </c>
      <c r="D101" s="28" t="s">
        <v>95</v>
      </c>
      <c r="E101" s="28">
        <v>101.63</v>
      </c>
      <c r="F101" s="28" t="s">
        <v>292</v>
      </c>
      <c r="H101" t="e">
        <f>D101-VLOOKUP(G101,'Bag weights'!A$2:B$6,2,FALSE)</f>
        <v>#VALUE!</v>
      </c>
      <c r="I101" t="e">
        <f>G101-VLOOKUP(H101,'Bag weights'!A$2:B$6,2,FALSE)</f>
        <v>#VALUE!</v>
      </c>
      <c r="L101" t="e">
        <f>J101-VLOOKUP(K101,'Bag weights'!D$2:E$6,2,FALSE)</f>
        <v>#N/A</v>
      </c>
      <c r="N101" s="95"/>
      <c r="O101" t="e">
        <f>M101-VLOOKUP(N101,'Bag weights'!A$2:B$6,2,FALSE)</f>
        <v>#N/A</v>
      </c>
      <c r="R101" t="e">
        <f>P101-VLOOKUP(Q101,'Bag weights'!A$2:B$6,2,FALSE)</f>
        <v>#N/A</v>
      </c>
      <c r="U101" t="e">
        <f>S101- VLOOKUP(T101,'Bag weights'!A$2:B$6,2,FALSE)</f>
        <v>#N/A</v>
      </c>
      <c r="X101" t="e">
        <f>V101-VLOOKUP(W101,'Bag weights'!A$2:B$6,2,FALSE)</f>
        <v>#N/A</v>
      </c>
      <c r="AA101" t="e">
        <f>Y101-VLOOKUP(Z101,'Bag weights'!A$2:B$6,2,FALSE)</f>
        <v>#N/A</v>
      </c>
      <c r="AD101" t="e">
        <f>AB101-VLOOKUP(AC101,'Bag weights'!A$2:B$6,2,FALSE)</f>
        <v>#N/A</v>
      </c>
      <c r="AG101" t="e">
        <f>AE101-VLOOKUP(AF101,'Bag weights'!A$2:B$6,2,FALSE)</f>
        <v>#N/A</v>
      </c>
      <c r="AJ101" t="e">
        <f>AH101-VLOOKUP(AI101,'Bag weights'!A$2:B$6,2,FALSE)</f>
        <v>#N/A</v>
      </c>
      <c r="AM101" t="e">
        <f>AK101-VLOOKUP(AL101,'Bag weights'!A$2:B$6,2,FALSE)</f>
        <v>#N/A</v>
      </c>
      <c r="AP101" t="e">
        <f>AN101-VLOOKUP(AO101,'Bag weights'!A$2:B$6,2,FALSE)</f>
        <v>#N/A</v>
      </c>
      <c r="AS101" t="e">
        <f>AQ101-VLOOKUP(AR101,'Bag weights'!A$2:B$6,2,FALSE)</f>
        <v>#N/A</v>
      </c>
      <c r="AV101" t="e">
        <f>AT101-VLOOKUP(AU101,'Bag weights'!A$2:B$6,2,FALSE)</f>
        <v>#N/A</v>
      </c>
      <c r="AW101" t="e">
        <f t="shared" si="1"/>
        <v>#N/A</v>
      </c>
      <c r="BC101" s="92">
        <v>6.2</v>
      </c>
      <c r="BG101" s="28">
        <v>6.48</v>
      </c>
    </row>
    <row r="102" spans="1:59">
      <c r="A102" s="70"/>
      <c r="C102" s="28">
        <v>4</v>
      </c>
      <c r="D102" s="28" t="s">
        <v>96</v>
      </c>
      <c r="E102" s="28">
        <v>136.57</v>
      </c>
      <c r="F102" s="28" t="s">
        <v>292</v>
      </c>
      <c r="L102" t="e">
        <f>J102-VLOOKUP(K102,'Bag weights'!D$2:E$6,2,FALSE)</f>
        <v>#N/A</v>
      </c>
      <c r="N102" s="95"/>
      <c r="O102" t="e">
        <f>M102-VLOOKUP(N102,'Bag weights'!A$2:B$6,2,FALSE)</f>
        <v>#N/A</v>
      </c>
      <c r="R102" t="e">
        <f>P102-VLOOKUP(Q102,'Bag weights'!A$2:B$6,2,FALSE)</f>
        <v>#N/A</v>
      </c>
      <c r="U102" t="e">
        <f>S102- VLOOKUP(T102,'Bag weights'!A$2:B$6,2,FALSE)</f>
        <v>#N/A</v>
      </c>
      <c r="X102" t="e">
        <f>V102-VLOOKUP(W102,'Bag weights'!A$2:B$6,2,FALSE)</f>
        <v>#N/A</v>
      </c>
      <c r="AA102" t="e">
        <f>Y102-VLOOKUP(Z102,'Bag weights'!A$2:B$6,2,FALSE)</f>
        <v>#N/A</v>
      </c>
      <c r="AD102" t="e">
        <f>AB102-VLOOKUP(AC102,'Bag weights'!A$2:B$6,2,FALSE)</f>
        <v>#N/A</v>
      </c>
      <c r="AG102" t="e">
        <f>AE102-VLOOKUP(AF102,'Bag weights'!A$2:B$6,2,FALSE)</f>
        <v>#N/A</v>
      </c>
      <c r="AJ102" t="e">
        <f>AH102-VLOOKUP(AI102,'Bag weights'!A$2:B$6,2,FALSE)</f>
        <v>#N/A</v>
      </c>
      <c r="AM102" t="e">
        <f>AK102-VLOOKUP(AL102,'Bag weights'!A$2:B$6,2,FALSE)</f>
        <v>#N/A</v>
      </c>
      <c r="AP102" t="e">
        <f>AN102-VLOOKUP(AO102,'Bag weights'!A$2:B$6,2,FALSE)</f>
        <v>#N/A</v>
      </c>
      <c r="AS102" t="e">
        <f>AQ102-VLOOKUP(AR102,'Bag weights'!A$2:B$6,2,FALSE)</f>
        <v>#N/A</v>
      </c>
      <c r="AV102" t="e">
        <f>AT102-VLOOKUP(AU102,'Bag weights'!A$2:B$6,2,FALSE)</f>
        <v>#N/A</v>
      </c>
      <c r="AW102" t="e">
        <f t="shared" ref="AW102:AW103" si="2">SUM(AS102+AP102+AM102+AJ102+AG102+AD102+AA102+X102+U102+R102+H100+O102)</f>
        <v>#N/A</v>
      </c>
      <c r="BC102" s="92">
        <v>10.9</v>
      </c>
      <c r="BG102" s="28">
        <v>2.57</v>
      </c>
    </row>
    <row r="103" spans="1:59">
      <c r="A103" s="70"/>
      <c r="C103" s="28">
        <v>4</v>
      </c>
      <c r="D103" s="28" t="s">
        <v>39</v>
      </c>
      <c r="E103" s="28">
        <v>98.4</v>
      </c>
      <c r="F103" s="28" t="s">
        <v>292</v>
      </c>
      <c r="L103" t="e">
        <f>J103-VLOOKUP(K103,'Bag weights'!D$2:E$6,2,FALSE)</f>
        <v>#N/A</v>
      </c>
      <c r="N103" s="95"/>
      <c r="O103" t="e">
        <f>M103-VLOOKUP(N103,'Bag weights'!A$2:B$6,2,FALSE)</f>
        <v>#N/A</v>
      </c>
      <c r="R103" t="e">
        <f>P103-VLOOKUP(Q103,'Bag weights'!A$2:B$6,2,FALSE)</f>
        <v>#N/A</v>
      </c>
      <c r="U103" t="e">
        <f>S103- VLOOKUP(T103,'Bag weights'!A$2:B$6,2,FALSE)</f>
        <v>#N/A</v>
      </c>
      <c r="X103" t="e">
        <f>V103-VLOOKUP(W103,'Bag weights'!A$2:B$6,2,FALSE)</f>
        <v>#N/A</v>
      </c>
      <c r="AA103" t="e">
        <f>Y103-VLOOKUP(Z103,'Bag weights'!A$2:B$6,2,FALSE)</f>
        <v>#N/A</v>
      </c>
      <c r="AD103" t="e">
        <f>AB103-VLOOKUP(AC103,'Bag weights'!A$2:B$6,2,FALSE)</f>
        <v>#N/A</v>
      </c>
      <c r="AG103" t="e">
        <f>AE103-VLOOKUP(AF103,'Bag weights'!A$2:B$6,2,FALSE)</f>
        <v>#N/A</v>
      </c>
      <c r="AJ103" t="e">
        <f>AH103-VLOOKUP(AI103,'Bag weights'!A$2:B$6,2,FALSE)</f>
        <v>#N/A</v>
      </c>
      <c r="AM103" t="e">
        <f>AK103-VLOOKUP(AL103,'Bag weights'!A$2:B$6,2,FALSE)</f>
        <v>#N/A</v>
      </c>
      <c r="AP103" t="e">
        <f>AN103-VLOOKUP(AO103,'Bag weights'!A$2:B$6,2,FALSE)</f>
        <v>#N/A</v>
      </c>
      <c r="AS103" t="e">
        <f>AQ103-VLOOKUP(AR103,'Bag weights'!A$2:B$6,2,FALSE)</f>
        <v>#N/A</v>
      </c>
      <c r="AV103" t="e">
        <f>AT103-VLOOKUP(AU103,'Bag weights'!A$2:B$6,2,FALSE)</f>
        <v>#N/A</v>
      </c>
      <c r="AW103" t="e">
        <f t="shared" si="2"/>
        <v>#N/A</v>
      </c>
      <c r="BC103" s="92">
        <v>8.5</v>
      </c>
      <c r="BG103" s="28">
        <v>3.03</v>
      </c>
    </row>
    <row r="104" spans="1:59">
      <c r="A104" s="70"/>
      <c r="B104" s="70"/>
      <c r="C104" s="70">
        <v>4</v>
      </c>
      <c r="D104" s="70" t="s">
        <v>97</v>
      </c>
      <c r="E104" s="13">
        <v>125.68</v>
      </c>
      <c r="F104" s="13" t="s">
        <v>292</v>
      </c>
      <c r="I104" t="e">
        <f>G104-VLOOKUP(H104,'Bag weights'!A$2:B$6,2,FALSE)</f>
        <v>#N/A</v>
      </c>
      <c r="L104" t="e">
        <f>J104-VLOOKUP(K104,'Bag weights'!D$2:E$6,2,FALSE)</f>
        <v>#N/A</v>
      </c>
      <c r="N104" s="95"/>
      <c r="O104" t="e">
        <f>M104-VLOOKUP(N104,'Bag weights'!A$2:B$6,2,FALSE)</f>
        <v>#N/A</v>
      </c>
      <c r="R104" t="e">
        <f>P104-VLOOKUP(Q104,'Bag weights'!A$2:B$6,2,FALSE)</f>
        <v>#N/A</v>
      </c>
      <c r="U104" t="e">
        <f>S104- VLOOKUP(T104,'Bag weights'!A$2:B$6,2,FALSE)</f>
        <v>#N/A</v>
      </c>
      <c r="X104" t="e">
        <f>V104-VLOOKUP(W104,'Bag weights'!A$2:B$6,2,FALSE)</f>
        <v>#N/A</v>
      </c>
      <c r="AA104" t="e">
        <f>Y104-VLOOKUP(Z104,'Bag weights'!A$2:B$6,2,FALSE)</f>
        <v>#N/A</v>
      </c>
      <c r="AD104" t="e">
        <f>AB104-VLOOKUP(AC104,'Bag weights'!A$2:B$6,2,FALSE)</f>
        <v>#N/A</v>
      </c>
      <c r="AG104" t="e">
        <f>AE104-VLOOKUP(AF104,'Bag weights'!A$2:B$6,2,FALSE)</f>
        <v>#N/A</v>
      </c>
      <c r="AJ104" t="e">
        <f>AH104-VLOOKUP(AI104,'Bag weights'!A$2:B$6,2,FALSE)</f>
        <v>#N/A</v>
      </c>
      <c r="AM104" t="e">
        <f>AK104-VLOOKUP(AL104,'Bag weights'!A$2:B$6,2,FALSE)</f>
        <v>#N/A</v>
      </c>
      <c r="AP104" t="e">
        <f>AN104-VLOOKUP(AO104,'Bag weights'!A$2:B$6,2,FALSE)</f>
        <v>#N/A</v>
      </c>
      <c r="AS104" t="e">
        <f>AQ104-VLOOKUP(AR104,'Bag weights'!A$2:B$6,2,FALSE)</f>
        <v>#N/A</v>
      </c>
      <c r="AV104" t="e">
        <f>AT104-VLOOKUP(AU104,'Bag weights'!A$2:B$6,2,FALSE)</f>
        <v>#N/A</v>
      </c>
      <c r="AW104" t="e">
        <f>SUM(AS104+AP104+AM104+AJ104+AG104+AD104+AA104+X104+U104+R104+I104+O104)</f>
        <v>#N/A</v>
      </c>
      <c r="BC104" s="92">
        <v>6.6</v>
      </c>
      <c r="BG104" s="28">
        <v>2.4900000000000002</v>
      </c>
    </row>
    <row r="105" spans="1:59">
      <c r="A105" s="70" t="s">
        <v>37</v>
      </c>
      <c r="B105" s="70" t="s">
        <v>101</v>
      </c>
      <c r="C105" s="70">
        <v>1</v>
      </c>
      <c r="D105" s="70" t="s">
        <v>94</v>
      </c>
      <c r="E105" s="1"/>
      <c r="F105" s="1"/>
      <c r="G105" s="28">
        <v>23.61</v>
      </c>
      <c r="H105" s="28" t="s">
        <v>287</v>
      </c>
      <c r="I105">
        <f>G105-VLOOKUP(H105,'Bag weights'!A$2:B$6,2,FALSE)</f>
        <v>15.78</v>
      </c>
      <c r="L105" s="28">
        <v>0</v>
      </c>
      <c r="M105" s="28">
        <v>11.51</v>
      </c>
      <c r="N105" s="87" t="s">
        <v>287</v>
      </c>
      <c r="O105">
        <f>M105-VLOOKUP(N105,'Bag weights'!A$2:B$6,2,FALSE)</f>
        <v>3.6799999999999997</v>
      </c>
      <c r="R105" s="28">
        <v>0</v>
      </c>
      <c r="S105" s="28">
        <v>42.36</v>
      </c>
      <c r="T105" s="28" t="s">
        <v>286</v>
      </c>
      <c r="U105">
        <f>S105- VLOOKUP(T105,'Bag weights'!A$2:B$6,2,FALSE)</f>
        <v>26.96</v>
      </c>
      <c r="X105" s="28">
        <v>0</v>
      </c>
      <c r="AA105" s="28">
        <v>0</v>
      </c>
      <c r="AB105" s="28">
        <v>42.78</v>
      </c>
      <c r="AC105" s="28" t="s">
        <v>286</v>
      </c>
      <c r="AD105">
        <f>AB105-VLOOKUP(AC105,'Bag weights'!A$2:B$6,2,FALSE)</f>
        <v>27.380000000000003</v>
      </c>
      <c r="AG105" s="28">
        <v>0</v>
      </c>
      <c r="AJ105" s="28">
        <v>0</v>
      </c>
      <c r="AK105" s="28">
        <v>0.59</v>
      </c>
      <c r="AL105" s="28" t="s">
        <v>328</v>
      </c>
      <c r="AM105" s="28">
        <v>0.59</v>
      </c>
      <c r="AN105" s="28">
        <v>0.77</v>
      </c>
      <c r="AO105" s="28" t="s">
        <v>328</v>
      </c>
      <c r="AP105" s="28">
        <v>0.77</v>
      </c>
      <c r="AS105" s="28">
        <v>0</v>
      </c>
      <c r="AT105" s="28">
        <v>4.3600000000000003</v>
      </c>
      <c r="AU105" s="28" t="s">
        <v>329</v>
      </c>
      <c r="AV105" t="e">
        <f>AT105-VLOOKUP(AU105,'Bag weights'!A$2:B$6,2,FALSE)</f>
        <v>#N/A</v>
      </c>
      <c r="AW105" s="28" t="e">
        <v>#N/A</v>
      </c>
      <c r="BG105" s="28">
        <v>3.46</v>
      </c>
    </row>
    <row r="106" spans="1:59">
      <c r="A106" s="75" t="s">
        <v>295</v>
      </c>
      <c r="B106" s="70"/>
      <c r="C106" s="70">
        <v>1</v>
      </c>
      <c r="D106" s="70" t="s">
        <v>95</v>
      </c>
      <c r="E106" s="1"/>
      <c r="F106" s="1"/>
      <c r="G106" s="28">
        <v>14.17</v>
      </c>
      <c r="H106" s="28" t="s">
        <v>287</v>
      </c>
      <c r="I106">
        <f>G106-VLOOKUP(H106,'Bag weights'!A$2:B$6,2,FALSE)</f>
        <v>6.34</v>
      </c>
      <c r="L106" s="28">
        <v>0</v>
      </c>
      <c r="M106" s="28">
        <v>3.49</v>
      </c>
      <c r="N106" s="87" t="s">
        <v>329</v>
      </c>
      <c r="O106" t="e">
        <f>M106-VLOOKUP(N106,'Bag weights'!A$2:B$6,2,FALSE)</f>
        <v>#N/A</v>
      </c>
      <c r="R106" s="28">
        <v>0</v>
      </c>
      <c r="S106" s="28">
        <v>34.15</v>
      </c>
      <c r="T106" s="28" t="s">
        <v>287</v>
      </c>
      <c r="U106">
        <f>S106- VLOOKUP(T106,'Bag weights'!A$2:B$6,2,FALSE)</f>
        <v>26.32</v>
      </c>
      <c r="X106" s="28">
        <v>0</v>
      </c>
      <c r="Y106" s="28">
        <v>0.06</v>
      </c>
      <c r="Z106" s="28" t="s">
        <v>328</v>
      </c>
      <c r="AA106" s="28">
        <v>0.06</v>
      </c>
      <c r="AB106" s="28">
        <v>74.099999999999994</v>
      </c>
      <c r="AC106" s="28" t="s">
        <v>284</v>
      </c>
      <c r="AD106">
        <f>AB106-VLOOKUP(AC106,'Bag weights'!A$2:B$6,2,FALSE)</f>
        <v>53.149999999999991</v>
      </c>
      <c r="AG106" s="28">
        <v>0</v>
      </c>
      <c r="AJ106" t="e">
        <f>AH106-VLOOKUP(AI106,'Bag weights'!A$2:B$6,2,FALSE)</f>
        <v>#N/A</v>
      </c>
      <c r="AK106" s="28">
        <v>3.27</v>
      </c>
      <c r="AL106" s="28" t="s">
        <v>329</v>
      </c>
      <c r="AM106" t="e">
        <f>AK106-VLOOKUP(AL106,'Bag weights'!A$2:B$6,2,FALSE)</f>
        <v>#N/A</v>
      </c>
      <c r="AN106" s="28">
        <v>2.16</v>
      </c>
      <c r="AO106" s="28" t="s">
        <v>330</v>
      </c>
      <c r="AP106" t="e">
        <f>AN106-VLOOKUP(AO106,'Bag weights'!A$2:B$6,2,FALSE)</f>
        <v>#N/A</v>
      </c>
      <c r="AS106" s="28">
        <v>0</v>
      </c>
      <c r="AT106" s="28">
        <v>10.5</v>
      </c>
      <c r="AU106" s="28" t="s">
        <v>329</v>
      </c>
      <c r="AV106" t="e">
        <f>AT106-VLOOKUP(AU106,'Bag weights'!A$2:B$6,2,FALSE)</f>
        <v>#N/A</v>
      </c>
      <c r="AW106" t="e">
        <f t="shared" ref="AW106:AW124" si="3">SUM(AS106+AP106+AM106+AJ106+AG106+AD106+AA106+X106+U106+R106+I106+O106)</f>
        <v>#N/A</v>
      </c>
      <c r="BF106" s="28" t="s">
        <v>303</v>
      </c>
      <c r="BG106" s="28">
        <v>15.53</v>
      </c>
    </row>
    <row r="107" spans="1:59">
      <c r="A107" s="70"/>
      <c r="B107" s="70"/>
      <c r="C107" s="70">
        <v>1</v>
      </c>
      <c r="D107" s="70" t="s">
        <v>96</v>
      </c>
      <c r="E107" s="1"/>
      <c r="F107" s="1"/>
      <c r="G107" s="28">
        <v>16.27</v>
      </c>
      <c r="H107" s="28" t="s">
        <v>287</v>
      </c>
      <c r="I107">
        <f>G107-VLOOKUP(H107,'Bag weights'!A$2:B$6,2,FALSE)</f>
        <v>8.44</v>
      </c>
      <c r="L107" s="28">
        <v>0</v>
      </c>
      <c r="M107" s="28">
        <v>0.85</v>
      </c>
      <c r="N107" s="87" t="s">
        <v>331</v>
      </c>
      <c r="O107" s="28">
        <v>0.85</v>
      </c>
      <c r="R107" s="28">
        <v>0</v>
      </c>
      <c r="S107" s="28">
        <v>57.8</v>
      </c>
      <c r="T107" s="28" t="s">
        <v>284</v>
      </c>
      <c r="U107">
        <f>S107- VLOOKUP(T107,'Bag weights'!A$2:B$6,2,FALSE)</f>
        <v>36.849999999999994</v>
      </c>
      <c r="X107" s="28">
        <v>0</v>
      </c>
      <c r="AA107" s="28">
        <v>0</v>
      </c>
      <c r="AB107" s="28">
        <v>56.99</v>
      </c>
      <c r="AC107" s="28" t="s">
        <v>284</v>
      </c>
      <c r="AD107">
        <f>AB107-VLOOKUP(AC107,'Bag weights'!A$2:B$6,2,FALSE)</f>
        <v>36.040000000000006</v>
      </c>
      <c r="AG107" s="28">
        <v>0</v>
      </c>
      <c r="AJ107" t="e">
        <f>AH107-VLOOKUP(AI107,'Bag weights'!A$2:B$6,2,FALSE)</f>
        <v>#N/A</v>
      </c>
      <c r="AM107" t="e">
        <f>AK107-VLOOKUP(AL107,'Bag weights'!A$2:B$6,2,FALSE)</f>
        <v>#N/A</v>
      </c>
      <c r="AN107" s="28">
        <v>0.72</v>
      </c>
      <c r="AO107" s="28" t="s">
        <v>328</v>
      </c>
      <c r="AP107" s="28">
        <v>0.72</v>
      </c>
      <c r="AS107" s="28">
        <v>0</v>
      </c>
      <c r="AT107" s="28">
        <v>0.68</v>
      </c>
      <c r="AU107" s="28" t="s">
        <v>328</v>
      </c>
      <c r="AV107" s="28">
        <v>0.68</v>
      </c>
      <c r="AW107" t="e">
        <f t="shared" si="3"/>
        <v>#N/A</v>
      </c>
      <c r="BG107" s="28">
        <v>4.96</v>
      </c>
    </row>
    <row r="108" spans="1:59">
      <c r="A108" s="70"/>
      <c r="B108" s="70"/>
      <c r="C108" s="70">
        <v>1</v>
      </c>
      <c r="D108" s="70" t="s">
        <v>39</v>
      </c>
      <c r="E108" s="1"/>
      <c r="F108" s="1"/>
      <c r="G108" s="28">
        <v>11.99</v>
      </c>
      <c r="H108" s="28" t="s">
        <v>287</v>
      </c>
      <c r="I108">
        <f>G108-VLOOKUP(H108,'Bag weights'!A$2:B$6,2,FALSE)</f>
        <v>4.16</v>
      </c>
      <c r="L108" s="28">
        <v>0</v>
      </c>
      <c r="N108" s="95"/>
      <c r="O108" t="e">
        <f>M108-VLOOKUP(N108,'Bag weights'!A$2:B$6,2,FALSE)</f>
        <v>#N/A</v>
      </c>
      <c r="R108" s="28">
        <v>0</v>
      </c>
      <c r="U108" t="e">
        <f>S108- VLOOKUP(T108,'Bag weights'!A$2:B$6,2,FALSE)</f>
        <v>#N/A</v>
      </c>
      <c r="X108" s="28">
        <v>0</v>
      </c>
      <c r="AA108" s="28">
        <v>0</v>
      </c>
      <c r="AB108" s="28">
        <v>47.39</v>
      </c>
      <c r="AC108" s="28" t="s">
        <v>284</v>
      </c>
      <c r="AD108">
        <f>AB108-VLOOKUP(AC108,'Bag weights'!A$2:B$6,2,FALSE)</f>
        <v>26.44</v>
      </c>
      <c r="AG108" s="28">
        <v>0</v>
      </c>
      <c r="AH108" s="28">
        <v>1.24</v>
      </c>
      <c r="AI108" s="28" t="s">
        <v>328</v>
      </c>
      <c r="AJ108" s="28">
        <v>1.24</v>
      </c>
      <c r="AK108" s="28">
        <v>20.58</v>
      </c>
      <c r="AL108" s="28" t="s">
        <v>287</v>
      </c>
      <c r="AM108">
        <f>AK108-VLOOKUP(AL108,'Bag weights'!A$2:B$6,2,FALSE)</f>
        <v>12.749999999999998</v>
      </c>
      <c r="AN108" s="28">
        <v>0.48</v>
      </c>
      <c r="AO108" s="28" t="s">
        <v>328</v>
      </c>
      <c r="AP108" s="28">
        <v>0.48</v>
      </c>
      <c r="AS108" s="28">
        <v>0</v>
      </c>
      <c r="AT108" s="28">
        <v>1.07</v>
      </c>
      <c r="AU108" s="28" t="s">
        <v>328</v>
      </c>
      <c r="AV108" s="28">
        <v>1.07</v>
      </c>
      <c r="AW108" t="e">
        <f t="shared" si="3"/>
        <v>#N/A</v>
      </c>
      <c r="BG108" s="28">
        <v>17.170000000000002</v>
      </c>
    </row>
    <row r="109" spans="1:59">
      <c r="A109" s="70"/>
      <c r="B109" s="70"/>
      <c r="C109" s="70">
        <v>1</v>
      </c>
      <c r="D109" s="70" t="s">
        <v>97</v>
      </c>
      <c r="E109" s="1"/>
      <c r="F109" s="1"/>
      <c r="G109" s="28">
        <v>10.27</v>
      </c>
      <c r="H109" s="28" t="s">
        <v>287</v>
      </c>
      <c r="I109">
        <f>G109-VLOOKUP(H109,'Bag weights'!A$2:B$6,2,FALSE)</f>
        <v>2.4399999999999995</v>
      </c>
      <c r="L109" s="28">
        <v>0</v>
      </c>
      <c r="N109" s="95"/>
      <c r="O109" t="e">
        <f>M109-VLOOKUP(N109,'Bag weights'!A$2:B$6,2,FALSE)</f>
        <v>#N/A</v>
      </c>
      <c r="R109" s="28">
        <v>0</v>
      </c>
      <c r="S109" s="28">
        <v>56.63</v>
      </c>
      <c r="T109" s="28" t="s">
        <v>284</v>
      </c>
      <c r="U109">
        <f>S109- VLOOKUP(T109,'Bag weights'!A$2:B$6,2,FALSE)</f>
        <v>35.680000000000007</v>
      </c>
      <c r="X109" s="28">
        <v>0</v>
      </c>
      <c r="AA109" s="28">
        <v>0</v>
      </c>
      <c r="AB109" s="28">
        <v>56.73</v>
      </c>
      <c r="AC109" s="28" t="s">
        <v>284</v>
      </c>
      <c r="AD109">
        <f>AB109-VLOOKUP(AC109,'Bag weights'!A$2:B$6,2,FALSE)</f>
        <v>35.78</v>
      </c>
      <c r="AG109" s="28">
        <v>0</v>
      </c>
      <c r="AH109" s="28">
        <v>0.23</v>
      </c>
      <c r="AI109" s="28" t="s">
        <v>328</v>
      </c>
      <c r="AJ109" s="28">
        <v>0.23</v>
      </c>
      <c r="AK109" s="28">
        <v>10.029999999999999</v>
      </c>
      <c r="AL109" s="28" t="s">
        <v>287</v>
      </c>
      <c r="AM109">
        <f>AK109-VLOOKUP(AL109,'Bag weights'!A$2:B$6,2,FALSE)</f>
        <v>2.1999999999999993</v>
      </c>
      <c r="AN109" s="28">
        <v>1.07</v>
      </c>
      <c r="AO109" s="28" t="s">
        <v>328</v>
      </c>
      <c r="AP109" s="28">
        <v>1.07</v>
      </c>
      <c r="AS109" s="28">
        <v>0</v>
      </c>
      <c r="AT109" s="28">
        <v>1.85</v>
      </c>
      <c r="AU109" s="28" t="s">
        <v>329</v>
      </c>
      <c r="AV109" t="e">
        <f>AT109-VLOOKUP(AU109,'Bag weights'!A$2:B$6,2,FALSE)</f>
        <v>#N/A</v>
      </c>
      <c r="AW109" t="e">
        <f t="shared" si="3"/>
        <v>#N/A</v>
      </c>
      <c r="BG109" s="28">
        <v>16.13</v>
      </c>
    </row>
    <row r="110" spans="1:59">
      <c r="A110" s="70"/>
      <c r="B110" s="70"/>
      <c r="C110" s="70">
        <v>2</v>
      </c>
      <c r="D110" s="70" t="s">
        <v>94</v>
      </c>
      <c r="E110" s="1"/>
      <c r="F110" s="1"/>
      <c r="G110" s="28">
        <v>18.23</v>
      </c>
      <c r="H110" s="28" t="s">
        <v>287</v>
      </c>
      <c r="I110">
        <f>G110-VLOOKUP(H110,'Bag weights'!A$2:B$6,2,FALSE)</f>
        <v>10.4</v>
      </c>
      <c r="L110" s="28">
        <v>0</v>
      </c>
      <c r="M110" s="28">
        <v>16.37</v>
      </c>
      <c r="N110" s="87" t="s">
        <v>287</v>
      </c>
      <c r="O110">
        <f>M110-VLOOKUP(N110,'Bag weights'!A$2:B$6,2,FALSE)</f>
        <v>8.5400000000000009</v>
      </c>
      <c r="R110" s="28">
        <v>0</v>
      </c>
      <c r="S110" s="28">
        <v>38.14</v>
      </c>
      <c r="T110" s="28" t="s">
        <v>284</v>
      </c>
      <c r="U110">
        <f>S110- VLOOKUP(T110,'Bag weights'!A$2:B$6,2,FALSE)</f>
        <v>17.190000000000001</v>
      </c>
      <c r="X110" s="28">
        <v>0</v>
      </c>
      <c r="Y110" s="28">
        <v>0.16</v>
      </c>
      <c r="Z110" s="28" t="s">
        <v>331</v>
      </c>
      <c r="AA110" s="28">
        <v>0.16</v>
      </c>
      <c r="AB110" s="28">
        <v>61.28</v>
      </c>
      <c r="AC110" s="28" t="s">
        <v>284</v>
      </c>
      <c r="AD110">
        <f>AB110-VLOOKUP(AC110,'Bag weights'!A$2:B$6,2,FALSE)</f>
        <v>40.33</v>
      </c>
      <c r="AG110" s="28">
        <v>0</v>
      </c>
      <c r="AH110" s="28">
        <v>1.05</v>
      </c>
      <c r="AI110" s="28" t="s">
        <v>328</v>
      </c>
      <c r="AJ110" s="28">
        <v>1.05</v>
      </c>
      <c r="AM110" t="e">
        <f>AK110-VLOOKUP(AL110,'Bag weights'!A$2:B$6,2,FALSE)</f>
        <v>#N/A</v>
      </c>
      <c r="AN110" s="28">
        <v>1.82</v>
      </c>
      <c r="AO110" s="28" t="s">
        <v>330</v>
      </c>
      <c r="AP110" t="e">
        <f>AN110-VLOOKUP(AO110,'Bag weights'!A$2:B$6,2,FALSE)</f>
        <v>#N/A</v>
      </c>
      <c r="AS110" s="28">
        <v>0</v>
      </c>
      <c r="AT110" s="28">
        <v>5.42</v>
      </c>
      <c r="AU110" s="28" t="s">
        <v>329</v>
      </c>
      <c r="AV110" t="e">
        <f>AT110-VLOOKUP(AU110,'Bag weights'!A$2:B$6,2,FALSE)</f>
        <v>#N/A</v>
      </c>
      <c r="AW110" t="e">
        <f t="shared" si="3"/>
        <v>#N/A</v>
      </c>
      <c r="BG110" s="28">
        <v>10.1</v>
      </c>
    </row>
    <row r="111" spans="1:59">
      <c r="A111" s="70"/>
      <c r="B111" s="70"/>
      <c r="C111" s="70">
        <v>2</v>
      </c>
      <c r="D111" s="70" t="s">
        <v>95</v>
      </c>
      <c r="E111" s="1"/>
      <c r="F111" s="1"/>
      <c r="G111" s="28">
        <v>26.43</v>
      </c>
      <c r="H111" s="28" t="s">
        <v>287</v>
      </c>
      <c r="I111">
        <f>G111-VLOOKUP(H111,'Bag weights'!A$2:B$6,2,FALSE)</f>
        <v>18.600000000000001</v>
      </c>
      <c r="J111" s="28">
        <v>14.83</v>
      </c>
      <c r="K111" s="28" t="s">
        <v>287</v>
      </c>
      <c r="L111" s="28">
        <v>14.83</v>
      </c>
      <c r="N111" s="95"/>
      <c r="O111" t="e">
        <f>M111-VLOOKUP(N111,'Bag weights'!A$2:B$6,2,FALSE)</f>
        <v>#N/A</v>
      </c>
      <c r="R111" s="28">
        <v>0</v>
      </c>
      <c r="S111" s="28">
        <v>39.630000000000003</v>
      </c>
      <c r="T111" s="28" t="s">
        <v>284</v>
      </c>
      <c r="U111">
        <f>S111- VLOOKUP(T111,'Bag weights'!A$2:B$6,2,FALSE)</f>
        <v>18.680000000000003</v>
      </c>
      <c r="X111" s="28">
        <v>0</v>
      </c>
      <c r="AA111" s="28">
        <v>0</v>
      </c>
      <c r="AB111" s="28">
        <v>65.7</v>
      </c>
      <c r="AC111" s="28" t="s">
        <v>284</v>
      </c>
      <c r="AD111">
        <f>AB111-VLOOKUP(AC111,'Bag weights'!A$2:B$6,2,FALSE)</f>
        <v>44.75</v>
      </c>
      <c r="AG111" s="28">
        <v>0</v>
      </c>
      <c r="AJ111" t="e">
        <f>AH111-VLOOKUP(AI111,'Bag weights'!A$2:B$6,2,FALSE)</f>
        <v>#N/A</v>
      </c>
      <c r="AK111" s="28">
        <v>1.38</v>
      </c>
      <c r="AL111" s="28" t="s">
        <v>329</v>
      </c>
      <c r="AM111" t="e">
        <f>AK111-VLOOKUP(AL111,'Bag weights'!A$2:B$6,2,FALSE)</f>
        <v>#N/A</v>
      </c>
      <c r="AN111" s="28">
        <v>0.98</v>
      </c>
      <c r="AO111" s="28" t="s">
        <v>328</v>
      </c>
      <c r="AP111" s="28">
        <v>0.98</v>
      </c>
      <c r="AS111" s="28">
        <v>0</v>
      </c>
      <c r="AT111" s="28">
        <v>3.65</v>
      </c>
      <c r="AU111" s="28" t="s">
        <v>329</v>
      </c>
      <c r="AV111" t="e">
        <f>AT111-VLOOKUP(AU111,'Bag weights'!A$2:B$6,2,FALSE)</f>
        <v>#N/A</v>
      </c>
      <c r="AW111" t="e">
        <f t="shared" si="3"/>
        <v>#N/A</v>
      </c>
      <c r="BG111" s="28">
        <v>16.82</v>
      </c>
    </row>
    <row r="112" spans="1:59">
      <c r="A112" s="70"/>
      <c r="B112" s="70"/>
      <c r="C112" s="70">
        <v>2</v>
      </c>
      <c r="D112" s="70" t="s">
        <v>96</v>
      </c>
      <c r="E112" s="1"/>
      <c r="F112" s="1"/>
      <c r="G112" s="28">
        <v>14.33</v>
      </c>
      <c r="H112" s="28" t="s">
        <v>287</v>
      </c>
      <c r="I112">
        <f>G112-VLOOKUP(H112,'Bag weights'!A$2:B$6,2,FALSE)</f>
        <v>6.5</v>
      </c>
      <c r="J112" s="28"/>
      <c r="K112" s="28"/>
      <c r="L112" s="28"/>
      <c r="M112" s="28">
        <v>12.12</v>
      </c>
      <c r="N112" s="87" t="s">
        <v>287</v>
      </c>
      <c r="O112">
        <f>M112-VLOOKUP(N112,'Bag weights'!A$2:B$6,2,FALSE)</f>
        <v>4.2899999999999991</v>
      </c>
      <c r="R112" s="28">
        <v>0</v>
      </c>
      <c r="S112" s="28">
        <v>46.1</v>
      </c>
      <c r="T112" s="28" t="s">
        <v>284</v>
      </c>
      <c r="U112">
        <f>S112- VLOOKUP(T112,'Bag weights'!A$2:B$6,2,FALSE)</f>
        <v>25.150000000000002</v>
      </c>
      <c r="X112" s="28">
        <v>0</v>
      </c>
      <c r="Y112" s="28">
        <v>0.03</v>
      </c>
      <c r="Z112" s="28" t="s">
        <v>328</v>
      </c>
      <c r="AA112" s="28">
        <v>0.03</v>
      </c>
      <c r="AB112" s="28">
        <v>65.540000000000006</v>
      </c>
      <c r="AC112" s="28" t="s">
        <v>284</v>
      </c>
      <c r="AD112">
        <f>AB112-VLOOKUP(AC112,'Bag weights'!A$2:B$6,2,FALSE)</f>
        <v>44.59</v>
      </c>
      <c r="AE112" s="28">
        <v>0.39</v>
      </c>
      <c r="AF112" s="28" t="s">
        <v>328</v>
      </c>
      <c r="AG112" s="28">
        <v>0.39</v>
      </c>
      <c r="AJ112" t="e">
        <f>AH112-VLOOKUP(AI112,'Bag weights'!A$2:B$6,2,FALSE)</f>
        <v>#N/A</v>
      </c>
      <c r="AK112" s="28">
        <v>1.1599999999999999</v>
      </c>
      <c r="AL112" s="28" t="s">
        <v>328</v>
      </c>
      <c r="AM112" s="28">
        <v>1.1599999999999999</v>
      </c>
      <c r="AN112" s="28">
        <v>1.54</v>
      </c>
      <c r="AO112" s="28" t="s">
        <v>330</v>
      </c>
      <c r="AP112" t="e">
        <f>AN112-VLOOKUP(AO112,'Bag weights'!A$2:B$6,2,FALSE)</f>
        <v>#N/A</v>
      </c>
      <c r="AS112" s="28">
        <v>0</v>
      </c>
      <c r="AT112" s="28">
        <v>3.34</v>
      </c>
      <c r="AV112" t="e">
        <f>AT112-VLOOKUP(AU112,'Bag weights'!A$2:B$6,2,FALSE)</f>
        <v>#N/A</v>
      </c>
      <c r="AW112" t="e">
        <f t="shared" si="3"/>
        <v>#N/A</v>
      </c>
      <c r="BG112" s="28">
        <v>6.96</v>
      </c>
    </row>
    <row r="113" spans="1:59">
      <c r="A113" s="70"/>
      <c r="B113" s="70"/>
      <c r="C113" s="70">
        <v>2</v>
      </c>
      <c r="D113" s="70" t="s">
        <v>39</v>
      </c>
      <c r="E113" s="1"/>
      <c r="F113" s="1"/>
      <c r="G113" s="28">
        <v>11.79</v>
      </c>
      <c r="H113" s="28" t="s">
        <v>287</v>
      </c>
      <c r="I113">
        <f>G113-VLOOKUP(H113,'Bag weights'!A$2:B$6,2,FALSE)</f>
        <v>3.9599999999999991</v>
      </c>
      <c r="L113" s="28">
        <v>0</v>
      </c>
      <c r="N113" s="95"/>
      <c r="O113" s="28">
        <v>0</v>
      </c>
      <c r="R113" s="28">
        <v>0</v>
      </c>
      <c r="S113" s="28">
        <v>43.96</v>
      </c>
      <c r="T113" s="28" t="s">
        <v>286</v>
      </c>
      <c r="U113">
        <f>S113- VLOOKUP(T113,'Bag weights'!A$2:B$6,2,FALSE)</f>
        <v>28.560000000000002</v>
      </c>
      <c r="X113" s="28">
        <v>0</v>
      </c>
      <c r="AA113" s="28">
        <v>0</v>
      </c>
      <c r="AB113" s="28">
        <v>34.659999999999997</v>
      </c>
      <c r="AC113" s="28" t="s">
        <v>286</v>
      </c>
      <c r="AD113">
        <f>AB113-VLOOKUP(AC113,'Bag weights'!A$2:B$6,2,FALSE)</f>
        <v>19.259999999999998</v>
      </c>
      <c r="AG113" s="28">
        <v>0</v>
      </c>
      <c r="AH113" s="28">
        <v>0.35</v>
      </c>
      <c r="AI113" s="28" t="s">
        <v>328</v>
      </c>
      <c r="AJ113" s="28">
        <v>0.35</v>
      </c>
      <c r="AM113" t="e">
        <f>AK113-VLOOKUP(AL113,'Bag weights'!A$2:B$6,2,FALSE)</f>
        <v>#N/A</v>
      </c>
      <c r="AN113" s="28">
        <v>1.38</v>
      </c>
      <c r="AO113" s="28" t="s">
        <v>330</v>
      </c>
      <c r="AP113" t="e">
        <f>AN113-VLOOKUP(AO113,'Bag weights'!A$2:B$6,2,FALSE)</f>
        <v>#N/A</v>
      </c>
      <c r="AS113" s="28">
        <v>0</v>
      </c>
      <c r="AT113" s="28">
        <v>2.98</v>
      </c>
      <c r="AV113" t="e">
        <f>AT113-VLOOKUP(AU113,'Bag weights'!A$2:B$6,2,FALSE)</f>
        <v>#N/A</v>
      </c>
      <c r="AW113" t="e">
        <f t="shared" si="3"/>
        <v>#N/A</v>
      </c>
      <c r="BG113" s="28">
        <v>4.95</v>
      </c>
    </row>
    <row r="114" spans="1:59">
      <c r="A114" s="70"/>
      <c r="B114" s="70"/>
      <c r="C114" s="70">
        <v>2</v>
      </c>
      <c r="D114" s="70" t="s">
        <v>97</v>
      </c>
      <c r="E114" s="1"/>
      <c r="F114" s="1"/>
      <c r="G114" s="28">
        <v>3.16</v>
      </c>
      <c r="H114" s="28" t="s">
        <v>330</v>
      </c>
      <c r="I114" t="e">
        <f>G114-VLOOKUP(H114,'Bag weights'!A$2:B$6,2,FALSE)</f>
        <v>#N/A</v>
      </c>
      <c r="L114" s="28">
        <v>0</v>
      </c>
      <c r="M114" s="28">
        <v>0.77</v>
      </c>
      <c r="N114" s="87" t="s">
        <v>328</v>
      </c>
      <c r="O114" t="e">
        <f>M114-VLOOKUP(N114,'Bag weights'!A$2:B$6,2,FALSE)</f>
        <v>#N/A</v>
      </c>
      <c r="R114" s="28">
        <v>0</v>
      </c>
      <c r="S114" s="28">
        <v>53.61</v>
      </c>
      <c r="T114" s="28" t="s">
        <v>284</v>
      </c>
      <c r="U114">
        <f>S114- VLOOKUP(T114,'Bag weights'!A$2:B$6,2,FALSE)</f>
        <v>32.659999999999997</v>
      </c>
      <c r="X114" s="28">
        <v>0</v>
      </c>
      <c r="AA114" s="28">
        <v>0</v>
      </c>
      <c r="AB114" s="28">
        <v>49.02</v>
      </c>
      <c r="AC114" s="28" t="s">
        <v>284</v>
      </c>
      <c r="AD114">
        <f>AB114-VLOOKUP(AC114,'Bag weights'!A$2:B$6,2,FALSE)</f>
        <v>28.070000000000004</v>
      </c>
      <c r="AE114" s="28"/>
      <c r="AG114" s="28">
        <v>0</v>
      </c>
      <c r="AH114" s="28">
        <v>0.68</v>
      </c>
      <c r="AI114" s="28" t="s">
        <v>328</v>
      </c>
      <c r="AJ114" s="28">
        <v>0.68</v>
      </c>
      <c r="AK114" s="28">
        <v>24.57</v>
      </c>
      <c r="AL114" s="28" t="s">
        <v>287</v>
      </c>
      <c r="AM114">
        <f>AK114-VLOOKUP(AL114,'Bag weights'!A$2:B$6,2,FALSE)</f>
        <v>16.740000000000002</v>
      </c>
      <c r="AN114" s="28">
        <v>2.97</v>
      </c>
      <c r="AO114" s="28" t="s">
        <v>330</v>
      </c>
      <c r="AP114" t="e">
        <f>AN114-VLOOKUP(AO114,'Bag weights'!A$2:B$6,2,FALSE)</f>
        <v>#N/A</v>
      </c>
      <c r="AS114" s="28">
        <v>0</v>
      </c>
      <c r="AT114" s="28">
        <v>3.07</v>
      </c>
      <c r="AU114" s="28" t="s">
        <v>330</v>
      </c>
      <c r="AV114" t="e">
        <f>AT114-VLOOKUP(AU114,'Bag weights'!A$2:B$6,2,FALSE)</f>
        <v>#N/A</v>
      </c>
      <c r="AW114" t="e">
        <f t="shared" si="3"/>
        <v>#N/A</v>
      </c>
      <c r="BG114" s="28">
        <v>10.37</v>
      </c>
    </row>
    <row r="115" spans="1:59">
      <c r="A115" s="70"/>
      <c r="B115" s="70"/>
      <c r="C115" s="70">
        <v>3</v>
      </c>
      <c r="D115" s="70" t="s">
        <v>94</v>
      </c>
      <c r="E115" s="1"/>
      <c r="F115" s="1"/>
      <c r="I115" s="28">
        <v>0</v>
      </c>
      <c r="L115" s="28">
        <v>0</v>
      </c>
      <c r="N115" s="95"/>
      <c r="O115" s="28">
        <v>0</v>
      </c>
      <c r="R115" s="28">
        <v>0</v>
      </c>
      <c r="S115" s="28">
        <v>57.3</v>
      </c>
      <c r="T115" s="28" t="s">
        <v>284</v>
      </c>
      <c r="U115">
        <f>S115- VLOOKUP(T115,'Bag weights'!A$2:B$6,2,FALSE)</f>
        <v>36.349999999999994</v>
      </c>
      <c r="V115" s="28">
        <v>3.32</v>
      </c>
      <c r="W115" s="28" t="s">
        <v>288</v>
      </c>
      <c r="X115">
        <f>V115-VLOOKUP(W115,'Bag weights'!A$2:B$6,2,FALSE)</f>
        <v>0.82999999999999963</v>
      </c>
      <c r="Y115" s="28">
        <v>15.03</v>
      </c>
      <c r="Z115" s="28" t="s">
        <v>287</v>
      </c>
      <c r="AA115">
        <f>Y115-VLOOKUP(Z115,'Bag weights'!A$2:B$6,2,FALSE)</f>
        <v>7.1999999999999993</v>
      </c>
      <c r="AB115" s="28">
        <v>16.14</v>
      </c>
      <c r="AC115" s="28" t="s">
        <v>287</v>
      </c>
      <c r="AD115">
        <f>AB115-VLOOKUP(AC115,'Bag weights'!A$2:B$6,2,FALSE)</f>
        <v>8.31</v>
      </c>
      <c r="AG115" s="28">
        <v>0</v>
      </c>
      <c r="AH115" s="28">
        <v>1.83</v>
      </c>
      <c r="AI115" s="28" t="s">
        <v>289</v>
      </c>
      <c r="AJ115">
        <f>AH115-VLOOKUP(AI115,'Bag weights'!A$2:B$6,2,FALSE)</f>
        <v>0.34000000000000008</v>
      </c>
      <c r="AK115" s="28">
        <v>1.52</v>
      </c>
      <c r="AL115" s="28" t="s">
        <v>289</v>
      </c>
      <c r="AM115">
        <f>AK115-VLOOKUP(AL115,'Bag weights'!A$2:B$6,2,FALSE)</f>
        <v>3.0000000000000027E-2</v>
      </c>
      <c r="AN115" s="28">
        <v>4.95</v>
      </c>
      <c r="AO115" s="28" t="s">
        <v>288</v>
      </c>
      <c r="AP115">
        <f>AN115-VLOOKUP(AO115,'Bag weights'!A$2:B$6,2,FALSE)</f>
        <v>2.46</v>
      </c>
      <c r="AQ115" s="28"/>
      <c r="AR115" s="28"/>
      <c r="AS115" s="28">
        <v>0</v>
      </c>
      <c r="AT115" s="28">
        <v>4.62</v>
      </c>
      <c r="AU115" s="28" t="s">
        <v>288</v>
      </c>
      <c r="AV115">
        <f>AT115-VLOOKUP(AU115,'Bag weights'!A$2:B$6,2,FALSE)</f>
        <v>2.13</v>
      </c>
      <c r="AW115">
        <f t="shared" si="3"/>
        <v>55.519999999999996</v>
      </c>
      <c r="BG115" s="28">
        <v>14.07</v>
      </c>
    </row>
    <row r="116" spans="1:59">
      <c r="A116" s="70"/>
      <c r="B116" s="70"/>
      <c r="C116" s="70">
        <v>3</v>
      </c>
      <c r="D116" s="70" t="s">
        <v>95</v>
      </c>
      <c r="E116" s="1"/>
      <c r="F116" s="1"/>
      <c r="G116" s="28">
        <v>12.82</v>
      </c>
      <c r="H116" s="28" t="s">
        <v>287</v>
      </c>
      <c r="I116">
        <f>G116-VLOOKUP(H116,'Bag weights'!A$2:B$6,2,FALSE)</f>
        <v>4.99</v>
      </c>
      <c r="L116" s="28">
        <v>0</v>
      </c>
      <c r="N116" s="95"/>
      <c r="O116" s="28">
        <v>0</v>
      </c>
      <c r="R116" s="28">
        <v>0</v>
      </c>
      <c r="S116" s="28">
        <v>49.9</v>
      </c>
      <c r="T116" s="28" t="s">
        <v>284</v>
      </c>
      <c r="U116">
        <f>S116- VLOOKUP(T116,'Bag weights'!A$2:B$6,2,FALSE)</f>
        <v>28.95</v>
      </c>
      <c r="X116" t="e">
        <f>V116-VLOOKUP(W116,'Bag weights'!A$2:B$6,2,FALSE)</f>
        <v>#N/A</v>
      </c>
      <c r="Y116" s="28">
        <v>0.91</v>
      </c>
      <c r="Z116" s="28" t="s">
        <v>328</v>
      </c>
      <c r="AA116" s="28">
        <v>0.91</v>
      </c>
      <c r="AB116" s="28">
        <v>58.21</v>
      </c>
      <c r="AC116" s="28" t="s">
        <v>284</v>
      </c>
      <c r="AD116">
        <f>AB116-VLOOKUP(AC116,'Bag weights'!A$2:B$6,2,FALSE)</f>
        <v>37.260000000000005</v>
      </c>
      <c r="AG116" s="28">
        <v>0</v>
      </c>
      <c r="AH116" s="28">
        <v>3.95</v>
      </c>
      <c r="AI116" s="28" t="s">
        <v>288</v>
      </c>
      <c r="AJ116">
        <f>AH116-VLOOKUP(AI116,'Bag weights'!A$2:B$6,2,FALSE)</f>
        <v>1.46</v>
      </c>
      <c r="AM116" t="e">
        <f>AK116-VLOOKUP(AL116,'Bag weights'!A$2:B$6,2,FALSE)</f>
        <v>#N/A</v>
      </c>
      <c r="AN116" s="28">
        <v>1.43</v>
      </c>
      <c r="AO116" s="28" t="s">
        <v>330</v>
      </c>
      <c r="AP116" t="e">
        <f>AN116-VLOOKUP(AO116,'Bag weights'!A$2:B$6,2,FALSE)</f>
        <v>#N/A</v>
      </c>
      <c r="AS116" s="28">
        <v>0</v>
      </c>
      <c r="AT116" s="28">
        <v>4.55</v>
      </c>
      <c r="AU116" s="28" t="s">
        <v>330</v>
      </c>
      <c r="AV116" t="e">
        <f>AT116-VLOOKUP(AU116,'Bag weights'!A$2:B$6,2,FALSE)</f>
        <v>#N/A</v>
      </c>
      <c r="AW116" t="e">
        <f t="shared" si="3"/>
        <v>#N/A</v>
      </c>
      <c r="BG116" s="28">
        <v>19.940000000000001</v>
      </c>
    </row>
    <row r="117" spans="1:59">
      <c r="A117" s="70"/>
      <c r="B117" s="70"/>
      <c r="C117" s="70">
        <v>3</v>
      </c>
      <c r="D117" s="70" t="s">
        <v>96</v>
      </c>
      <c r="E117" s="1"/>
      <c r="F117" s="1"/>
      <c r="G117" s="28">
        <v>0.22</v>
      </c>
      <c r="H117" s="28" t="s">
        <v>328</v>
      </c>
      <c r="I117" s="28">
        <v>0.22</v>
      </c>
      <c r="L117" s="28">
        <v>0</v>
      </c>
      <c r="N117" s="95"/>
      <c r="O117" s="28">
        <v>0</v>
      </c>
      <c r="R117" s="28">
        <v>0</v>
      </c>
      <c r="S117" s="28">
        <v>37.020000000000003</v>
      </c>
      <c r="T117" s="28" t="s">
        <v>284</v>
      </c>
      <c r="U117">
        <f>S117- VLOOKUP(T117,'Bag weights'!A$2:B$6,2,FALSE)</f>
        <v>16.070000000000004</v>
      </c>
      <c r="X117" s="28">
        <v>0</v>
      </c>
      <c r="Y117" s="28">
        <v>14.45</v>
      </c>
      <c r="Z117" s="28" t="s">
        <v>287</v>
      </c>
      <c r="AA117">
        <f>Y117-VLOOKUP(Z117,'Bag weights'!A$2:B$6,2,FALSE)</f>
        <v>6.6199999999999992</v>
      </c>
      <c r="AB117" s="28">
        <v>61.88</v>
      </c>
      <c r="AC117" s="28" t="s">
        <v>284</v>
      </c>
      <c r="AD117">
        <f>AB117-VLOOKUP(AC117,'Bag weights'!A$2:B$6,2,FALSE)</f>
        <v>40.930000000000007</v>
      </c>
      <c r="AG117" s="28">
        <v>0</v>
      </c>
      <c r="AH117" s="28">
        <v>0.56000000000000005</v>
      </c>
      <c r="AI117" s="28" t="s">
        <v>328</v>
      </c>
      <c r="AJ117" s="28">
        <v>0.56000000000000005</v>
      </c>
      <c r="AK117" s="28">
        <v>15.17</v>
      </c>
      <c r="AL117" s="28" t="s">
        <v>287</v>
      </c>
      <c r="AM117">
        <f>AK117-VLOOKUP(AL117,'Bag weights'!A$2:B$6,2,FALSE)</f>
        <v>7.34</v>
      </c>
      <c r="AN117" s="28">
        <v>2.59</v>
      </c>
      <c r="AO117" s="28" t="s">
        <v>330</v>
      </c>
      <c r="AP117" t="e">
        <f>AN117-VLOOKUP(AO117,'Bag weights'!A$2:B$6,2,FALSE)</f>
        <v>#N/A</v>
      </c>
      <c r="AS117" s="28">
        <v>0</v>
      </c>
      <c r="AT117" s="28">
        <v>3.97</v>
      </c>
      <c r="AU117" s="28" t="s">
        <v>288</v>
      </c>
      <c r="AV117">
        <f>AT117-VLOOKUP(AU117,'Bag weights'!A$2:B$6,2,FALSE)</f>
        <v>1.48</v>
      </c>
      <c r="AW117" t="e">
        <f t="shared" si="3"/>
        <v>#N/A</v>
      </c>
      <c r="BG117" s="28">
        <v>11.04</v>
      </c>
    </row>
    <row r="118" spans="1:59">
      <c r="A118" s="70"/>
      <c r="B118" s="70"/>
      <c r="C118" s="70">
        <v>3</v>
      </c>
      <c r="D118" s="70" t="s">
        <v>39</v>
      </c>
      <c r="E118" s="1"/>
      <c r="F118" s="1"/>
      <c r="G118" s="28">
        <v>0.89</v>
      </c>
      <c r="H118" s="28" t="s">
        <v>328</v>
      </c>
      <c r="I118" s="28">
        <v>0.89</v>
      </c>
      <c r="L118" s="28">
        <v>0</v>
      </c>
      <c r="N118" s="95"/>
      <c r="O118" s="28">
        <v>0</v>
      </c>
      <c r="R118" s="28">
        <v>0</v>
      </c>
      <c r="S118" s="28">
        <v>49.45</v>
      </c>
      <c r="T118" s="28" t="s">
        <v>284</v>
      </c>
      <c r="U118">
        <f>S118- VLOOKUP(T118,'Bag weights'!A$2:B$6,2,FALSE)</f>
        <v>28.500000000000004</v>
      </c>
      <c r="X118" s="28">
        <v>0</v>
      </c>
      <c r="Y118" s="28">
        <v>13.75</v>
      </c>
      <c r="Z118" s="28" t="s">
        <v>287</v>
      </c>
      <c r="AA118">
        <f>Y118-VLOOKUP(Z118,'Bag weights'!A$2:B$6,2,FALSE)</f>
        <v>5.92</v>
      </c>
      <c r="AB118" s="28">
        <v>34.29</v>
      </c>
      <c r="AC118" s="28" t="s">
        <v>286</v>
      </c>
      <c r="AD118">
        <f>AB118-VLOOKUP(AC118,'Bag weights'!A$2:B$6,2,FALSE)</f>
        <v>18.89</v>
      </c>
      <c r="AG118" s="28">
        <v>0</v>
      </c>
      <c r="AH118" s="28">
        <v>0.14000000000000001</v>
      </c>
      <c r="AI118" s="28" t="s">
        <v>328</v>
      </c>
      <c r="AJ118" s="28">
        <v>0.14000000000000001</v>
      </c>
      <c r="AK118" s="28">
        <v>50.92</v>
      </c>
      <c r="AL118" s="28" t="s">
        <v>284</v>
      </c>
      <c r="AM118">
        <f>AK118-VLOOKUP(AL118,'Bag weights'!A$2:B$6,2,FALSE)</f>
        <v>29.970000000000002</v>
      </c>
      <c r="AN118" s="28">
        <v>0.24</v>
      </c>
      <c r="AO118" s="28" t="s">
        <v>328</v>
      </c>
      <c r="AP118" s="28">
        <v>0.24</v>
      </c>
      <c r="AS118" s="28">
        <v>0</v>
      </c>
      <c r="AT118" s="28">
        <v>1.29</v>
      </c>
      <c r="AU118" s="28" t="s">
        <v>328</v>
      </c>
      <c r="AV118" s="28">
        <v>1.29</v>
      </c>
      <c r="AW118">
        <f t="shared" si="3"/>
        <v>84.550000000000011</v>
      </c>
      <c r="BG118" s="28">
        <v>3.77</v>
      </c>
    </row>
    <row r="119" spans="1:59">
      <c r="A119" s="70"/>
      <c r="B119" s="70"/>
      <c r="C119" s="70">
        <v>3</v>
      </c>
      <c r="D119" s="70" t="s">
        <v>97</v>
      </c>
      <c r="E119" s="1"/>
      <c r="F119" s="1"/>
      <c r="G119" s="28">
        <v>8.82</v>
      </c>
      <c r="H119" s="28" t="s">
        <v>330</v>
      </c>
      <c r="I119" t="e">
        <f>G119-VLOOKUP(H119,'Bag weights'!A$2:B$6,2,FALSE)</f>
        <v>#N/A</v>
      </c>
      <c r="L119" s="28">
        <v>0</v>
      </c>
      <c r="N119" s="95"/>
      <c r="O119" s="28">
        <v>0</v>
      </c>
      <c r="R119" s="28">
        <v>0</v>
      </c>
      <c r="S119" s="28">
        <v>41.13</v>
      </c>
      <c r="T119" s="28" t="s">
        <v>284</v>
      </c>
      <c r="U119">
        <f>S119- VLOOKUP(T119,'Bag weights'!A$2:B$6,2,FALSE)</f>
        <v>20.180000000000003</v>
      </c>
      <c r="X119" s="28">
        <v>0</v>
      </c>
      <c r="Y119" s="28">
        <v>0.86</v>
      </c>
      <c r="Z119" s="28" t="s">
        <v>328</v>
      </c>
      <c r="AA119" s="28">
        <v>0.86</v>
      </c>
      <c r="AB119" s="28">
        <v>73.22</v>
      </c>
      <c r="AC119" s="28" t="s">
        <v>284</v>
      </c>
      <c r="AD119">
        <f>AB119-VLOOKUP(AC119,'Bag weights'!A$2:B$6,2,FALSE)</f>
        <v>52.269999999999996</v>
      </c>
      <c r="AG119" s="28">
        <v>0</v>
      </c>
      <c r="AJ119" s="28">
        <v>0</v>
      </c>
      <c r="AK119" s="28">
        <v>11.03</v>
      </c>
      <c r="AL119" s="28" t="s">
        <v>287</v>
      </c>
      <c r="AM119">
        <f>AK119-VLOOKUP(AL119,'Bag weights'!A$2:B$6,2,FALSE)</f>
        <v>3.1999999999999993</v>
      </c>
      <c r="AN119" s="28">
        <v>1.98</v>
      </c>
      <c r="AO119" s="28" t="s">
        <v>330</v>
      </c>
      <c r="AP119" t="e">
        <f>AN119-VLOOKUP(AO119,'Bag weights'!A$2:B$6,2,FALSE)</f>
        <v>#N/A</v>
      </c>
      <c r="AS119" s="28">
        <v>0</v>
      </c>
      <c r="AT119" s="28">
        <v>1.66</v>
      </c>
      <c r="AU119" s="28" t="s">
        <v>288</v>
      </c>
      <c r="AV119">
        <f>AT119-VLOOKUP(AU119,'Bag weights'!A$2:B$6,2,FALSE)</f>
        <v>-0.83000000000000029</v>
      </c>
      <c r="AW119" t="e">
        <f t="shared" si="3"/>
        <v>#N/A</v>
      </c>
      <c r="BG119" s="28">
        <v>11.34</v>
      </c>
    </row>
    <row r="120" spans="1:59">
      <c r="A120" s="70"/>
      <c r="B120" s="70"/>
      <c r="C120" s="70">
        <v>4</v>
      </c>
      <c r="D120" s="70" t="s">
        <v>94</v>
      </c>
      <c r="E120" s="1"/>
      <c r="F120" s="1"/>
      <c r="G120" s="28">
        <v>10.07</v>
      </c>
      <c r="H120" s="28" t="s">
        <v>287</v>
      </c>
      <c r="I120">
        <f>G120-VLOOKUP(H120,'Bag weights'!A$2:B$6,2,FALSE)</f>
        <v>2.2400000000000002</v>
      </c>
      <c r="L120" s="28">
        <v>0</v>
      </c>
      <c r="N120" s="95"/>
      <c r="O120" s="28">
        <v>0</v>
      </c>
      <c r="R120" s="28">
        <v>0</v>
      </c>
      <c r="S120" s="28" t="s">
        <v>332</v>
      </c>
      <c r="T120" s="28" t="s">
        <v>284</v>
      </c>
      <c r="U120" t="e">
        <f>S120- VLOOKUP(T120,'Bag weights'!A$2:B$6,2,FALSE)</f>
        <v>#VALUE!</v>
      </c>
      <c r="X120" s="28">
        <v>0</v>
      </c>
      <c r="Y120" s="28">
        <v>8.6</v>
      </c>
      <c r="Z120" s="28" t="s">
        <v>287</v>
      </c>
      <c r="AA120">
        <f>Y120-VLOOKUP(Z120,'Bag weights'!A$2:B$6,2,FALSE)</f>
        <v>0.76999999999999957</v>
      </c>
      <c r="AB120" s="28">
        <v>29.54</v>
      </c>
      <c r="AC120" s="28" t="s">
        <v>284</v>
      </c>
      <c r="AD120">
        <f>AB120-VLOOKUP(AC120,'Bag weights'!A$2:B$6,2,FALSE)</f>
        <v>8.59</v>
      </c>
      <c r="AG120" s="28">
        <v>0</v>
      </c>
      <c r="AJ120" s="28">
        <v>0</v>
      </c>
      <c r="AK120" s="28">
        <v>0.5</v>
      </c>
      <c r="AL120" s="28" t="s">
        <v>328</v>
      </c>
      <c r="AM120" t="e">
        <f>AK120-VLOOKUP(AL120,'Bag weights'!A$2:B$6,2,FALSE)</f>
        <v>#N/A</v>
      </c>
      <c r="AN120" s="28">
        <v>0.78</v>
      </c>
      <c r="AO120" s="28" t="s">
        <v>328</v>
      </c>
      <c r="AP120" s="28">
        <v>0.79</v>
      </c>
      <c r="AS120" s="28">
        <v>0</v>
      </c>
      <c r="AT120" s="28">
        <v>29.74</v>
      </c>
      <c r="AU120" s="28" t="s">
        <v>287</v>
      </c>
      <c r="AV120">
        <f>AT120-VLOOKUP(AU120,'Bag weights'!A$2:B$6,2,FALSE)</f>
        <v>21.909999999999997</v>
      </c>
      <c r="AW120" t="e">
        <f t="shared" si="3"/>
        <v>#N/A</v>
      </c>
      <c r="BG120" s="28">
        <v>5.96</v>
      </c>
    </row>
    <row r="121" spans="1:59">
      <c r="A121" s="70"/>
      <c r="B121" s="70"/>
      <c r="C121" s="70">
        <v>4</v>
      </c>
      <c r="D121" s="70" t="s">
        <v>95</v>
      </c>
      <c r="E121" s="1"/>
      <c r="F121" s="1"/>
      <c r="G121" s="28">
        <v>0.21</v>
      </c>
      <c r="H121" s="28" t="s">
        <v>328</v>
      </c>
      <c r="I121" s="28">
        <v>0.21</v>
      </c>
      <c r="L121" s="28">
        <v>0</v>
      </c>
      <c r="N121" s="95"/>
      <c r="O121" s="28">
        <v>0</v>
      </c>
      <c r="R121" s="28">
        <v>0</v>
      </c>
      <c r="S121" s="28">
        <v>73.650000000000006</v>
      </c>
      <c r="T121" s="28" t="s">
        <v>284</v>
      </c>
      <c r="U121">
        <f>S121- VLOOKUP(T121,'Bag weights'!A$2:B$6,2,FALSE)</f>
        <v>52.7</v>
      </c>
      <c r="X121" s="28">
        <v>0</v>
      </c>
      <c r="AA121" s="28">
        <v>0</v>
      </c>
      <c r="AB121" s="28">
        <v>14.18</v>
      </c>
      <c r="AC121" s="28" t="s">
        <v>287</v>
      </c>
      <c r="AD121">
        <f>AB121-VLOOKUP(AC121,'Bag weights'!A$2:B$6,2,FALSE)</f>
        <v>6.35</v>
      </c>
      <c r="AG121" s="28">
        <v>0</v>
      </c>
      <c r="AJ121" s="28">
        <v>0</v>
      </c>
      <c r="AK121" s="28">
        <v>0.24</v>
      </c>
      <c r="AL121" s="28" t="s">
        <v>328</v>
      </c>
      <c r="AM121" t="e">
        <f>AK121-VLOOKUP(AL121,'Bag weights'!A$2:B$6,2,FALSE)</f>
        <v>#N/A</v>
      </c>
      <c r="AN121" s="28">
        <v>0.6</v>
      </c>
      <c r="AO121" s="28" t="s">
        <v>328</v>
      </c>
      <c r="AP121" s="28">
        <v>0.6</v>
      </c>
      <c r="AS121" s="28">
        <v>0</v>
      </c>
      <c r="AT121" s="28">
        <v>2.79</v>
      </c>
      <c r="AU121" s="28" t="s">
        <v>289</v>
      </c>
      <c r="AV121">
        <f>AT121-VLOOKUP(AU121,'Bag weights'!A$2:B$6,2,FALSE)</f>
        <v>1.3</v>
      </c>
      <c r="AW121" t="e">
        <f t="shared" si="3"/>
        <v>#N/A</v>
      </c>
      <c r="BG121" s="28">
        <v>5.53</v>
      </c>
    </row>
    <row r="122" spans="1:59">
      <c r="A122" s="70"/>
      <c r="B122" s="70"/>
      <c r="C122" s="70">
        <v>4</v>
      </c>
      <c r="D122" s="70" t="s">
        <v>96</v>
      </c>
      <c r="E122" s="1"/>
      <c r="F122" s="1"/>
      <c r="I122" t="e">
        <f>G122-VLOOKUP(H122,'Bag weights'!A$2:B$6,2,FALSE)</f>
        <v>#N/A</v>
      </c>
      <c r="L122" t="e">
        <f>J122-VLOOKUP(K122,'Bag weights'!D$2:E$6,2,FALSE)</f>
        <v>#N/A</v>
      </c>
      <c r="N122" s="95"/>
      <c r="O122" t="e">
        <f>M122-VLOOKUP(N122,'Bag weights'!A$2:B$6,2,FALSE)</f>
        <v>#N/A</v>
      </c>
      <c r="R122" t="e">
        <f>P122-VLOOKUP(Q122,'Bag weights'!A$2:B$6,2,FALSE)</f>
        <v>#N/A</v>
      </c>
      <c r="U122" t="e">
        <f>S122- VLOOKUP(T122,'Bag weights'!A$2:B$6,2,FALSE)</f>
        <v>#N/A</v>
      </c>
      <c r="X122" t="e">
        <f>V122-VLOOKUP(W122,'Bag weights'!A$2:B$6,2,FALSE)</f>
        <v>#N/A</v>
      </c>
      <c r="Y122" s="28">
        <v>0.21</v>
      </c>
      <c r="Z122" s="28" t="s">
        <v>289</v>
      </c>
      <c r="AA122">
        <f>Y122-VLOOKUP(Z122,'Bag weights'!A$2:B$6,2,FALSE)</f>
        <v>-1.28</v>
      </c>
      <c r="AB122" s="28"/>
      <c r="AC122" s="28"/>
      <c r="AD122" t="e">
        <f>AB122-VLOOKUP(AC122,'Bag weights'!A$2:B$6,2,FALSE)</f>
        <v>#N/A</v>
      </c>
      <c r="AG122" t="e">
        <f>AE122-VLOOKUP(AF122,'Bag weights'!A$2:B$6,2,FALSE)</f>
        <v>#N/A</v>
      </c>
      <c r="AJ122" t="e">
        <f>AH122-VLOOKUP(AI122,'Bag weights'!A$2:B$6,2,FALSE)</f>
        <v>#N/A</v>
      </c>
      <c r="AK122" s="28">
        <v>1.35</v>
      </c>
      <c r="AM122" t="e">
        <f>AK122-VLOOKUP(AL122,'Bag weights'!A$2:B$6,2,FALSE)</f>
        <v>#N/A</v>
      </c>
      <c r="AP122" t="e">
        <f>AN122-VLOOKUP(AO122,'Bag weights'!A$2:B$6,2,FALSE)</f>
        <v>#N/A</v>
      </c>
      <c r="AS122" t="e">
        <f>AQ122-VLOOKUP(AR122,'Bag weights'!A$2:B$6,2,FALSE)</f>
        <v>#N/A</v>
      </c>
      <c r="AV122" t="e">
        <f>AT122-VLOOKUP(AU122,'Bag weights'!A$2:B$6,2,FALSE)</f>
        <v>#N/A</v>
      </c>
      <c r="AW122" t="e">
        <f t="shared" si="3"/>
        <v>#N/A</v>
      </c>
      <c r="BG122" s="28">
        <v>3.41</v>
      </c>
    </row>
    <row r="123" spans="1:59">
      <c r="A123" s="70"/>
      <c r="B123" s="70"/>
      <c r="C123" s="70">
        <v>4</v>
      </c>
      <c r="D123" s="70" t="s">
        <v>39</v>
      </c>
      <c r="E123" s="1"/>
      <c r="F123" s="1"/>
      <c r="I123" t="e">
        <f>G123-VLOOKUP(H123,'Bag weights'!A$2:B$6,2,FALSE)</f>
        <v>#N/A</v>
      </c>
      <c r="L123" t="e">
        <f>J123-VLOOKUP(K123,'Bag weights'!D$2:E$6,2,FALSE)</f>
        <v>#N/A</v>
      </c>
      <c r="N123" s="95"/>
      <c r="O123" t="e">
        <f>M123-VLOOKUP(N123,'Bag weights'!A$2:B$6,2,FALSE)</f>
        <v>#N/A</v>
      </c>
      <c r="R123" t="e">
        <f>P123-VLOOKUP(Q123,'Bag weights'!A$2:B$6,2,FALSE)</f>
        <v>#N/A</v>
      </c>
      <c r="U123" t="e">
        <f>S123- VLOOKUP(T123,'Bag weights'!A$2:B$6,2,FALSE)</f>
        <v>#N/A</v>
      </c>
      <c r="X123" t="e">
        <f>V123-VLOOKUP(W123,'Bag weights'!A$2:B$6,2,FALSE)</f>
        <v>#N/A</v>
      </c>
      <c r="Y123" s="28">
        <v>0.1</v>
      </c>
      <c r="AA123" t="e">
        <f>Y123-VLOOKUP(Z123,'Bag weights'!A$2:B$6,2,FALSE)</f>
        <v>#N/A</v>
      </c>
      <c r="AD123" t="e">
        <f>AB123-VLOOKUP(AC123,'Bag weights'!A$2:B$6,2,FALSE)</f>
        <v>#N/A</v>
      </c>
      <c r="AG123" t="e">
        <f>AE123-VLOOKUP(AF123,'Bag weights'!A$2:B$6,2,FALSE)</f>
        <v>#N/A</v>
      </c>
      <c r="AJ123" t="e">
        <f>AH123-VLOOKUP(AI123,'Bag weights'!A$2:B$6,2,FALSE)</f>
        <v>#N/A</v>
      </c>
      <c r="AK123" s="28">
        <v>10.83</v>
      </c>
      <c r="AL123" s="28" t="s">
        <v>287</v>
      </c>
      <c r="AM123">
        <f>AK123-VLOOKUP(AL123,'Bag weights'!A$2:B$6,2,FALSE)</f>
        <v>3</v>
      </c>
      <c r="AP123" t="e">
        <f>AN123-VLOOKUP(AO123,'Bag weights'!A$2:B$6,2,FALSE)</f>
        <v>#N/A</v>
      </c>
      <c r="AS123" t="e">
        <f>AQ123-VLOOKUP(AR123,'Bag weights'!A$2:B$6,2,FALSE)</f>
        <v>#N/A</v>
      </c>
      <c r="AV123" t="e">
        <f>AT123-VLOOKUP(AU123,'Bag weights'!A$2:B$6,2,FALSE)</f>
        <v>#N/A</v>
      </c>
      <c r="AW123" t="e">
        <f t="shared" si="3"/>
        <v>#N/A</v>
      </c>
      <c r="BG123" s="28">
        <v>2.4300000000000002</v>
      </c>
    </row>
    <row r="124" spans="1:59">
      <c r="A124" s="70"/>
      <c r="B124" s="70"/>
      <c r="C124" s="70">
        <v>4</v>
      </c>
      <c r="D124" s="70" t="s">
        <v>97</v>
      </c>
      <c r="E124" s="1"/>
      <c r="F124" s="1"/>
      <c r="G124" s="28">
        <v>0.21</v>
      </c>
      <c r="H124" s="28" t="s">
        <v>289</v>
      </c>
      <c r="I124">
        <f>G124-VLOOKUP(H124,'Bag weights'!A$2:B$6,2,FALSE)</f>
        <v>-1.28</v>
      </c>
      <c r="L124" t="e">
        <f>J124-VLOOKUP(K124,'Bag weights'!D$2:E$6,2,FALSE)</f>
        <v>#N/A</v>
      </c>
      <c r="M124" s="28">
        <v>0.1</v>
      </c>
      <c r="N124" s="87" t="s">
        <v>289</v>
      </c>
      <c r="O124">
        <f>M124-VLOOKUP(N124,'Bag weights'!A$2:B$6,2,FALSE)</f>
        <v>-1.39</v>
      </c>
      <c r="R124" t="e">
        <f>P124-VLOOKUP(Q124,'Bag weights'!A$2:B$6,2,FALSE)</f>
        <v>#N/A</v>
      </c>
      <c r="U124" t="e">
        <f>S124- VLOOKUP(T124,'Bag weights'!A$2:B$6,2,FALSE)</f>
        <v>#N/A</v>
      </c>
      <c r="X124" t="e">
        <f>V124-VLOOKUP(W124,'Bag weights'!A$2:B$6,2,FALSE)</f>
        <v>#N/A</v>
      </c>
      <c r="Y124" s="28">
        <v>0.26</v>
      </c>
      <c r="Z124" s="28" t="s">
        <v>289</v>
      </c>
      <c r="AA124">
        <f>Y124-VLOOKUP(Z124,'Bag weights'!A$2:B$6,2,FALSE)</f>
        <v>-1.23</v>
      </c>
      <c r="AD124" t="e">
        <f>AB124-VLOOKUP(AC124,'Bag weights'!A$2:B$6,2,FALSE)</f>
        <v>#N/A</v>
      </c>
      <c r="AG124" t="e">
        <f>AE124-VLOOKUP(AF124,'Bag weights'!A$2:B$6,2,FALSE)</f>
        <v>#N/A</v>
      </c>
      <c r="AJ124" t="e">
        <f>AH124-VLOOKUP(AI124,'Bag weights'!A$2:B$6,2,FALSE)</f>
        <v>#N/A</v>
      </c>
      <c r="AK124" s="28">
        <v>29.58</v>
      </c>
      <c r="AL124" s="28" t="s">
        <v>288</v>
      </c>
      <c r="AM124">
        <f>AK124-VLOOKUP(AL124,'Bag weights'!A$2:B$6,2,FALSE)</f>
        <v>27.089999999999996</v>
      </c>
      <c r="AP124" t="e">
        <f>AN124-VLOOKUP(AO124,'Bag weights'!A$2:B$6,2,FALSE)</f>
        <v>#N/A</v>
      </c>
      <c r="AS124" t="e">
        <f>AQ124-VLOOKUP(AR124,'Bag weights'!A$2:B$6,2,FALSE)</f>
        <v>#N/A</v>
      </c>
      <c r="AV124" t="e">
        <f>AT124-VLOOKUP(AU124,'Bag weights'!A$2:B$6,2,FALSE)</f>
        <v>#N/A</v>
      </c>
      <c r="AW124" t="e">
        <f t="shared" si="3"/>
        <v>#N/A</v>
      </c>
      <c r="BG124" s="28">
        <v>15.65</v>
      </c>
    </row>
    <row r="125" spans="1:59">
      <c r="A125" s="70"/>
      <c r="B125" s="70"/>
      <c r="C125" s="75">
        <v>5</v>
      </c>
      <c r="D125" s="75" t="s">
        <v>94</v>
      </c>
      <c r="E125" s="13"/>
      <c r="F125" s="13"/>
      <c r="N125" s="95"/>
      <c r="S125" s="28">
        <v>33.07</v>
      </c>
      <c r="T125" s="28" t="s">
        <v>284</v>
      </c>
      <c r="Y125" s="28">
        <v>0.51</v>
      </c>
      <c r="Z125" s="28" t="s">
        <v>289</v>
      </c>
      <c r="AB125" s="28">
        <v>59.3</v>
      </c>
      <c r="AC125" s="28" t="s">
        <v>284</v>
      </c>
      <c r="AE125" s="28"/>
      <c r="AF125" s="28"/>
      <c r="AH125" s="28">
        <v>0.61</v>
      </c>
      <c r="AI125" s="28" t="s">
        <v>288</v>
      </c>
      <c r="AK125" s="28">
        <v>37.049999999999997</v>
      </c>
      <c r="AL125" s="28" t="s">
        <v>284</v>
      </c>
      <c r="AN125" s="28">
        <v>2</v>
      </c>
      <c r="AO125" s="28" t="s">
        <v>288</v>
      </c>
      <c r="AT125" s="28">
        <v>0.8</v>
      </c>
      <c r="AU125" s="28" t="s">
        <v>288</v>
      </c>
      <c r="AX125" s="28"/>
      <c r="BC125" s="92"/>
      <c r="BG125" s="28"/>
    </row>
    <row r="126" spans="1:59">
      <c r="A126" s="70"/>
      <c r="B126" s="70"/>
      <c r="C126" s="75">
        <v>5</v>
      </c>
      <c r="D126" s="75" t="s">
        <v>95</v>
      </c>
      <c r="E126" s="13"/>
      <c r="F126" s="13"/>
      <c r="N126" s="95"/>
      <c r="S126" s="28">
        <v>44.75</v>
      </c>
      <c r="T126" s="28" t="s">
        <v>284</v>
      </c>
      <c r="Y126" s="28">
        <v>79.83</v>
      </c>
      <c r="Z126" s="28" t="s">
        <v>284</v>
      </c>
      <c r="AB126" s="28">
        <v>79.150000000000006</v>
      </c>
      <c r="AC126" s="28" t="s">
        <v>284</v>
      </c>
      <c r="AE126" s="28"/>
      <c r="AF126" s="28"/>
      <c r="AK126" s="28">
        <v>2.35</v>
      </c>
      <c r="AL126" s="28" t="s">
        <v>288</v>
      </c>
      <c r="AN126" s="28">
        <v>2.88</v>
      </c>
      <c r="AO126" s="28" t="s">
        <v>288</v>
      </c>
      <c r="AT126" s="28">
        <v>0.28000000000000003</v>
      </c>
      <c r="AU126" s="28" t="s">
        <v>289</v>
      </c>
      <c r="AX126" s="28"/>
      <c r="BC126" s="92"/>
      <c r="BG126" s="28"/>
    </row>
    <row r="127" spans="1:59">
      <c r="A127" s="70"/>
      <c r="B127" s="70"/>
      <c r="C127" s="75">
        <v>5</v>
      </c>
      <c r="D127" s="75" t="s">
        <v>96</v>
      </c>
      <c r="E127" s="13"/>
      <c r="F127" s="13"/>
      <c r="N127" s="95"/>
      <c r="S127" s="28"/>
      <c r="T127" s="28"/>
      <c r="U127" s="28">
        <v>33</v>
      </c>
      <c r="Y127" s="28"/>
      <c r="Z127" s="28"/>
      <c r="AB127" s="28">
        <v>37.1</v>
      </c>
      <c r="AC127" s="28" t="s">
        <v>284</v>
      </c>
      <c r="AE127" s="28"/>
      <c r="AF127" s="28"/>
      <c r="AH127" s="28">
        <v>0.08</v>
      </c>
      <c r="AI127" s="28" t="s">
        <v>289</v>
      </c>
      <c r="AK127" s="28">
        <v>12.06</v>
      </c>
      <c r="AL127" s="28" t="s">
        <v>287</v>
      </c>
      <c r="AN127" s="28">
        <v>0.75</v>
      </c>
      <c r="AO127" s="28" t="s">
        <v>288</v>
      </c>
      <c r="AT127" s="28">
        <v>1.89</v>
      </c>
      <c r="AU127" s="28" t="s">
        <v>289</v>
      </c>
      <c r="AX127" s="28"/>
      <c r="BC127" s="92"/>
      <c r="BG127" s="28"/>
    </row>
    <row r="128" spans="1:59">
      <c r="A128" s="70"/>
      <c r="B128" s="70"/>
      <c r="C128" s="75">
        <v>5</v>
      </c>
      <c r="D128" s="75" t="s">
        <v>39</v>
      </c>
      <c r="E128" s="13"/>
      <c r="F128" s="13"/>
      <c r="N128" s="95"/>
      <c r="S128" s="28">
        <v>48.51</v>
      </c>
      <c r="T128" s="28" t="s">
        <v>284</v>
      </c>
      <c r="AB128" s="28">
        <v>45.2</v>
      </c>
      <c r="AC128" s="28" t="s">
        <v>284</v>
      </c>
      <c r="AE128" s="28">
        <v>1.01</v>
      </c>
      <c r="AF128" s="28" t="s">
        <v>288</v>
      </c>
      <c r="AK128" s="28">
        <v>12.82</v>
      </c>
      <c r="AL128" s="28" t="s">
        <v>287</v>
      </c>
      <c r="AN128" s="28">
        <v>0.94</v>
      </c>
      <c r="AO128" s="28" t="s">
        <v>288</v>
      </c>
      <c r="AT128" s="28">
        <v>0.68</v>
      </c>
      <c r="AU128" s="28" t="s">
        <v>288</v>
      </c>
      <c r="AX128" s="28"/>
      <c r="BC128" s="92"/>
      <c r="BG128" s="28"/>
    </row>
    <row r="129" spans="1:59">
      <c r="A129" s="70"/>
      <c r="B129" s="70"/>
      <c r="C129" s="75">
        <v>5</v>
      </c>
      <c r="D129" s="75" t="s">
        <v>97</v>
      </c>
      <c r="E129" s="13"/>
      <c r="F129" s="13"/>
      <c r="N129" s="95"/>
      <c r="S129" s="28">
        <v>43.46</v>
      </c>
      <c r="T129" s="28" t="s">
        <v>284</v>
      </c>
      <c r="Y129" s="28">
        <v>11.07</v>
      </c>
      <c r="Z129" s="28" t="s">
        <v>287</v>
      </c>
      <c r="AB129" s="28">
        <v>41.8</v>
      </c>
      <c r="AC129" s="28" t="s">
        <v>284</v>
      </c>
      <c r="AE129" s="28"/>
      <c r="AF129" s="28"/>
      <c r="AK129" s="28">
        <v>34.96</v>
      </c>
      <c r="AL129" s="28" t="s">
        <v>284</v>
      </c>
      <c r="AN129" s="28">
        <v>1.24</v>
      </c>
      <c r="AO129" s="28" t="s">
        <v>288</v>
      </c>
      <c r="AT129" s="28">
        <v>1.69</v>
      </c>
      <c r="AU129" s="28" t="s">
        <v>288</v>
      </c>
      <c r="AX129" s="28"/>
      <c r="BC129" s="92"/>
      <c r="BG129" s="28"/>
    </row>
    <row r="130" spans="1:59">
      <c r="A130" s="70"/>
      <c r="B130" s="70"/>
      <c r="C130" s="75">
        <v>5</v>
      </c>
      <c r="D130" s="70"/>
      <c r="E130" s="1"/>
      <c r="F130" s="1"/>
      <c r="N130" s="95"/>
      <c r="S130" s="28"/>
      <c r="T130" s="28"/>
      <c r="AB130" s="28"/>
      <c r="AC130" s="28"/>
      <c r="AE130" s="28"/>
      <c r="AF130" s="28"/>
      <c r="AK130" s="28"/>
      <c r="AL130" s="28"/>
      <c r="AN130" s="28"/>
      <c r="AO130" s="28"/>
      <c r="AT130" s="28"/>
      <c r="AU130" s="28"/>
      <c r="AX130" s="28"/>
      <c r="BC130" s="92"/>
      <c r="BG130" s="28"/>
    </row>
    <row r="131" spans="1:59">
      <c r="A131" s="70" t="s">
        <v>37</v>
      </c>
      <c r="B131" s="70" t="s">
        <v>102</v>
      </c>
      <c r="C131" s="70">
        <v>1</v>
      </c>
      <c r="D131" s="70" t="s">
        <v>94</v>
      </c>
      <c r="E131" s="1"/>
      <c r="F131" s="1"/>
      <c r="I131" t="e">
        <f>G131-VLOOKUP(H131,'Bag weights'!A$2:B$6,2,FALSE)</f>
        <v>#N/A</v>
      </c>
      <c r="L131" t="e">
        <f>J131-VLOOKUP(K131,'Bag weights'!D$2:E$6,2,FALSE)</f>
        <v>#N/A</v>
      </c>
      <c r="N131" s="95"/>
      <c r="O131" t="e">
        <f>M131-VLOOKUP(N131,'Bag weights'!A$2:B$6,2,FALSE)</f>
        <v>#N/A</v>
      </c>
      <c r="R131" t="e">
        <f>P131-VLOOKUP(Q131,'Bag weights'!A$2:B$6,2,FALSE)</f>
        <v>#N/A</v>
      </c>
      <c r="S131" s="28">
        <v>20.51</v>
      </c>
      <c r="T131" s="28" t="s">
        <v>290</v>
      </c>
      <c r="U131" t="e">
        <f>S131- VLOOKUP(T131,'Bag weights'!A$2:B$6,2,FALSE)</f>
        <v>#N/A</v>
      </c>
      <c r="X131" t="e">
        <f>V131-VLOOKUP(W131,'Bag weights'!A$2:B$6,2,FALSE)</f>
        <v>#N/A</v>
      </c>
      <c r="AA131" t="e">
        <f>Y131-VLOOKUP(Z131,'Bag weights'!A$2:B$6,2,FALSE)</f>
        <v>#N/A</v>
      </c>
      <c r="AB131" s="28">
        <v>37.26</v>
      </c>
      <c r="AC131" s="28" t="s">
        <v>290</v>
      </c>
      <c r="AD131" t="e">
        <f>AB131-VLOOKUP(AC131,'Bag weights'!A$2:B$6,2,FALSE)</f>
        <v>#N/A</v>
      </c>
      <c r="AE131" s="28">
        <v>0.18</v>
      </c>
      <c r="AF131" s="28" t="s">
        <v>290</v>
      </c>
      <c r="AG131" t="e">
        <f>AE131-VLOOKUP(AF131,'Bag weights'!A$2:B$6,2,FALSE)</f>
        <v>#N/A</v>
      </c>
      <c r="AJ131" t="e">
        <f>AH131-VLOOKUP(AI131,'Bag weights'!A$2:B$6,2,FALSE)</f>
        <v>#N/A</v>
      </c>
      <c r="AK131" s="28">
        <v>29.71</v>
      </c>
      <c r="AL131" s="28" t="s">
        <v>290</v>
      </c>
      <c r="AM131" t="e">
        <f>AK131-VLOOKUP(AL131,'Bag weights'!A$2:B$6,2,FALSE)</f>
        <v>#N/A</v>
      </c>
      <c r="AN131" s="28">
        <v>1.58</v>
      </c>
      <c r="AO131" s="28" t="s">
        <v>290</v>
      </c>
      <c r="AP131" t="e">
        <f>AN131-VLOOKUP(AO131,'Bag weights'!A$2:B$6,2,FALSE)</f>
        <v>#N/A</v>
      </c>
      <c r="AS131" t="e">
        <f>AQ131-VLOOKUP(AR131,'Bag weights'!A$2:B$6,2,FALSE)</f>
        <v>#N/A</v>
      </c>
      <c r="AT131" s="28">
        <v>0.81</v>
      </c>
      <c r="AU131" s="28" t="s">
        <v>290</v>
      </c>
      <c r="AV131" t="e">
        <f>AT131-VLOOKUP(AU131,'Bag weights'!A$2:B$6,2,FALSE)</f>
        <v>#N/A</v>
      </c>
      <c r="AW131" t="e">
        <f t="shared" ref="AW131:AW190" si="4">SUM(AS131+AP131+AM131+AJ131+AG131+AD131+AA131+X131+U131+R131+I131+O131)</f>
        <v>#N/A</v>
      </c>
      <c r="AX131" s="28" t="s">
        <v>333</v>
      </c>
      <c r="BC131" s="92">
        <v>9.1999999999999993</v>
      </c>
      <c r="BG131" s="28">
        <v>3.72</v>
      </c>
    </row>
    <row r="132" spans="1:59">
      <c r="A132" s="75" t="s">
        <v>294</v>
      </c>
      <c r="B132" s="70"/>
      <c r="C132" s="70">
        <v>1</v>
      </c>
      <c r="D132" s="70" t="s">
        <v>95</v>
      </c>
      <c r="E132" s="1"/>
      <c r="F132" s="1"/>
      <c r="I132" t="e">
        <f>G132-VLOOKUP(H132,'Bag weights'!A$2:B$6,2,FALSE)</f>
        <v>#N/A</v>
      </c>
      <c r="L132" t="e">
        <f>J132-VLOOKUP(K132,'Bag weights'!D$2:E$6,2,FALSE)</f>
        <v>#N/A</v>
      </c>
      <c r="N132" s="95"/>
      <c r="O132" t="e">
        <f>M132-VLOOKUP(N132,'Bag weights'!A$2:B$6,2,FALSE)</f>
        <v>#N/A</v>
      </c>
      <c r="R132" t="e">
        <f>P132-VLOOKUP(Q132,'Bag weights'!A$2:B$6,2,FALSE)</f>
        <v>#N/A</v>
      </c>
      <c r="S132" s="28">
        <v>29.03</v>
      </c>
      <c r="T132" s="28" t="s">
        <v>290</v>
      </c>
      <c r="U132" t="e">
        <f>S132- VLOOKUP(T132,'Bag weights'!A$2:B$6,2,FALSE)</f>
        <v>#N/A</v>
      </c>
      <c r="X132" t="e">
        <f>V132-VLOOKUP(W132,'Bag weights'!A$2:B$6,2,FALSE)</f>
        <v>#N/A</v>
      </c>
      <c r="AA132" t="e">
        <f>Y132-VLOOKUP(Z132,'Bag weights'!A$2:B$6,2,FALSE)</f>
        <v>#N/A</v>
      </c>
      <c r="AB132" s="28">
        <v>24.63</v>
      </c>
      <c r="AC132" s="28" t="s">
        <v>290</v>
      </c>
      <c r="AD132" t="e">
        <f>AB132-VLOOKUP(AC132,'Bag weights'!A$2:B$6,2,FALSE)</f>
        <v>#N/A</v>
      </c>
      <c r="AG132" t="e">
        <f>AE132-VLOOKUP(AF132,'Bag weights'!A$2:B$6,2,FALSE)</f>
        <v>#N/A</v>
      </c>
      <c r="AH132" s="28">
        <v>0.34</v>
      </c>
      <c r="AI132" s="28" t="s">
        <v>290</v>
      </c>
      <c r="AJ132" t="e">
        <f>AH132-VLOOKUP(AI132,'Bag weights'!A$2:B$6,2,FALSE)</f>
        <v>#N/A</v>
      </c>
      <c r="AK132" s="28">
        <v>26.04</v>
      </c>
      <c r="AL132" s="28" t="s">
        <v>290</v>
      </c>
      <c r="AM132" t="e">
        <f>AK132-VLOOKUP(AL132,'Bag weights'!A$2:B$6,2,FALSE)</f>
        <v>#N/A</v>
      </c>
      <c r="AN132" s="28">
        <v>1.78</v>
      </c>
      <c r="AO132" s="28" t="s">
        <v>290</v>
      </c>
      <c r="AP132" t="e">
        <f>AN132-VLOOKUP(AO132,'Bag weights'!A$2:B$6,2,FALSE)</f>
        <v>#N/A</v>
      </c>
      <c r="AS132" t="e">
        <f>AQ132-VLOOKUP(AR132,'Bag weights'!A$2:B$6,2,FALSE)</f>
        <v>#N/A</v>
      </c>
      <c r="AT132" s="28">
        <v>0.82</v>
      </c>
      <c r="AU132" s="28" t="s">
        <v>290</v>
      </c>
      <c r="AV132" t="e">
        <f>AT132-VLOOKUP(AU132,'Bag weights'!A$2:B$6,2,FALSE)</f>
        <v>#N/A</v>
      </c>
      <c r="AW132" t="e">
        <f t="shared" si="4"/>
        <v>#N/A</v>
      </c>
      <c r="AX132" s="28" t="s">
        <v>334</v>
      </c>
      <c r="BC132" s="92">
        <v>2.9</v>
      </c>
      <c r="BG132" s="28">
        <v>1.35</v>
      </c>
    </row>
    <row r="133" spans="1:59">
      <c r="A133" s="70"/>
      <c r="B133" s="70"/>
      <c r="C133" s="70">
        <v>1</v>
      </c>
      <c r="D133" s="70" t="s">
        <v>96</v>
      </c>
      <c r="E133" s="1"/>
      <c r="F133" s="1"/>
      <c r="I133" t="e">
        <f>G133-VLOOKUP(H133,'Bag weights'!A$2:B$6,2,FALSE)</f>
        <v>#N/A</v>
      </c>
      <c r="L133" t="e">
        <f>J133-VLOOKUP(K133,'Bag weights'!D$2:E$6,2,FALSE)</f>
        <v>#N/A</v>
      </c>
      <c r="N133" s="95"/>
      <c r="O133" t="e">
        <f>M133-VLOOKUP(N133,'Bag weights'!A$2:B$6,2,FALSE)</f>
        <v>#N/A</v>
      </c>
      <c r="R133" t="e">
        <f>P133-VLOOKUP(Q133,'Bag weights'!A$2:B$6,2,FALSE)</f>
        <v>#N/A</v>
      </c>
      <c r="S133" s="28">
        <v>41.17</v>
      </c>
      <c r="T133" s="28" t="s">
        <v>284</v>
      </c>
      <c r="U133">
        <f>S133- VLOOKUP(T133,'Bag weights'!A$2:B$6,2,FALSE)</f>
        <v>20.220000000000002</v>
      </c>
      <c r="X133" t="e">
        <f>V133-VLOOKUP(W133,'Bag weights'!A$2:B$6,2,FALSE)</f>
        <v>#N/A</v>
      </c>
      <c r="AA133" t="e">
        <f>Y133-VLOOKUP(Z133,'Bag weights'!A$2:B$6,2,FALSE)</f>
        <v>#N/A</v>
      </c>
      <c r="AB133" s="28">
        <v>71.989999999999995</v>
      </c>
      <c r="AC133" s="28" t="s">
        <v>284</v>
      </c>
      <c r="AD133">
        <f>AB133-VLOOKUP(AC133,'Bag weights'!A$2:B$6,2,FALSE)</f>
        <v>51.039999999999992</v>
      </c>
      <c r="AG133" t="e">
        <f>AE133-VLOOKUP(AF133,'Bag weights'!A$2:B$6,2,FALSE)</f>
        <v>#N/A</v>
      </c>
      <c r="AH133" s="28"/>
      <c r="AI133" s="28"/>
      <c r="AJ133" t="e">
        <f>AH133-VLOOKUP(AI133,'Bag weights'!A$2:B$6,2,FALSE)</f>
        <v>#N/A</v>
      </c>
      <c r="AK133" s="28">
        <v>38.270000000000003</v>
      </c>
      <c r="AL133" s="28" t="s">
        <v>286</v>
      </c>
      <c r="AM133">
        <f>AK133-VLOOKUP(AL133,'Bag weights'!A$2:B$6,2,FALSE)</f>
        <v>22.870000000000005</v>
      </c>
      <c r="AN133" s="28">
        <v>1.33</v>
      </c>
      <c r="AO133" s="28" t="s">
        <v>290</v>
      </c>
      <c r="AP133" t="e">
        <f>AN133-VLOOKUP(AO133,'Bag weights'!A$2:B$6,2,FALSE)</f>
        <v>#N/A</v>
      </c>
      <c r="AS133" t="e">
        <f>AQ133-VLOOKUP(AR133,'Bag weights'!A$2:B$6,2,FALSE)</f>
        <v>#N/A</v>
      </c>
      <c r="AT133" s="28">
        <v>0.54</v>
      </c>
      <c r="AU133" s="28" t="s">
        <v>290</v>
      </c>
      <c r="AV133" t="e">
        <f>AT133-VLOOKUP(AU133,'Bag weights'!A$2:B$6,2,FALSE)</f>
        <v>#N/A</v>
      </c>
      <c r="AW133" t="e">
        <f t="shared" si="4"/>
        <v>#N/A</v>
      </c>
      <c r="AX133" s="28" t="s">
        <v>335</v>
      </c>
      <c r="BC133" s="92">
        <v>19.399999999999999</v>
      </c>
      <c r="BG133" s="28">
        <v>2.63</v>
      </c>
    </row>
    <row r="134" spans="1:59">
      <c r="A134" s="70"/>
      <c r="B134" s="70"/>
      <c r="C134" s="70">
        <v>1</v>
      </c>
      <c r="D134" s="70" t="s">
        <v>39</v>
      </c>
      <c r="E134" s="1"/>
      <c r="F134" s="1"/>
      <c r="G134" s="28">
        <v>0.89</v>
      </c>
      <c r="H134" s="28" t="s">
        <v>290</v>
      </c>
      <c r="I134" s="28"/>
      <c r="L134" t="e">
        <f>J134-VLOOKUP(K134,'Bag weights'!D$2:E$6,2,FALSE)</f>
        <v>#N/A</v>
      </c>
      <c r="N134" s="95"/>
      <c r="O134" t="e">
        <f>M134-VLOOKUP(N134,'Bag weights'!A$2:B$6,2,FALSE)</f>
        <v>#N/A</v>
      </c>
      <c r="R134" t="e">
        <f>P134-VLOOKUP(Q134,'Bag weights'!A$2:B$6,2,FALSE)</f>
        <v>#N/A</v>
      </c>
      <c r="S134" s="28">
        <v>42.69</v>
      </c>
      <c r="T134" s="28" t="s">
        <v>284</v>
      </c>
      <c r="U134">
        <f>S134- VLOOKUP(T134,'Bag weights'!A$2:B$6,2,FALSE)</f>
        <v>21.74</v>
      </c>
      <c r="X134" t="e">
        <f>V134-VLOOKUP(W134,'Bag weights'!A$2:B$6,2,FALSE)</f>
        <v>#N/A</v>
      </c>
      <c r="AA134" t="e">
        <f>Y134-VLOOKUP(Z134,'Bag weights'!A$2:B$6,2,FALSE)</f>
        <v>#N/A</v>
      </c>
      <c r="AB134" s="28">
        <v>63.91</v>
      </c>
      <c r="AC134" s="28" t="s">
        <v>284</v>
      </c>
      <c r="AD134">
        <f>AB134-VLOOKUP(AC134,'Bag weights'!A$2:B$6,2,FALSE)</f>
        <v>42.959999999999994</v>
      </c>
      <c r="AG134" t="e">
        <f>AE134-VLOOKUP(AF134,'Bag weights'!A$2:B$6,2,FALSE)</f>
        <v>#N/A</v>
      </c>
      <c r="AH134" s="28">
        <v>1.06</v>
      </c>
      <c r="AI134" s="28" t="s">
        <v>290</v>
      </c>
      <c r="AJ134" t="e">
        <f>AH134-VLOOKUP(AI134,'Bag weights'!A$2:B$6,2,FALSE)</f>
        <v>#N/A</v>
      </c>
      <c r="AM134" t="e">
        <f>AK134-VLOOKUP(AL134,'Bag weights'!A$2:B$6,2,FALSE)</f>
        <v>#N/A</v>
      </c>
      <c r="AN134" s="28">
        <v>3.18</v>
      </c>
      <c r="AO134" s="28" t="s">
        <v>290</v>
      </c>
      <c r="AP134" t="e">
        <f>AN134-VLOOKUP(AO134,'Bag weights'!A$2:B$6,2,FALSE)</f>
        <v>#N/A</v>
      </c>
      <c r="AS134" t="e">
        <f>AQ134-VLOOKUP(AR134,'Bag weights'!A$2:B$6,2,FALSE)</f>
        <v>#N/A</v>
      </c>
      <c r="AT134" s="28">
        <v>0.59</v>
      </c>
      <c r="AV134" t="e">
        <f>AT134-VLOOKUP(AU134,'Bag weights'!A$2:B$6,2,FALSE)</f>
        <v>#N/A</v>
      </c>
      <c r="AW134" t="e">
        <f t="shared" si="4"/>
        <v>#N/A</v>
      </c>
      <c r="BG134" s="28">
        <v>0.9</v>
      </c>
    </row>
    <row r="135" spans="1:59">
      <c r="A135" s="70"/>
      <c r="B135" s="70"/>
      <c r="C135" s="70">
        <v>1</v>
      </c>
      <c r="D135" s="70" t="s">
        <v>97</v>
      </c>
      <c r="E135" s="1"/>
      <c r="F135" s="1"/>
      <c r="I135" t="e">
        <f>G135-VLOOKUP(H135,'Bag weights'!A$2:B$6,2,FALSE)</f>
        <v>#N/A</v>
      </c>
      <c r="L135" t="e">
        <f>J135-VLOOKUP(K135,'Bag weights'!D$2:E$6,2,FALSE)</f>
        <v>#N/A</v>
      </c>
      <c r="N135" s="95"/>
      <c r="O135" t="e">
        <f>M135-VLOOKUP(N135,'Bag weights'!A$2:B$6,2,FALSE)</f>
        <v>#N/A</v>
      </c>
      <c r="R135" t="e">
        <f>P135-VLOOKUP(Q135,'Bag weights'!A$2:B$6,2,FALSE)</f>
        <v>#N/A</v>
      </c>
      <c r="S135" s="28">
        <v>33.14</v>
      </c>
      <c r="T135" s="28" t="s">
        <v>290</v>
      </c>
      <c r="U135" t="e">
        <f>S135- VLOOKUP(T135,'Bag weights'!A$2:B$6,2,FALSE)</f>
        <v>#N/A</v>
      </c>
      <c r="X135" t="e">
        <f>V135-VLOOKUP(W135,'Bag weights'!A$2:B$6,2,FALSE)</f>
        <v>#N/A</v>
      </c>
      <c r="AA135" t="e">
        <f>Y135-VLOOKUP(Z135,'Bag weights'!A$2:B$6,2,FALSE)</f>
        <v>#N/A</v>
      </c>
      <c r="AB135" s="28">
        <v>24.38</v>
      </c>
      <c r="AC135" s="28" t="s">
        <v>290</v>
      </c>
      <c r="AD135" t="e">
        <f>AB135-VLOOKUP(AC135,'Bag weights'!A$2:B$6,2,FALSE)</f>
        <v>#N/A</v>
      </c>
      <c r="AE135" s="28">
        <v>0.66</v>
      </c>
      <c r="AF135" s="28" t="s">
        <v>290</v>
      </c>
      <c r="AG135" t="e">
        <f>AE135-VLOOKUP(AF135,'Bag weights'!A$2:B$6,2,FALSE)</f>
        <v>#N/A</v>
      </c>
      <c r="AH135" s="28">
        <v>0.09</v>
      </c>
      <c r="AI135" s="28" t="s">
        <v>290</v>
      </c>
      <c r="AJ135" t="e">
        <f>AH135-VLOOKUP(AI135,'Bag weights'!A$2:B$6,2,FALSE)</f>
        <v>#N/A</v>
      </c>
      <c r="AK135" s="28">
        <v>5.79</v>
      </c>
      <c r="AL135" s="28" t="s">
        <v>290</v>
      </c>
      <c r="AM135" t="e">
        <f>AK135-VLOOKUP(AL135,'Bag weights'!A$2:B$6,2,FALSE)</f>
        <v>#N/A</v>
      </c>
      <c r="AN135" s="28">
        <v>1.22</v>
      </c>
      <c r="AO135" s="28" t="s">
        <v>290</v>
      </c>
      <c r="AP135" t="e">
        <f>AN135-VLOOKUP(AO135,'Bag weights'!A$2:B$6,2,FALSE)</f>
        <v>#N/A</v>
      </c>
      <c r="AS135" t="e">
        <f>AQ135-VLOOKUP(AR135,'Bag weights'!A$2:B$6,2,FALSE)</f>
        <v>#N/A</v>
      </c>
      <c r="AT135" s="28">
        <v>1.1299999999999999</v>
      </c>
      <c r="AU135" s="28" t="s">
        <v>290</v>
      </c>
      <c r="AV135" t="e">
        <f>AT135-VLOOKUP(AU135,'Bag weights'!A$2:B$6,2,FALSE)</f>
        <v>#N/A</v>
      </c>
      <c r="AW135" t="e">
        <f t="shared" si="4"/>
        <v>#N/A</v>
      </c>
      <c r="BG135" s="28">
        <v>1.03</v>
      </c>
    </row>
    <row r="136" spans="1:59">
      <c r="A136" s="70"/>
      <c r="B136" s="70"/>
      <c r="C136" s="70">
        <v>2</v>
      </c>
      <c r="D136" s="70" t="s">
        <v>94</v>
      </c>
      <c r="E136" s="1"/>
      <c r="F136" s="1"/>
      <c r="G136" s="28">
        <v>0.17</v>
      </c>
      <c r="H136" s="28" t="s">
        <v>290</v>
      </c>
      <c r="I136" t="e">
        <f>G136-VLOOKUP(H136,'Bag weights'!A$2:B$6,2,FALSE)</f>
        <v>#N/A</v>
      </c>
      <c r="L136" t="e">
        <f>J136-VLOOKUP(K136,'Bag weights'!D$2:E$6,2,FALSE)</f>
        <v>#N/A</v>
      </c>
      <c r="N136" s="95"/>
      <c r="O136" t="e">
        <f>M136-VLOOKUP(N136,'Bag weights'!A$2:B$6,2,FALSE)</f>
        <v>#N/A</v>
      </c>
      <c r="R136" t="e">
        <f>P136-VLOOKUP(Q136,'Bag weights'!A$2:B$6,2,FALSE)</f>
        <v>#N/A</v>
      </c>
      <c r="S136" s="28">
        <v>30.98</v>
      </c>
      <c r="T136" s="28" t="s">
        <v>290</v>
      </c>
      <c r="U136" t="e">
        <f>S136- VLOOKUP(T136,'Bag weights'!A$2:B$6,2,FALSE)</f>
        <v>#N/A</v>
      </c>
      <c r="X136" t="e">
        <f>V136-VLOOKUP(W136,'Bag weights'!A$2:B$6,2,FALSE)</f>
        <v>#N/A</v>
      </c>
      <c r="AA136" t="e">
        <f>Y136-VLOOKUP(Z136,'Bag weights'!A$2:B$6,2,FALSE)</f>
        <v>#N/A</v>
      </c>
      <c r="AB136" s="28">
        <v>38.909999999999997</v>
      </c>
      <c r="AD136" t="e">
        <f>AB136-VLOOKUP(AC136,'Bag weights'!A$2:B$6,2,FALSE)</f>
        <v>#N/A</v>
      </c>
      <c r="AG136" t="e">
        <f>AE136-VLOOKUP(AF136,'Bag weights'!A$2:B$6,2,FALSE)</f>
        <v>#N/A</v>
      </c>
      <c r="AH136" s="28">
        <v>0.32</v>
      </c>
      <c r="AI136" s="28" t="s">
        <v>290</v>
      </c>
      <c r="AJ136" t="e">
        <f>AH136-VLOOKUP(AI136,'Bag weights'!A$2:B$6,2,FALSE)</f>
        <v>#N/A</v>
      </c>
      <c r="AK136" s="28">
        <v>20.58</v>
      </c>
      <c r="AL136" s="28" t="s">
        <v>290</v>
      </c>
      <c r="AM136" t="e">
        <f>AK136-VLOOKUP(AL136,'Bag weights'!A$2:B$6,2,FALSE)</f>
        <v>#N/A</v>
      </c>
      <c r="AN136" s="28">
        <v>2.4</v>
      </c>
      <c r="AO136" s="28" t="s">
        <v>290</v>
      </c>
      <c r="AP136" t="e">
        <f>AN136-VLOOKUP(AO136,'Bag weights'!A$2:B$6,2,FALSE)</f>
        <v>#N/A</v>
      </c>
      <c r="AS136" t="e">
        <f>AQ136-VLOOKUP(AR136,'Bag weights'!A$2:B$6,2,FALSE)</f>
        <v>#N/A</v>
      </c>
      <c r="AT136" s="28">
        <v>1.28</v>
      </c>
      <c r="AU136" s="28" t="s">
        <v>290</v>
      </c>
      <c r="AV136" t="e">
        <f>AT136-VLOOKUP(AU136,'Bag weights'!A$2:B$6,2,FALSE)</f>
        <v>#N/A</v>
      </c>
      <c r="AW136" t="e">
        <f t="shared" si="4"/>
        <v>#N/A</v>
      </c>
      <c r="AX136" s="28" t="s">
        <v>336</v>
      </c>
      <c r="BC136" s="92">
        <v>10.5</v>
      </c>
      <c r="BG136" s="28">
        <v>2.94</v>
      </c>
    </row>
    <row r="137" spans="1:59">
      <c r="A137" s="70"/>
      <c r="B137" s="70"/>
      <c r="C137" s="70">
        <v>2</v>
      </c>
      <c r="D137" s="70" t="s">
        <v>95</v>
      </c>
      <c r="E137" s="1"/>
      <c r="F137" s="1"/>
      <c r="I137" t="e">
        <f>G137-VLOOKUP(H137,'Bag weights'!A$2:B$6,2,FALSE)</f>
        <v>#N/A</v>
      </c>
      <c r="L137" t="e">
        <f>J137-VLOOKUP(K137,'Bag weights'!D$2:E$6,2,FALSE)</f>
        <v>#N/A</v>
      </c>
      <c r="N137" s="95"/>
      <c r="O137" t="e">
        <f>M137-VLOOKUP(N137,'Bag weights'!A$2:B$6,2,FALSE)</f>
        <v>#N/A</v>
      </c>
      <c r="R137" t="e">
        <f>P137-VLOOKUP(Q137,'Bag weights'!A$2:B$6,2,FALSE)</f>
        <v>#N/A</v>
      </c>
      <c r="S137" s="28">
        <v>26.05</v>
      </c>
      <c r="U137" t="e">
        <f>S137- VLOOKUP(T137,'Bag weights'!A$2:B$6,2,FALSE)</f>
        <v>#N/A</v>
      </c>
      <c r="X137" t="e">
        <f>V137-VLOOKUP(W137,'Bag weights'!A$2:B$6,2,FALSE)</f>
        <v>#N/A</v>
      </c>
      <c r="AA137" t="e">
        <f>Y137-VLOOKUP(Z137,'Bag weights'!A$2:B$6,2,FALSE)</f>
        <v>#N/A</v>
      </c>
      <c r="AD137" t="e">
        <f>AB137-VLOOKUP(AC137,'Bag weights'!A$2:B$6,2,FALSE)</f>
        <v>#N/A</v>
      </c>
      <c r="AG137" t="e">
        <f>AE137-VLOOKUP(AF137,'Bag weights'!A$2:B$6,2,FALSE)</f>
        <v>#N/A</v>
      </c>
      <c r="AJ137" t="e">
        <f>AH137-VLOOKUP(AI137,'Bag weights'!A$2:B$6,2,FALSE)</f>
        <v>#N/A</v>
      </c>
      <c r="AM137" t="e">
        <f>AK137-VLOOKUP(AL137,'Bag weights'!A$2:B$6,2,FALSE)</f>
        <v>#N/A</v>
      </c>
      <c r="AP137" t="e">
        <f>AN137-VLOOKUP(AO137,'Bag weights'!A$2:B$6,2,FALSE)</f>
        <v>#N/A</v>
      </c>
      <c r="AS137" t="e">
        <f>AQ137-VLOOKUP(AR137,'Bag weights'!A$2:B$6,2,FALSE)</f>
        <v>#N/A</v>
      </c>
      <c r="AV137" t="e">
        <f>AT137-VLOOKUP(AU137,'Bag weights'!A$2:B$6,2,FALSE)</f>
        <v>#N/A</v>
      </c>
      <c r="AW137" t="e">
        <f t="shared" si="4"/>
        <v>#N/A</v>
      </c>
      <c r="BC137" s="92">
        <v>7</v>
      </c>
      <c r="BG137" s="28">
        <v>1.25</v>
      </c>
    </row>
    <row r="138" spans="1:59">
      <c r="A138" s="70"/>
      <c r="B138" s="70"/>
      <c r="C138" s="70">
        <v>2</v>
      </c>
      <c r="D138" s="70" t="s">
        <v>96</v>
      </c>
      <c r="E138" s="1"/>
      <c r="F138" s="1"/>
      <c r="I138" t="e">
        <f>G138-VLOOKUP(H138,'Bag weights'!A$2:B$6,2,FALSE)</f>
        <v>#N/A</v>
      </c>
      <c r="L138" t="e">
        <f>J138-VLOOKUP(K138,'Bag weights'!D$2:E$6,2,FALSE)</f>
        <v>#N/A</v>
      </c>
      <c r="N138" s="95"/>
      <c r="O138" t="e">
        <f>M138-VLOOKUP(N138,'Bag weights'!A$2:B$6,2,FALSE)</f>
        <v>#N/A</v>
      </c>
      <c r="R138" t="e">
        <f>P138-VLOOKUP(Q138,'Bag weights'!A$2:B$6,2,FALSE)</f>
        <v>#N/A</v>
      </c>
      <c r="S138" s="28">
        <v>41.29</v>
      </c>
      <c r="T138" s="28" t="s">
        <v>284</v>
      </c>
      <c r="U138">
        <f>S138- VLOOKUP(T138,'Bag weights'!A$2:B$6,2,FALSE)</f>
        <v>20.34</v>
      </c>
      <c r="V138" s="28">
        <v>0.04</v>
      </c>
      <c r="W138" s="28" t="s">
        <v>290</v>
      </c>
      <c r="X138" t="e">
        <f>V138-VLOOKUP(W138,'Bag weights'!A$2:B$6,2,FALSE)</f>
        <v>#N/A</v>
      </c>
      <c r="AA138" t="e">
        <f>Y138-VLOOKUP(Z138,'Bag weights'!A$2:B$6,2,FALSE)</f>
        <v>#N/A</v>
      </c>
      <c r="AB138" s="28">
        <v>80.78</v>
      </c>
      <c r="AC138" s="28" t="s">
        <v>284</v>
      </c>
      <c r="AD138">
        <f>AB138-VLOOKUP(AC138,'Bag weights'!A$2:B$6,2,FALSE)</f>
        <v>59.83</v>
      </c>
      <c r="AG138" t="e">
        <f>AE138-VLOOKUP(AF138,'Bag weights'!A$2:B$6,2,FALSE)</f>
        <v>#N/A</v>
      </c>
      <c r="AJ138" t="e">
        <f>AH138-VLOOKUP(AI138,'Bag weights'!A$2:B$6,2,FALSE)</f>
        <v>#N/A</v>
      </c>
      <c r="AK138" s="28">
        <v>10.56</v>
      </c>
      <c r="AL138" s="28" t="s">
        <v>287</v>
      </c>
      <c r="AM138">
        <f>AK138-VLOOKUP(AL138,'Bag weights'!A$2:B$6,2,FALSE)</f>
        <v>2.7300000000000004</v>
      </c>
      <c r="AN138" s="28">
        <v>2.52</v>
      </c>
      <c r="AO138" s="28" t="s">
        <v>290</v>
      </c>
      <c r="AP138" t="e">
        <f>AN138-VLOOKUP(AO138,'Bag weights'!A$2:B$6,2,FALSE)</f>
        <v>#N/A</v>
      </c>
      <c r="AS138" t="e">
        <f>AQ138-VLOOKUP(AR138,'Bag weights'!A$2:B$6,2,FALSE)</f>
        <v>#N/A</v>
      </c>
      <c r="AT138" s="28">
        <v>0.35</v>
      </c>
      <c r="AU138" s="28" t="s">
        <v>290</v>
      </c>
      <c r="AV138" t="e">
        <f>AT138-VLOOKUP(AU138,'Bag weights'!A$2:B$6,2,FALSE)</f>
        <v>#N/A</v>
      </c>
      <c r="AW138" t="e">
        <f t="shared" si="4"/>
        <v>#N/A</v>
      </c>
      <c r="AX138" s="28">
        <v>0.04</v>
      </c>
      <c r="BC138" s="92">
        <v>6.7</v>
      </c>
      <c r="BG138" s="28">
        <v>1.52</v>
      </c>
    </row>
    <row r="139" spans="1:59">
      <c r="A139" s="70"/>
      <c r="B139" s="70"/>
      <c r="C139" s="70">
        <v>2</v>
      </c>
      <c r="D139" s="70" t="s">
        <v>39</v>
      </c>
      <c r="E139" s="1"/>
      <c r="F139" s="1"/>
      <c r="G139" s="28">
        <v>0.6</v>
      </c>
      <c r="H139" s="28" t="s">
        <v>290</v>
      </c>
      <c r="I139" t="e">
        <f>G139-VLOOKUP(H139,'Bag weights'!A$2:B$6,2,FALSE)</f>
        <v>#N/A</v>
      </c>
      <c r="L139" t="e">
        <f>J139-VLOOKUP(K139,'Bag weights'!D$2:E$6,2,FALSE)</f>
        <v>#N/A</v>
      </c>
      <c r="N139" s="95"/>
      <c r="O139" t="e">
        <f>M139-VLOOKUP(N139,'Bag weights'!A$2:B$6,2,FALSE)</f>
        <v>#N/A</v>
      </c>
      <c r="R139" t="e">
        <f>P139-VLOOKUP(Q139,'Bag weights'!A$2:B$6,2,FALSE)</f>
        <v>#N/A</v>
      </c>
      <c r="S139" s="28">
        <v>24.15</v>
      </c>
      <c r="T139" s="28" t="s">
        <v>290</v>
      </c>
      <c r="U139" t="e">
        <f>S139- VLOOKUP(T139,'Bag weights'!A$2:B$6,2,FALSE)</f>
        <v>#N/A</v>
      </c>
      <c r="X139" t="e">
        <f>V139-VLOOKUP(W139,'Bag weights'!A$2:B$6,2,FALSE)</f>
        <v>#N/A</v>
      </c>
      <c r="AA139" t="e">
        <f>Y139-VLOOKUP(Z139,'Bag weights'!A$2:B$6,2,FALSE)</f>
        <v>#N/A</v>
      </c>
      <c r="AB139" s="28">
        <v>55.2</v>
      </c>
      <c r="AC139" s="28" t="s">
        <v>290</v>
      </c>
      <c r="AD139" t="e">
        <f>AB139-VLOOKUP(AC139,'Bag weights'!A$2:B$6,2,FALSE)</f>
        <v>#N/A</v>
      </c>
      <c r="AG139" t="e">
        <f>AE139-VLOOKUP(AF139,'Bag weights'!A$2:B$6,2,FALSE)</f>
        <v>#N/A</v>
      </c>
      <c r="AH139" s="28">
        <v>0.16</v>
      </c>
      <c r="AI139" s="28" t="s">
        <v>290</v>
      </c>
      <c r="AJ139" t="e">
        <f>AH139-VLOOKUP(AI139,'Bag weights'!A$2:B$6,2,FALSE)</f>
        <v>#N/A</v>
      </c>
      <c r="AK139" s="28">
        <v>3.21</v>
      </c>
      <c r="AL139" s="28" t="s">
        <v>290</v>
      </c>
      <c r="AM139" t="e">
        <f>AK139-VLOOKUP(AL139,'Bag weights'!A$2:B$6,2,FALSE)</f>
        <v>#N/A</v>
      </c>
      <c r="AN139" s="28">
        <v>0.98</v>
      </c>
      <c r="AO139" s="28" t="s">
        <v>290</v>
      </c>
      <c r="AP139" t="e">
        <f>AN139-VLOOKUP(AO139,'Bag weights'!A$2:B$6,2,FALSE)</f>
        <v>#N/A</v>
      </c>
      <c r="AS139" t="e">
        <f>AQ139-VLOOKUP(AR139,'Bag weights'!A$2:B$6,2,FALSE)</f>
        <v>#N/A</v>
      </c>
      <c r="AT139" s="28">
        <v>0.22</v>
      </c>
      <c r="AU139" s="28" t="s">
        <v>288</v>
      </c>
      <c r="AV139">
        <f>AT139-VLOOKUP(AU139,'Bag weights'!A$2:B$6,2,FALSE)</f>
        <v>-2.27</v>
      </c>
      <c r="AW139" t="e">
        <f t="shared" si="4"/>
        <v>#N/A</v>
      </c>
      <c r="AX139" s="28" t="s">
        <v>337</v>
      </c>
      <c r="BC139" s="92">
        <v>7.2</v>
      </c>
      <c r="BG139" s="28">
        <v>0.95</v>
      </c>
    </row>
    <row r="140" spans="1:59">
      <c r="A140" s="70"/>
      <c r="B140" s="70"/>
      <c r="C140" s="70">
        <v>2</v>
      </c>
      <c r="D140" s="70" t="s">
        <v>97</v>
      </c>
      <c r="E140" s="1"/>
      <c r="F140" s="1"/>
      <c r="I140" t="e">
        <f>G140-VLOOKUP(H140,'Bag weights'!A$2:B$6,2,FALSE)</f>
        <v>#N/A</v>
      </c>
      <c r="L140" t="e">
        <f>J140-VLOOKUP(K140,'Bag weights'!D$2:E$6,2,FALSE)</f>
        <v>#N/A</v>
      </c>
      <c r="N140" s="95"/>
      <c r="O140" t="e">
        <f>M140-VLOOKUP(N140,'Bag weights'!A$2:B$6,2,FALSE)</f>
        <v>#N/A</v>
      </c>
      <c r="R140" t="e">
        <f>P140-VLOOKUP(Q140,'Bag weights'!A$2:B$6,2,FALSE)</f>
        <v>#N/A</v>
      </c>
      <c r="S140" s="28">
        <v>24.47</v>
      </c>
      <c r="T140" s="28" t="s">
        <v>290</v>
      </c>
      <c r="U140" t="e">
        <f>S140- VLOOKUP(T140,'Bag weights'!A$2:B$6,2,FALSE)</f>
        <v>#N/A</v>
      </c>
      <c r="X140" t="e">
        <f>V140-VLOOKUP(W140,'Bag weights'!A$2:B$6,2,FALSE)</f>
        <v>#N/A</v>
      </c>
      <c r="AA140" t="e">
        <f>Y140-VLOOKUP(Z140,'Bag weights'!A$2:B$6,2,FALSE)</f>
        <v>#N/A</v>
      </c>
      <c r="AB140" s="28">
        <v>45.74</v>
      </c>
      <c r="AC140" s="28" t="s">
        <v>290</v>
      </c>
      <c r="AD140" t="e">
        <f>AB140-VLOOKUP(AC140,'Bag weights'!A$2:B$6,2,FALSE)</f>
        <v>#N/A</v>
      </c>
      <c r="AE140" s="28">
        <v>2</v>
      </c>
      <c r="AF140" s="28" t="s">
        <v>290</v>
      </c>
      <c r="AG140" t="e">
        <f>AE140-VLOOKUP(AF140,'Bag weights'!A$2:B$6,2,FALSE)</f>
        <v>#N/A</v>
      </c>
      <c r="AJ140" t="e">
        <f>AH140-VLOOKUP(AI140,'Bag weights'!A$2:B$6,2,FALSE)</f>
        <v>#N/A</v>
      </c>
      <c r="AK140" s="28">
        <v>2.11</v>
      </c>
      <c r="AL140" s="28" t="s">
        <v>290</v>
      </c>
      <c r="AM140" t="e">
        <f>AK140-VLOOKUP(AL140,'Bag weights'!A$2:B$6,2,FALSE)</f>
        <v>#N/A</v>
      </c>
      <c r="AN140" s="28">
        <v>2.4900000000000002</v>
      </c>
      <c r="AO140" s="28" t="s">
        <v>290</v>
      </c>
      <c r="AP140" t="e">
        <f>AN140-VLOOKUP(AO140,'Bag weights'!A$2:B$6,2,FALSE)</f>
        <v>#N/A</v>
      </c>
      <c r="AS140" t="e">
        <f>AQ140-VLOOKUP(AR140,'Bag weights'!A$2:B$6,2,FALSE)</f>
        <v>#N/A</v>
      </c>
      <c r="AT140" s="28">
        <v>3.09</v>
      </c>
      <c r="AU140" s="28" t="s">
        <v>288</v>
      </c>
      <c r="AV140">
        <f>AT140-VLOOKUP(AU140,'Bag weights'!A$2:B$6,2,FALSE)</f>
        <v>0.59999999999999964</v>
      </c>
      <c r="AW140" t="e">
        <f t="shared" si="4"/>
        <v>#N/A</v>
      </c>
      <c r="BC140" s="92">
        <v>7.1</v>
      </c>
      <c r="BG140" s="28">
        <v>0.66</v>
      </c>
    </row>
    <row r="141" spans="1:59">
      <c r="A141" s="70"/>
      <c r="B141" s="70"/>
      <c r="C141" s="70">
        <v>3</v>
      </c>
      <c r="D141" s="70" t="s">
        <v>94</v>
      </c>
      <c r="E141" s="1"/>
      <c r="F141" s="1"/>
      <c r="G141" s="28">
        <v>0.59</v>
      </c>
      <c r="H141" s="28" t="s">
        <v>290</v>
      </c>
      <c r="I141" t="e">
        <f>G141-VLOOKUP(H141,'Bag weights'!A$2:B$6,2,FALSE)</f>
        <v>#N/A</v>
      </c>
      <c r="L141" t="e">
        <f>J141-VLOOKUP(K141,'Bag weights'!D$2:E$6,2,FALSE)</f>
        <v>#N/A</v>
      </c>
      <c r="N141" s="95"/>
      <c r="O141" t="e">
        <f>M141-VLOOKUP(N141,'Bag weights'!A$2:B$6,2,FALSE)</f>
        <v>#N/A</v>
      </c>
      <c r="R141" t="e">
        <f>P141-VLOOKUP(Q141,'Bag weights'!A$2:B$6,2,FALSE)</f>
        <v>#N/A</v>
      </c>
      <c r="S141" s="28">
        <v>52.16</v>
      </c>
      <c r="T141" s="28" t="s">
        <v>284</v>
      </c>
      <c r="U141">
        <f>S141- VLOOKUP(T141,'Bag weights'!A$2:B$6,2,FALSE)</f>
        <v>31.209999999999997</v>
      </c>
      <c r="X141" t="e">
        <f>V141-VLOOKUP(W141,'Bag weights'!A$2:B$6,2,FALSE)</f>
        <v>#N/A</v>
      </c>
      <c r="AA141" t="e">
        <f>Y141-VLOOKUP(Z141,'Bag weights'!A$2:B$6,2,FALSE)</f>
        <v>#N/A</v>
      </c>
      <c r="AB141" s="28">
        <v>69.8</v>
      </c>
      <c r="AC141" s="28" t="s">
        <v>284</v>
      </c>
      <c r="AD141">
        <f>AB141-VLOOKUP(AC141,'Bag weights'!A$2:B$6,2,FALSE)</f>
        <v>48.849999999999994</v>
      </c>
      <c r="AG141" t="e">
        <f>AE141-VLOOKUP(AF141,'Bag weights'!A$2:B$6,2,FALSE)</f>
        <v>#N/A</v>
      </c>
      <c r="AJ141" t="e">
        <f>AH141-VLOOKUP(AI141,'Bag weights'!A$2:B$6,2,FALSE)</f>
        <v>#N/A</v>
      </c>
      <c r="AK141" s="28">
        <v>11.92</v>
      </c>
      <c r="AL141" s="28" t="s">
        <v>290</v>
      </c>
      <c r="AM141" t="e">
        <f>AK141-VLOOKUP(AL141,'Bag weights'!A$2:B$6,2,FALSE)</f>
        <v>#N/A</v>
      </c>
      <c r="AN141" s="28">
        <v>3.43</v>
      </c>
      <c r="AO141" s="28" t="s">
        <v>290</v>
      </c>
      <c r="AP141" t="e">
        <f>AN141-VLOOKUP(AO141,'Bag weights'!A$2:B$6,2,FALSE)</f>
        <v>#N/A</v>
      </c>
      <c r="AS141" t="e">
        <f>AQ141-VLOOKUP(AR141,'Bag weights'!A$2:B$6,2,FALSE)</f>
        <v>#N/A</v>
      </c>
      <c r="AT141" s="28">
        <v>5.73</v>
      </c>
      <c r="AU141" s="28" t="s">
        <v>290</v>
      </c>
      <c r="AV141" t="e">
        <f>AT141-VLOOKUP(AU141,'Bag weights'!A$2:B$6,2,FALSE)</f>
        <v>#N/A</v>
      </c>
      <c r="AW141" t="e">
        <f t="shared" si="4"/>
        <v>#N/A</v>
      </c>
      <c r="BC141" s="92">
        <v>9.1</v>
      </c>
      <c r="BG141" s="28">
        <v>2.87</v>
      </c>
    </row>
    <row r="142" spans="1:59">
      <c r="A142" s="70"/>
      <c r="B142" s="70"/>
      <c r="C142" s="70">
        <v>3</v>
      </c>
      <c r="D142" s="70" t="s">
        <v>95</v>
      </c>
      <c r="E142" s="1"/>
      <c r="F142" s="1"/>
      <c r="I142" t="e">
        <f>G142-VLOOKUP(H142,'Bag weights'!A$2:B$6,2,FALSE)</f>
        <v>#N/A</v>
      </c>
      <c r="L142" t="e">
        <f>J142-VLOOKUP(K142,'Bag weights'!D$2:E$6,2,FALSE)</f>
        <v>#N/A</v>
      </c>
      <c r="N142" s="95"/>
      <c r="O142" t="e">
        <f>M142-VLOOKUP(N142,'Bag weights'!A$2:B$6,2,FALSE)</f>
        <v>#N/A</v>
      </c>
      <c r="R142" t="e">
        <f>P142-VLOOKUP(Q142,'Bag weights'!A$2:B$6,2,FALSE)</f>
        <v>#N/A</v>
      </c>
      <c r="S142" s="28">
        <v>42.37</v>
      </c>
      <c r="T142" s="28" t="s">
        <v>284</v>
      </c>
      <c r="U142">
        <f>S142- VLOOKUP(T142,'Bag weights'!A$2:B$6,2,FALSE)</f>
        <v>21.419999999999998</v>
      </c>
      <c r="X142" t="e">
        <f>V142-VLOOKUP(W142,'Bag weights'!A$2:B$6,2,FALSE)</f>
        <v>#N/A</v>
      </c>
      <c r="Y142" s="28">
        <v>0.08</v>
      </c>
      <c r="AA142" t="e">
        <f>Y142-VLOOKUP(Z142,'Bag weights'!A$2:B$6,2,FALSE)</f>
        <v>#N/A</v>
      </c>
      <c r="AB142" s="28">
        <v>41.29</v>
      </c>
      <c r="AC142" s="28" t="s">
        <v>290</v>
      </c>
      <c r="AD142" t="e">
        <f>AB142-VLOOKUP(AC142,'Bag weights'!A$2:B$6,2,FALSE)</f>
        <v>#N/A</v>
      </c>
      <c r="AG142" t="e">
        <f>AE142-VLOOKUP(AF142,'Bag weights'!A$2:B$6,2,FALSE)</f>
        <v>#N/A</v>
      </c>
      <c r="AH142" s="28">
        <v>0.17</v>
      </c>
      <c r="AJ142" t="e">
        <f>AH142-VLOOKUP(AI142,'Bag weights'!A$2:B$6,2,FALSE)</f>
        <v>#N/A</v>
      </c>
      <c r="AK142" s="28">
        <v>13.66</v>
      </c>
      <c r="AL142" s="28" t="s">
        <v>290</v>
      </c>
      <c r="AM142" t="e">
        <f>AK142-VLOOKUP(AL142,'Bag weights'!A$2:B$6,2,FALSE)</f>
        <v>#N/A</v>
      </c>
      <c r="AN142" s="28">
        <v>1.56</v>
      </c>
      <c r="AP142" t="e">
        <f>AN142-VLOOKUP(AO142,'Bag weights'!A$2:B$6,2,FALSE)</f>
        <v>#N/A</v>
      </c>
      <c r="AS142" t="e">
        <f>AQ142-VLOOKUP(AR142,'Bag weights'!A$2:B$6,2,FALSE)</f>
        <v>#N/A</v>
      </c>
      <c r="AT142" s="28">
        <v>7.77</v>
      </c>
      <c r="AV142" t="e">
        <f>AT142-VLOOKUP(AU142,'Bag weights'!A$2:B$6,2,FALSE)</f>
        <v>#N/A</v>
      </c>
      <c r="AW142" t="e">
        <f t="shared" si="4"/>
        <v>#N/A</v>
      </c>
      <c r="BC142" s="92">
        <v>17.3</v>
      </c>
      <c r="BG142" s="28">
        <v>1.97</v>
      </c>
    </row>
    <row r="143" spans="1:59">
      <c r="A143" s="70"/>
      <c r="B143" s="70"/>
      <c r="C143" s="70">
        <v>3</v>
      </c>
      <c r="D143" s="70" t="s">
        <v>96</v>
      </c>
      <c r="E143" s="1"/>
      <c r="F143" s="1"/>
      <c r="I143" t="e">
        <f>G143-VLOOKUP(H143,'Bag weights'!A$2:B$6,2,FALSE)</f>
        <v>#N/A</v>
      </c>
      <c r="L143" t="e">
        <f>J143-VLOOKUP(K143,'Bag weights'!D$2:E$6,2,FALSE)</f>
        <v>#N/A</v>
      </c>
      <c r="N143" s="95"/>
      <c r="O143" t="e">
        <f>M143-VLOOKUP(N143,'Bag weights'!A$2:B$6,2,FALSE)</f>
        <v>#N/A</v>
      </c>
      <c r="R143" t="e">
        <f>P143-VLOOKUP(Q143,'Bag weights'!A$2:B$6,2,FALSE)</f>
        <v>#N/A</v>
      </c>
      <c r="S143" s="28">
        <v>50.1</v>
      </c>
      <c r="T143" s="28" t="s">
        <v>284</v>
      </c>
      <c r="U143">
        <f>S143- VLOOKUP(T143,'Bag weights'!A$2:B$6,2,FALSE)</f>
        <v>29.150000000000002</v>
      </c>
      <c r="X143" t="e">
        <f>V143-VLOOKUP(W143,'Bag weights'!A$2:B$6,2,FALSE)</f>
        <v>#N/A</v>
      </c>
      <c r="AA143" t="e">
        <f>Y143-VLOOKUP(Z143,'Bag weights'!A$2:B$6,2,FALSE)</f>
        <v>#N/A</v>
      </c>
      <c r="AB143" s="28">
        <v>78.55</v>
      </c>
      <c r="AC143" s="28" t="s">
        <v>284</v>
      </c>
      <c r="AD143">
        <f>AB143-VLOOKUP(AC143,'Bag weights'!A$2:B$6,2,FALSE)</f>
        <v>57.599999999999994</v>
      </c>
      <c r="AG143" t="e">
        <f>AE143-VLOOKUP(AF143,'Bag weights'!A$2:B$6,2,FALSE)</f>
        <v>#N/A</v>
      </c>
      <c r="AH143" s="28">
        <v>0.11</v>
      </c>
      <c r="AI143" s="28" t="s">
        <v>290</v>
      </c>
      <c r="AJ143" t="e">
        <f>AH143-VLOOKUP(AI143,'Bag weights'!A$2:B$6,2,FALSE)</f>
        <v>#N/A</v>
      </c>
      <c r="AK143" s="28">
        <v>13.72</v>
      </c>
      <c r="AL143" s="28" t="s">
        <v>287</v>
      </c>
      <c r="AM143">
        <f>AK143-VLOOKUP(AL143,'Bag weights'!A$2:B$6,2,FALSE)</f>
        <v>5.8900000000000006</v>
      </c>
      <c r="AN143" s="28">
        <v>2.97</v>
      </c>
      <c r="AO143" s="28" t="s">
        <v>290</v>
      </c>
      <c r="AP143" t="e">
        <f>AN143-VLOOKUP(AO143,'Bag weights'!A$2:B$6,2,FALSE)</f>
        <v>#N/A</v>
      </c>
      <c r="AS143" t="e">
        <f>AQ143-VLOOKUP(AR143,'Bag weights'!A$2:B$6,2,FALSE)</f>
        <v>#N/A</v>
      </c>
      <c r="AT143" s="28">
        <v>1.48</v>
      </c>
      <c r="AU143" s="28" t="s">
        <v>290</v>
      </c>
      <c r="AV143" t="e">
        <f>AT143-VLOOKUP(AU143,'Bag weights'!A$2:B$6,2,FALSE)</f>
        <v>#N/A</v>
      </c>
      <c r="AW143" t="e">
        <f t="shared" si="4"/>
        <v>#N/A</v>
      </c>
      <c r="AX143" s="28"/>
      <c r="BC143" s="92">
        <v>2.2999999999999998</v>
      </c>
      <c r="BG143" s="28">
        <v>2.4</v>
      </c>
    </row>
    <row r="144" spans="1:59">
      <c r="A144" s="70"/>
      <c r="B144" s="70"/>
      <c r="C144" s="70">
        <v>3</v>
      </c>
      <c r="D144" s="70" t="s">
        <v>39</v>
      </c>
      <c r="E144" s="1"/>
      <c r="F144" s="1"/>
      <c r="I144" t="e">
        <f>G144-VLOOKUP(H144,'Bag weights'!A$2:B$6,2,FALSE)</f>
        <v>#N/A</v>
      </c>
      <c r="L144" t="e">
        <f>J144-VLOOKUP(K144,'Bag weights'!D$2:E$6,2,FALSE)</f>
        <v>#N/A</v>
      </c>
      <c r="N144" s="95"/>
      <c r="O144" t="e">
        <f>M144-VLOOKUP(N144,'Bag weights'!A$2:B$6,2,FALSE)</f>
        <v>#N/A</v>
      </c>
      <c r="R144" t="e">
        <f>P144-VLOOKUP(Q144,'Bag weights'!A$2:B$6,2,FALSE)</f>
        <v>#N/A</v>
      </c>
      <c r="S144" s="28">
        <v>49.75</v>
      </c>
      <c r="T144" s="28" t="s">
        <v>284</v>
      </c>
      <c r="U144">
        <f>S144- VLOOKUP(T144,'Bag weights'!A$2:B$6,2,FALSE)</f>
        <v>28.8</v>
      </c>
      <c r="X144" t="e">
        <f>V144-VLOOKUP(W144,'Bag weights'!A$2:B$6,2,FALSE)</f>
        <v>#N/A</v>
      </c>
      <c r="AA144" t="e">
        <f>Y144-VLOOKUP(Z144,'Bag weights'!A$2:B$6,2,FALSE)</f>
        <v>#N/A</v>
      </c>
      <c r="AB144" s="28">
        <v>77.540000000000006</v>
      </c>
      <c r="AC144" s="28" t="s">
        <v>284</v>
      </c>
      <c r="AD144">
        <f>AB144-VLOOKUP(AC144,'Bag weights'!A$2:B$6,2,FALSE)</f>
        <v>56.59</v>
      </c>
      <c r="AG144" t="e">
        <f>AE144-VLOOKUP(AF144,'Bag weights'!A$2:B$6,2,FALSE)</f>
        <v>#N/A</v>
      </c>
      <c r="AH144" s="28">
        <v>0.2</v>
      </c>
      <c r="AI144" s="28" t="s">
        <v>290</v>
      </c>
      <c r="AJ144" t="e">
        <f>AH144-VLOOKUP(AI144,'Bag weights'!A$2:B$6,2,FALSE)</f>
        <v>#N/A</v>
      </c>
      <c r="AK144" s="28">
        <v>6.38</v>
      </c>
      <c r="AL144" s="28" t="s">
        <v>290</v>
      </c>
      <c r="AM144" t="e">
        <f>AK144-VLOOKUP(AL144,'Bag weights'!A$2:B$6,2,FALSE)</f>
        <v>#N/A</v>
      </c>
      <c r="AN144" s="28">
        <v>3.43</v>
      </c>
      <c r="AO144" s="28" t="s">
        <v>290</v>
      </c>
      <c r="AP144" t="e">
        <f>AN144-VLOOKUP(AO144,'Bag weights'!A$2:B$6,2,FALSE)</f>
        <v>#N/A</v>
      </c>
      <c r="AS144" t="e">
        <f>AQ144-VLOOKUP(AR144,'Bag weights'!A$2:B$6,2,FALSE)</f>
        <v>#N/A</v>
      </c>
      <c r="AT144" s="28">
        <v>0.27</v>
      </c>
      <c r="AU144" s="28" t="s">
        <v>290</v>
      </c>
      <c r="AV144" t="e">
        <f>AT144-VLOOKUP(AU144,'Bag weights'!A$2:B$6,2,FALSE)</f>
        <v>#N/A</v>
      </c>
      <c r="AW144" t="e">
        <f t="shared" si="4"/>
        <v>#N/A</v>
      </c>
      <c r="AX144" s="28" t="s">
        <v>338</v>
      </c>
      <c r="BC144" s="92">
        <v>15.7</v>
      </c>
      <c r="BG144" s="28">
        <v>0.35</v>
      </c>
    </row>
    <row r="145" spans="1:59">
      <c r="A145" s="70"/>
      <c r="B145" s="70"/>
      <c r="C145" s="70">
        <v>3</v>
      </c>
      <c r="D145" s="70" t="s">
        <v>97</v>
      </c>
      <c r="E145" s="1"/>
      <c r="F145" s="1"/>
      <c r="I145" t="e">
        <f>G145-VLOOKUP(H145,'Bag weights'!A$2:B$6,2,FALSE)</f>
        <v>#N/A</v>
      </c>
      <c r="L145" t="e">
        <f>J145-VLOOKUP(K145,'Bag weights'!D$2:E$6,2,FALSE)</f>
        <v>#N/A</v>
      </c>
      <c r="N145" s="95"/>
      <c r="O145" t="e">
        <f>M145-VLOOKUP(N145,'Bag weights'!A$2:B$6,2,FALSE)</f>
        <v>#N/A</v>
      </c>
      <c r="R145" t="e">
        <f>P145-VLOOKUP(Q145,'Bag weights'!A$2:B$6,2,FALSE)</f>
        <v>#N/A</v>
      </c>
      <c r="S145" s="28">
        <v>40.93</v>
      </c>
      <c r="T145" s="28" t="s">
        <v>286</v>
      </c>
      <c r="U145">
        <f>S145- VLOOKUP(T145,'Bag weights'!A$2:B$6,2,FALSE)</f>
        <v>25.53</v>
      </c>
      <c r="X145" t="e">
        <f>V145-VLOOKUP(W145,'Bag weights'!A$2:B$6,2,FALSE)</f>
        <v>#N/A</v>
      </c>
      <c r="AA145" t="e">
        <f>Y145-VLOOKUP(Z145,'Bag weights'!A$2:B$6,2,FALSE)</f>
        <v>#N/A</v>
      </c>
      <c r="AB145" s="28">
        <v>61.75</v>
      </c>
      <c r="AC145" s="28" t="s">
        <v>286</v>
      </c>
      <c r="AD145">
        <f>AB145-VLOOKUP(AC145,'Bag weights'!A$2:B$6,2,FALSE)</f>
        <v>46.35</v>
      </c>
      <c r="AG145" t="e">
        <f>AE145-VLOOKUP(AF145,'Bag weights'!A$2:B$6,2,FALSE)</f>
        <v>#N/A</v>
      </c>
      <c r="AJ145" t="e">
        <f>AH145-VLOOKUP(AI145,'Bag weights'!A$2:B$6,2,FALSE)</f>
        <v>#N/A</v>
      </c>
      <c r="AK145" s="28">
        <v>1.99</v>
      </c>
      <c r="AM145" t="e">
        <f>AK145-VLOOKUP(AL145,'Bag weights'!A$2:B$6,2,FALSE)</f>
        <v>#N/A</v>
      </c>
      <c r="AN145" s="28">
        <v>1.42</v>
      </c>
      <c r="AO145" s="28" t="s">
        <v>290</v>
      </c>
      <c r="AP145" t="e">
        <f>AN145-VLOOKUP(AO145,'Bag weights'!A$2:B$6,2,FALSE)</f>
        <v>#N/A</v>
      </c>
      <c r="AS145" t="e">
        <f>AQ145-VLOOKUP(AR145,'Bag weights'!A$2:B$6,2,FALSE)</f>
        <v>#N/A</v>
      </c>
      <c r="AV145" t="e">
        <f>AT145-VLOOKUP(AU145,'Bag weights'!A$2:B$6,2,FALSE)</f>
        <v>#N/A</v>
      </c>
      <c r="AW145" t="e">
        <f t="shared" si="4"/>
        <v>#N/A</v>
      </c>
      <c r="AX145" s="28" t="s">
        <v>339</v>
      </c>
      <c r="BC145" s="92">
        <v>22.6</v>
      </c>
      <c r="BG145" s="28">
        <v>1.59</v>
      </c>
    </row>
    <row r="146" spans="1:59">
      <c r="A146" s="70"/>
      <c r="B146" s="70"/>
      <c r="C146" s="70">
        <v>4</v>
      </c>
      <c r="D146" s="70" t="s">
        <v>94</v>
      </c>
      <c r="E146" s="1"/>
      <c r="F146" s="1"/>
      <c r="I146" t="e">
        <f>G146-VLOOKUP(H146,'Bag weights'!A$2:B$6,2,FALSE)</f>
        <v>#N/A</v>
      </c>
      <c r="L146" t="e">
        <f>J146-VLOOKUP(K146,'Bag weights'!D$2:E$6,2,FALSE)</f>
        <v>#N/A</v>
      </c>
      <c r="N146" s="95"/>
      <c r="O146" t="e">
        <f>M146-VLOOKUP(N146,'Bag weights'!A$2:B$6,2,FALSE)</f>
        <v>#N/A</v>
      </c>
      <c r="R146" t="e">
        <f>P146-VLOOKUP(Q146,'Bag weights'!A$2:B$6,2,FALSE)</f>
        <v>#N/A</v>
      </c>
      <c r="S146" s="28">
        <v>44.76</v>
      </c>
      <c r="T146" s="28" t="s">
        <v>290</v>
      </c>
      <c r="U146" t="e">
        <f>S146- VLOOKUP(T146,'Bag weights'!A$2:B$6,2,FALSE)</f>
        <v>#N/A</v>
      </c>
      <c r="X146" t="e">
        <f>V146-VLOOKUP(W146,'Bag weights'!A$2:B$6,2,FALSE)</f>
        <v>#N/A</v>
      </c>
      <c r="AA146" t="e">
        <f>Y146-VLOOKUP(Z146,'Bag weights'!A$2:B$6,2,FALSE)</f>
        <v>#N/A</v>
      </c>
      <c r="AB146" s="28">
        <v>29.63</v>
      </c>
      <c r="AC146" s="28" t="s">
        <v>290</v>
      </c>
      <c r="AD146" t="e">
        <f>AB146-VLOOKUP(AC146,'Bag weights'!A$2:B$6,2,FALSE)</f>
        <v>#N/A</v>
      </c>
      <c r="AG146" t="e">
        <f>AE146-VLOOKUP(AF146,'Bag weights'!A$2:B$6,2,FALSE)</f>
        <v>#N/A</v>
      </c>
      <c r="AH146" s="28">
        <v>0.11</v>
      </c>
      <c r="AI146" s="28" t="s">
        <v>290</v>
      </c>
      <c r="AJ146" t="e">
        <f>AH146-VLOOKUP(AI146,'Bag weights'!A$2:B$6,2,FALSE)</f>
        <v>#N/A</v>
      </c>
      <c r="AK146" s="28">
        <v>5.85</v>
      </c>
      <c r="AL146" s="28" t="s">
        <v>290</v>
      </c>
      <c r="AM146" t="e">
        <f>AK146-VLOOKUP(AL146,'Bag weights'!A$2:B$6,2,FALSE)</f>
        <v>#N/A</v>
      </c>
      <c r="AN146" s="28">
        <v>1.49</v>
      </c>
      <c r="AO146" s="28" t="s">
        <v>290</v>
      </c>
      <c r="AP146" t="e">
        <f>AN146-VLOOKUP(AO146,'Bag weights'!A$2:B$6,2,FALSE)</f>
        <v>#N/A</v>
      </c>
      <c r="AS146" t="e">
        <f>AQ146-VLOOKUP(AR146,'Bag weights'!A$2:B$6,2,FALSE)</f>
        <v>#N/A</v>
      </c>
      <c r="AT146" s="28">
        <v>1.56</v>
      </c>
      <c r="AU146" s="28" t="s">
        <v>290</v>
      </c>
      <c r="AV146" t="e">
        <f>AT146-VLOOKUP(AU146,'Bag weights'!A$2:B$6,2,FALSE)</f>
        <v>#N/A</v>
      </c>
      <c r="AW146" t="e">
        <f t="shared" si="4"/>
        <v>#N/A</v>
      </c>
      <c r="BC146" s="92">
        <v>2.8</v>
      </c>
      <c r="BG146" s="28">
        <v>0.98</v>
      </c>
    </row>
    <row r="147" spans="1:59">
      <c r="A147" s="70"/>
      <c r="B147" s="70"/>
      <c r="C147" s="70">
        <v>4</v>
      </c>
      <c r="D147" s="70" t="s">
        <v>95</v>
      </c>
      <c r="E147" s="1"/>
      <c r="F147" s="1"/>
      <c r="G147" s="28">
        <v>0.95</v>
      </c>
      <c r="H147" s="28" t="s">
        <v>290</v>
      </c>
      <c r="I147" t="e">
        <f>G147-VLOOKUP(H147,'Bag weights'!A$2:B$6,2,FALSE)</f>
        <v>#N/A</v>
      </c>
      <c r="L147" t="e">
        <f>J147-VLOOKUP(K147,'Bag weights'!D$2:E$6,2,FALSE)</f>
        <v>#N/A</v>
      </c>
      <c r="N147" s="95"/>
      <c r="O147" t="e">
        <f>M147-VLOOKUP(N147,'Bag weights'!A$2:B$6,2,FALSE)</f>
        <v>#N/A</v>
      </c>
      <c r="R147" t="e">
        <f>P147-VLOOKUP(Q147,'Bag weights'!A$2:B$6,2,FALSE)</f>
        <v>#N/A</v>
      </c>
      <c r="S147" s="28">
        <v>31.64</v>
      </c>
      <c r="T147" s="28" t="s">
        <v>284</v>
      </c>
      <c r="U147">
        <f>S147- VLOOKUP(T147,'Bag weights'!A$2:B$6,2,FALSE)</f>
        <v>10.690000000000001</v>
      </c>
      <c r="X147" t="e">
        <f>V147-VLOOKUP(W147,'Bag weights'!A$2:B$6,2,FALSE)</f>
        <v>#N/A</v>
      </c>
      <c r="AA147" t="e">
        <f>Y147-VLOOKUP(Z147,'Bag weights'!A$2:B$6,2,FALSE)</f>
        <v>#N/A</v>
      </c>
      <c r="AB147" s="28">
        <v>64.83</v>
      </c>
      <c r="AC147" s="28" t="s">
        <v>284</v>
      </c>
      <c r="AD147">
        <f>AB147-VLOOKUP(AC147,'Bag weights'!A$2:B$6,2,FALSE)</f>
        <v>43.879999999999995</v>
      </c>
      <c r="AG147" t="e">
        <f>AE147-VLOOKUP(AF147,'Bag weights'!A$2:B$6,2,FALSE)</f>
        <v>#N/A</v>
      </c>
      <c r="AH147" s="28">
        <v>1.23</v>
      </c>
      <c r="AI147" s="28" t="s">
        <v>290</v>
      </c>
      <c r="AJ147" t="e">
        <f>AH147-VLOOKUP(AI147,'Bag weights'!A$2:B$6,2,FALSE)</f>
        <v>#N/A</v>
      </c>
      <c r="AK147" s="28">
        <v>34.840000000000003</v>
      </c>
      <c r="AL147" s="28" t="s">
        <v>284</v>
      </c>
      <c r="AM147">
        <f>AK147-VLOOKUP(AL147,'Bag weights'!A$2:B$6,2,FALSE)</f>
        <v>13.890000000000004</v>
      </c>
      <c r="AN147" s="28">
        <v>3.66</v>
      </c>
      <c r="AP147" t="e">
        <f>AN147-VLOOKUP(AO147,'Bag weights'!A$2:B$6,2,FALSE)</f>
        <v>#N/A</v>
      </c>
      <c r="AS147" t="e">
        <f>AQ147-VLOOKUP(AR147,'Bag weights'!A$2:B$6,2,FALSE)</f>
        <v>#N/A</v>
      </c>
      <c r="AT147" s="28">
        <v>0.83</v>
      </c>
      <c r="AU147" s="28" t="s">
        <v>290</v>
      </c>
      <c r="AV147" t="e">
        <f>AT147-VLOOKUP(AU147,'Bag weights'!A$2:B$6,2,FALSE)</f>
        <v>#N/A</v>
      </c>
      <c r="AW147" t="e">
        <f t="shared" si="4"/>
        <v>#N/A</v>
      </c>
      <c r="BC147" s="92">
        <v>5</v>
      </c>
      <c r="BG147" s="28">
        <v>4.21</v>
      </c>
    </row>
    <row r="148" spans="1:59">
      <c r="A148" s="70"/>
      <c r="B148" s="70"/>
      <c r="C148" s="70">
        <v>4</v>
      </c>
      <c r="D148" s="70" t="s">
        <v>96</v>
      </c>
      <c r="E148" s="1"/>
      <c r="F148" s="1"/>
      <c r="I148" t="e">
        <f>G148-VLOOKUP(H148,'Bag weights'!A$2:B$6,2,FALSE)</f>
        <v>#N/A</v>
      </c>
      <c r="L148" t="e">
        <f>J148-VLOOKUP(K148,'Bag weights'!D$2:E$6,2,FALSE)</f>
        <v>#N/A</v>
      </c>
      <c r="N148" s="95"/>
      <c r="O148" t="e">
        <f>M148-VLOOKUP(N148,'Bag weights'!A$2:B$6,2,FALSE)</f>
        <v>#N/A</v>
      </c>
      <c r="R148" t="e">
        <f>P148-VLOOKUP(Q148,'Bag weights'!A$2:B$6,2,FALSE)</f>
        <v>#N/A</v>
      </c>
      <c r="S148" s="28">
        <v>56.36</v>
      </c>
      <c r="T148" s="28" t="s">
        <v>284</v>
      </c>
      <c r="U148">
        <f>S148- VLOOKUP(T148,'Bag weights'!A$2:B$6,2,FALSE)</f>
        <v>35.409999999999997</v>
      </c>
      <c r="X148" t="e">
        <f>V148-VLOOKUP(W148,'Bag weights'!A$2:B$6,2,FALSE)</f>
        <v>#N/A</v>
      </c>
      <c r="AA148" t="e">
        <f>Y148-VLOOKUP(Z148,'Bag weights'!A$2:B$6,2,FALSE)</f>
        <v>#N/A</v>
      </c>
      <c r="AB148" s="28">
        <v>56.77</v>
      </c>
      <c r="AC148" s="28" t="s">
        <v>284</v>
      </c>
      <c r="AD148">
        <f>AB148-VLOOKUP(AC148,'Bag weights'!A$2:B$6,2,FALSE)</f>
        <v>35.820000000000007</v>
      </c>
      <c r="AG148" t="e">
        <f>AE148-VLOOKUP(AF148,'Bag weights'!A$2:B$6,2,FALSE)</f>
        <v>#N/A</v>
      </c>
      <c r="AH148" s="28">
        <v>0.3</v>
      </c>
      <c r="AI148" s="28" t="s">
        <v>290</v>
      </c>
      <c r="AJ148" t="e">
        <f>AH148-VLOOKUP(AI148,'Bag weights'!A$2:B$6,2,FALSE)</f>
        <v>#N/A</v>
      </c>
      <c r="AK148" s="28">
        <v>4.12</v>
      </c>
      <c r="AL148" s="28" t="s">
        <v>290</v>
      </c>
      <c r="AM148" t="e">
        <f>AK148-VLOOKUP(AL148,'Bag weights'!A$2:B$6,2,FALSE)</f>
        <v>#N/A</v>
      </c>
      <c r="AN148" s="28">
        <v>2.06</v>
      </c>
      <c r="AP148" t="e">
        <f>AN148-VLOOKUP(AO148,'Bag weights'!A$2:B$6,2,FALSE)</f>
        <v>#N/A</v>
      </c>
      <c r="AS148" t="e">
        <f>AQ148-VLOOKUP(AR148,'Bag weights'!A$2:B$6,2,FALSE)</f>
        <v>#N/A</v>
      </c>
      <c r="AT148" s="28">
        <v>2.44</v>
      </c>
      <c r="AU148" s="28" t="s">
        <v>290</v>
      </c>
      <c r="AV148" t="e">
        <f>AT148-VLOOKUP(AU148,'Bag weights'!A$2:B$6,2,FALSE)</f>
        <v>#N/A</v>
      </c>
      <c r="AW148" t="e">
        <f t="shared" si="4"/>
        <v>#N/A</v>
      </c>
      <c r="AX148" s="28" t="s">
        <v>338</v>
      </c>
      <c r="BC148" s="92">
        <v>3.3</v>
      </c>
      <c r="BG148" s="28">
        <v>1.56</v>
      </c>
    </row>
    <row r="149" spans="1:59">
      <c r="A149" s="70"/>
      <c r="B149" s="70"/>
      <c r="C149" s="70">
        <v>4</v>
      </c>
      <c r="D149" s="70" t="s">
        <v>39</v>
      </c>
      <c r="E149" s="1"/>
      <c r="F149" s="1"/>
      <c r="I149" t="e">
        <f>G149-VLOOKUP(H149,'Bag weights'!A$2:B$6,2,FALSE)</f>
        <v>#N/A</v>
      </c>
      <c r="L149" t="e">
        <f>J149-VLOOKUP(K149,'Bag weights'!D$2:E$6,2,FALSE)</f>
        <v>#N/A</v>
      </c>
      <c r="N149" s="95"/>
      <c r="O149" t="e">
        <f>M149-VLOOKUP(N149,'Bag weights'!A$2:B$6,2,FALSE)</f>
        <v>#N/A</v>
      </c>
      <c r="R149" t="e">
        <f>P149-VLOOKUP(Q149,'Bag weights'!A$2:B$6,2,FALSE)</f>
        <v>#N/A</v>
      </c>
      <c r="S149" s="28">
        <v>55.77</v>
      </c>
      <c r="T149" s="28" t="s">
        <v>284</v>
      </c>
      <c r="U149">
        <f>S149- VLOOKUP(T149,'Bag weights'!A$2:B$6,2,FALSE)</f>
        <v>34.820000000000007</v>
      </c>
      <c r="X149" t="e">
        <f>V149-VLOOKUP(W149,'Bag weights'!A$2:B$6,2,FALSE)</f>
        <v>#N/A</v>
      </c>
      <c r="AA149" t="e">
        <f>Y149-VLOOKUP(Z149,'Bag weights'!A$2:B$6,2,FALSE)</f>
        <v>#N/A</v>
      </c>
      <c r="AB149" s="28">
        <v>53.74</v>
      </c>
      <c r="AC149" s="28" t="s">
        <v>284</v>
      </c>
      <c r="AD149">
        <f>AB149-VLOOKUP(AC149,'Bag weights'!A$2:B$6,2,FALSE)</f>
        <v>32.790000000000006</v>
      </c>
      <c r="AG149" t="e">
        <f>AE149-VLOOKUP(AF149,'Bag weights'!A$2:B$6,2,FALSE)</f>
        <v>#N/A</v>
      </c>
      <c r="AH149" s="28">
        <v>0.21</v>
      </c>
      <c r="AI149" s="28" t="s">
        <v>290</v>
      </c>
      <c r="AJ149" t="e">
        <f>AH149-VLOOKUP(AI149,'Bag weights'!A$2:B$6,2,FALSE)</f>
        <v>#N/A</v>
      </c>
      <c r="AK149" s="28">
        <v>13.67</v>
      </c>
      <c r="AL149" s="28" t="s">
        <v>287</v>
      </c>
      <c r="AM149">
        <f>AK149-VLOOKUP(AL149,'Bag weights'!A$2:B$6,2,FALSE)</f>
        <v>5.84</v>
      </c>
      <c r="AN149" s="28">
        <v>3.94</v>
      </c>
      <c r="AO149" s="28" t="s">
        <v>290</v>
      </c>
      <c r="AP149" t="e">
        <f>AN149-VLOOKUP(AO149,'Bag weights'!A$2:B$6,2,FALSE)</f>
        <v>#N/A</v>
      </c>
      <c r="AS149" t="e">
        <f>AQ149-VLOOKUP(AR149,'Bag weights'!A$2:B$6,2,FALSE)</f>
        <v>#N/A</v>
      </c>
      <c r="AT149" s="28">
        <v>2.19</v>
      </c>
      <c r="AU149" s="28" t="s">
        <v>290</v>
      </c>
      <c r="AV149" t="e">
        <f>AT149-VLOOKUP(AU149,'Bag weights'!A$2:B$6,2,FALSE)</f>
        <v>#N/A</v>
      </c>
      <c r="AW149" t="e">
        <f t="shared" si="4"/>
        <v>#N/A</v>
      </c>
      <c r="BC149" s="92">
        <v>2.9</v>
      </c>
      <c r="BG149" s="28">
        <v>3.54</v>
      </c>
    </row>
    <row r="150" spans="1:59">
      <c r="A150" s="70"/>
      <c r="B150" s="70"/>
      <c r="C150" s="70">
        <v>4</v>
      </c>
      <c r="D150" s="70" t="s">
        <v>97</v>
      </c>
      <c r="E150" s="1"/>
      <c r="F150" s="1"/>
      <c r="I150" t="e">
        <f>G150-VLOOKUP(H150,'Bag weights'!A$2:B$6,2,FALSE)</f>
        <v>#N/A</v>
      </c>
      <c r="L150" t="e">
        <f>J150-VLOOKUP(K150,'Bag weights'!D$2:E$6,2,FALSE)</f>
        <v>#N/A</v>
      </c>
      <c r="N150" s="95"/>
      <c r="O150" t="e">
        <f>M150-VLOOKUP(N150,'Bag weights'!A$2:B$6,2,FALSE)</f>
        <v>#N/A</v>
      </c>
      <c r="R150" t="e">
        <f>P150-VLOOKUP(Q150,'Bag weights'!A$2:B$6,2,FALSE)</f>
        <v>#N/A</v>
      </c>
      <c r="S150" s="28">
        <v>50.56</v>
      </c>
      <c r="T150" s="28" t="s">
        <v>284</v>
      </c>
      <c r="U150">
        <f>S150- VLOOKUP(T150,'Bag weights'!A$2:B$6,2,FALSE)</f>
        <v>29.610000000000003</v>
      </c>
      <c r="X150" t="e">
        <f>V150-VLOOKUP(W150,'Bag weights'!A$2:B$6,2,FALSE)</f>
        <v>#N/A</v>
      </c>
      <c r="AA150" t="e">
        <f>Y150-VLOOKUP(Z150,'Bag weights'!A$2:B$6,2,FALSE)</f>
        <v>#N/A</v>
      </c>
      <c r="AB150" s="28">
        <v>76.650000000000006</v>
      </c>
      <c r="AC150" s="28" t="s">
        <v>284</v>
      </c>
      <c r="AD150">
        <f>AB150-VLOOKUP(AC150,'Bag weights'!A$2:B$6,2,FALSE)</f>
        <v>55.7</v>
      </c>
      <c r="AG150" t="e">
        <f>AE150-VLOOKUP(AF150,'Bag weights'!A$2:B$6,2,FALSE)</f>
        <v>#N/A</v>
      </c>
      <c r="AH150" s="28">
        <v>9.66</v>
      </c>
      <c r="AI150" s="28" t="s">
        <v>287</v>
      </c>
      <c r="AJ150">
        <f>AH150-VLOOKUP(AI150,'Bag weights'!A$2:B$6,2,FALSE)</f>
        <v>1.83</v>
      </c>
      <c r="AK150" s="28">
        <v>14.5</v>
      </c>
      <c r="AL150" s="28" t="s">
        <v>287</v>
      </c>
      <c r="AM150">
        <f>AK150-VLOOKUP(AL150,'Bag weights'!A$2:B$6,2,FALSE)</f>
        <v>6.67</v>
      </c>
      <c r="AN150" s="28">
        <v>4.08</v>
      </c>
      <c r="AO150" s="28" t="s">
        <v>288</v>
      </c>
      <c r="AP150">
        <f>AN150-VLOOKUP(AO150,'Bag weights'!A$2:B$6,2,FALSE)</f>
        <v>1.5899999999999999</v>
      </c>
      <c r="AS150" t="e">
        <f>AQ150-VLOOKUP(AR150,'Bag weights'!A$2:B$6,2,FALSE)</f>
        <v>#N/A</v>
      </c>
      <c r="AT150" s="28"/>
      <c r="AV150" t="e">
        <f>AT150-VLOOKUP(AU150,'Bag weights'!A$2:B$6,2,FALSE)</f>
        <v>#N/A</v>
      </c>
      <c r="AW150" t="e">
        <f t="shared" si="4"/>
        <v>#N/A</v>
      </c>
      <c r="BC150" s="92">
        <v>16.399999999999999</v>
      </c>
      <c r="BG150" s="28">
        <v>2.46</v>
      </c>
    </row>
    <row r="151" spans="1:59">
      <c r="A151" s="70" t="s">
        <v>103</v>
      </c>
      <c r="B151" s="70" t="s">
        <v>106</v>
      </c>
      <c r="C151" s="70">
        <v>1</v>
      </c>
      <c r="D151" s="70" t="s">
        <v>94</v>
      </c>
      <c r="E151" s="1"/>
      <c r="F151" s="1"/>
      <c r="G151" s="28">
        <v>10.56</v>
      </c>
      <c r="H151" s="28" t="s">
        <v>287</v>
      </c>
      <c r="I151">
        <f>G151-VLOOKUP(H151,'Bag weights'!A$2:B$6,2,FALSE)</f>
        <v>2.7300000000000004</v>
      </c>
      <c r="L151" t="e">
        <f>J151-VLOOKUP(K151,'Bag weights'!D$2:E$6,2,FALSE)</f>
        <v>#N/A</v>
      </c>
      <c r="N151" s="95"/>
      <c r="O151" t="e">
        <f>M151-VLOOKUP(N151,'Bag weights'!A$2:B$6,2,FALSE)</f>
        <v>#N/A</v>
      </c>
      <c r="R151" t="e">
        <f>P151-VLOOKUP(Q151,'Bag weights'!A$2:B$6,2,FALSE)</f>
        <v>#N/A</v>
      </c>
      <c r="S151" s="28">
        <v>0.81</v>
      </c>
      <c r="U151" t="e">
        <f>S151- VLOOKUP(T151,'Bag weights'!A$2:B$6,2,FALSE)</f>
        <v>#N/A</v>
      </c>
      <c r="X151" t="e">
        <f>V151-VLOOKUP(W151,'Bag weights'!A$2:B$6,2,FALSE)</f>
        <v>#N/A</v>
      </c>
      <c r="Y151" s="28">
        <v>1.18</v>
      </c>
      <c r="AA151" t="e">
        <f>Y151-VLOOKUP(Z151,'Bag weights'!A$2:B$6,2,FALSE)</f>
        <v>#N/A</v>
      </c>
      <c r="AB151" s="28">
        <v>14.79</v>
      </c>
      <c r="AC151" s="28" t="s">
        <v>287</v>
      </c>
      <c r="AD151">
        <f>AB151-VLOOKUP(AC151,'Bag weights'!A$2:B$6,2,FALSE)</f>
        <v>6.9599999999999991</v>
      </c>
      <c r="AE151" s="28">
        <v>0.28000000000000003</v>
      </c>
      <c r="AG151" t="e">
        <f>AE151-VLOOKUP(AF151,'Bag weights'!A$2:B$6,2,FALSE)</f>
        <v>#N/A</v>
      </c>
      <c r="AH151" s="28">
        <v>10.73</v>
      </c>
      <c r="AI151" s="28" t="s">
        <v>287</v>
      </c>
      <c r="AJ151">
        <f>AH151-VLOOKUP(AI151,'Bag weights'!A$2:B$6,2,FALSE)</f>
        <v>2.9000000000000004</v>
      </c>
      <c r="AK151" s="28">
        <v>73.64</v>
      </c>
      <c r="AL151" s="28" t="s">
        <v>284</v>
      </c>
      <c r="AM151">
        <f>AK151-VLOOKUP(AL151,'Bag weights'!A$2:B$6,2,FALSE)</f>
        <v>52.69</v>
      </c>
      <c r="AN151" s="28">
        <v>1.51</v>
      </c>
      <c r="AP151" t="e">
        <f>AN151-VLOOKUP(AO151,'Bag weights'!A$2:B$6,2,FALSE)</f>
        <v>#N/A</v>
      </c>
      <c r="AS151" t="e">
        <f>AQ151-VLOOKUP(AR151,'Bag weights'!A$2:B$6,2,FALSE)</f>
        <v>#N/A</v>
      </c>
      <c r="AT151" s="28">
        <v>1.1200000000000001</v>
      </c>
      <c r="AV151" t="e">
        <f>AT150-VLOOKUP(AU151,'Bag weights'!A$2:B$6,2,FALSE)</f>
        <v>#N/A</v>
      </c>
      <c r="AW151" t="e">
        <f t="shared" si="4"/>
        <v>#N/A</v>
      </c>
      <c r="AX151" s="28" t="s">
        <v>340</v>
      </c>
      <c r="BC151" s="92">
        <v>17</v>
      </c>
      <c r="BG151" s="108">
        <v>1.9</v>
      </c>
    </row>
    <row r="152" spans="1:59">
      <c r="A152" s="75" t="s">
        <v>296</v>
      </c>
      <c r="B152" s="70"/>
      <c r="C152" s="70">
        <v>1</v>
      </c>
      <c r="D152" s="70" t="s">
        <v>107</v>
      </c>
      <c r="E152" s="1"/>
      <c r="F152" s="1"/>
      <c r="G152" s="28">
        <v>0.35</v>
      </c>
      <c r="I152" t="e">
        <f>G152-VLOOKUP(H152,'Bag weights'!A$2:B$6,2,FALSE)</f>
        <v>#N/A</v>
      </c>
      <c r="L152" t="e">
        <f>J152-VLOOKUP(K152,'Bag weights'!D$2:E$6,2,FALSE)</f>
        <v>#N/A</v>
      </c>
      <c r="N152" s="95"/>
      <c r="O152" t="e">
        <f>M152-VLOOKUP(N152,'Bag weights'!A$2:B$6,2,FALSE)</f>
        <v>#N/A</v>
      </c>
      <c r="R152" t="e">
        <f>P152-VLOOKUP(Q152,'Bag weights'!A$2:B$6,2,FALSE)</f>
        <v>#N/A</v>
      </c>
      <c r="S152" s="28">
        <v>16.22</v>
      </c>
      <c r="T152" s="28" t="s">
        <v>286</v>
      </c>
      <c r="U152">
        <f>S152- VLOOKUP(T152,'Bag weights'!A$2:B$6,2,FALSE)</f>
        <v>0.81999999999999851</v>
      </c>
      <c r="V152" s="28">
        <v>0.32</v>
      </c>
      <c r="X152" t="e">
        <f>V152-VLOOKUP(W152,'Bag weights'!A$2:B$6,2,FALSE)</f>
        <v>#N/A</v>
      </c>
      <c r="Y152" s="28">
        <v>16.989999999999998</v>
      </c>
      <c r="Z152" s="28" t="s">
        <v>286</v>
      </c>
      <c r="AA152">
        <f>Y152-VLOOKUP(Z152,'Bag weights'!A$2:B$6,2,FALSE)</f>
        <v>1.5899999999999981</v>
      </c>
      <c r="AB152" s="28">
        <v>19.989999999999998</v>
      </c>
      <c r="AC152" s="28" t="s">
        <v>286</v>
      </c>
      <c r="AD152">
        <f>AB152-VLOOKUP(AC152,'Bag weights'!A$2:B$6,2,FALSE)</f>
        <v>4.5899999999999981</v>
      </c>
      <c r="AE152" s="28">
        <v>17.07</v>
      </c>
      <c r="AF152" s="28" t="s">
        <v>286</v>
      </c>
      <c r="AG152">
        <f>AE152-VLOOKUP(AF152,'Bag weights'!A$2:B$6,2,FALSE)</f>
        <v>1.67</v>
      </c>
      <c r="AH152" s="28">
        <v>20.78</v>
      </c>
      <c r="AI152" s="28" t="s">
        <v>286</v>
      </c>
      <c r="AJ152">
        <f>AH152-VLOOKUP(AI152,'Bag weights'!A$2:B$6,2,FALSE)</f>
        <v>5.3800000000000008</v>
      </c>
      <c r="AK152" s="28">
        <v>82.58</v>
      </c>
      <c r="AL152" s="28" t="s">
        <v>284</v>
      </c>
      <c r="AM152">
        <f>AK152-VLOOKUP(AL152,'Bag weights'!A$2:B$6,2,FALSE)</f>
        <v>61.629999999999995</v>
      </c>
      <c r="AN152" s="28">
        <v>2.95</v>
      </c>
      <c r="AP152" t="e">
        <f>AN152-VLOOKUP(AO152,'Bag weights'!A$2:B$6,2,FALSE)</f>
        <v>#N/A</v>
      </c>
      <c r="AS152" t="e">
        <f>AQ152-VLOOKUP(AR152,'Bag weights'!A$2:B$6,2,FALSE)</f>
        <v>#N/A</v>
      </c>
      <c r="AT152" s="28">
        <v>0.39</v>
      </c>
      <c r="AV152" t="e">
        <f>AT152-VLOOKUP(AU152,'Bag weights'!A$2:B$6,2,FALSE)</f>
        <v>#N/A</v>
      </c>
      <c r="AW152" t="e">
        <f t="shared" si="4"/>
        <v>#N/A</v>
      </c>
      <c r="BC152" s="92">
        <v>16.600000000000001</v>
      </c>
      <c r="BG152" s="108">
        <v>2.38</v>
      </c>
    </row>
    <row r="153" spans="1:59">
      <c r="A153" s="70"/>
      <c r="B153" s="70"/>
      <c r="C153" s="70">
        <v>1</v>
      </c>
      <c r="D153" s="70" t="s">
        <v>108</v>
      </c>
      <c r="E153" s="1"/>
      <c r="F153" s="1"/>
      <c r="G153" s="28">
        <v>3.88</v>
      </c>
      <c r="I153" t="e">
        <f>G153-VLOOKUP(H153,'Bag weights'!A$2:B$6,2,FALSE)</f>
        <v>#N/A</v>
      </c>
      <c r="L153" t="e">
        <f>J153-VLOOKUP(K153,'Bag weights'!D$2:E$6,2,FALSE)</f>
        <v>#N/A</v>
      </c>
      <c r="N153" s="95"/>
      <c r="O153" t="e">
        <f>M153-VLOOKUP(N153,'Bag weights'!A$2:B$6,2,FALSE)</f>
        <v>#N/A</v>
      </c>
      <c r="R153" t="e">
        <f>P153-VLOOKUP(Q153,'Bag weights'!A$2:B$6,2,FALSE)</f>
        <v>#N/A</v>
      </c>
      <c r="S153" s="28">
        <v>1.47</v>
      </c>
      <c r="U153" t="e">
        <f>S153- VLOOKUP(T153,'Bag weights'!A$2:B$6,2,FALSE)</f>
        <v>#N/A</v>
      </c>
      <c r="X153" t="e">
        <f>V153-VLOOKUP(W153,'Bag weights'!A$2:B$6,2,FALSE)</f>
        <v>#N/A</v>
      </c>
      <c r="Y153" s="28">
        <v>2.73</v>
      </c>
      <c r="AA153" t="e">
        <f>Y153-VLOOKUP(Z153,'Bag weights'!A$2:B$6,2,FALSE)</f>
        <v>#N/A</v>
      </c>
      <c r="AB153" s="28">
        <v>4.79</v>
      </c>
      <c r="AC153" s="28"/>
      <c r="AD153" t="e">
        <f>AB153-VLOOKUP(AC153,'Bag weights'!A$2:B$6,2,FALSE)</f>
        <v>#N/A</v>
      </c>
      <c r="AE153" s="28">
        <v>0.24</v>
      </c>
      <c r="AG153" t="e">
        <f>AE153-VLOOKUP(AF153,'Bag weights'!A$2:B$6,2,FALSE)</f>
        <v>#N/A</v>
      </c>
      <c r="AH153" s="28">
        <v>15.18</v>
      </c>
      <c r="AJ153" t="e">
        <f>AH153-VLOOKUP(AI153,'Bag weights'!A$2:B$6,2,FALSE)</f>
        <v>#N/A</v>
      </c>
      <c r="AK153" s="28">
        <v>49.08</v>
      </c>
      <c r="AM153" t="e">
        <f>AK153-VLOOKUP(AL153,'Bag weights'!A$2:B$6,2,FALSE)</f>
        <v>#N/A</v>
      </c>
      <c r="AN153" s="28">
        <v>2.35</v>
      </c>
      <c r="AP153" t="e">
        <f>AN153-VLOOKUP(AO153,'Bag weights'!A$2:B$6,2,FALSE)</f>
        <v>#N/A</v>
      </c>
      <c r="AS153" t="e">
        <f>AQ153-VLOOKUP(AR153,'Bag weights'!A$2:B$6,2,FALSE)</f>
        <v>#N/A</v>
      </c>
      <c r="AT153" s="28">
        <v>0.81</v>
      </c>
      <c r="AV153" t="e">
        <f>AT153-VLOOKUP(AU153,'Bag weights'!A$2:B$6,2,FALSE)</f>
        <v>#N/A</v>
      </c>
      <c r="AW153" t="e">
        <f t="shared" si="4"/>
        <v>#N/A</v>
      </c>
      <c r="BC153" s="92">
        <v>15.4</v>
      </c>
      <c r="BG153" s="108">
        <v>1.51</v>
      </c>
    </row>
    <row r="154" spans="1:59">
      <c r="A154" s="70"/>
      <c r="B154" s="70"/>
      <c r="C154" s="70">
        <v>1</v>
      </c>
      <c r="D154" s="70" t="s">
        <v>96</v>
      </c>
      <c r="E154" s="1"/>
      <c r="F154" s="1"/>
      <c r="G154" s="28">
        <v>0.9</v>
      </c>
      <c r="I154" t="e">
        <f>G154-VLOOKUP(H154,'Bag weights'!A$2:B$6,2,FALSE)</f>
        <v>#N/A</v>
      </c>
      <c r="L154" t="e">
        <f>J154-VLOOKUP(K154,'Bag weights'!D$2:E$6,2,FALSE)</f>
        <v>#N/A</v>
      </c>
      <c r="N154" s="95"/>
      <c r="O154" t="e">
        <f>M154-VLOOKUP(N154,'Bag weights'!A$2:B$6,2,FALSE)</f>
        <v>#N/A</v>
      </c>
      <c r="R154" t="e">
        <f>P154-VLOOKUP(Q154,'Bag weights'!A$2:B$6,2,FALSE)</f>
        <v>#N/A</v>
      </c>
      <c r="S154" s="28">
        <v>9.2100000000000009</v>
      </c>
      <c r="T154" s="28" t="s">
        <v>287</v>
      </c>
      <c r="U154">
        <f>S154- VLOOKUP(T154,'Bag weights'!A$2:B$6,2,FALSE)</f>
        <v>1.3800000000000008</v>
      </c>
      <c r="X154" t="e">
        <f>V154-VLOOKUP(W154,'Bag weights'!A$2:B$6,2,FALSE)</f>
        <v>#N/A</v>
      </c>
      <c r="Y154" s="28">
        <v>11.5</v>
      </c>
      <c r="Z154" s="28" t="s">
        <v>287</v>
      </c>
      <c r="AA154">
        <f>Y154-VLOOKUP(Z154,'Bag weights'!A$2:B$6,2,FALSE)</f>
        <v>3.67</v>
      </c>
      <c r="AB154" s="28">
        <v>16.16</v>
      </c>
      <c r="AC154" s="28" t="s">
        <v>287</v>
      </c>
      <c r="AD154">
        <f>AB154-VLOOKUP(AC154,'Bag weights'!A$2:B$6,2,FALSE)</f>
        <v>8.33</v>
      </c>
      <c r="AE154" s="28">
        <v>0.59</v>
      </c>
      <c r="AG154" t="e">
        <f>AE154-VLOOKUP(AF154,'Bag weights'!A$2:B$6,2,FALSE)</f>
        <v>#N/A</v>
      </c>
      <c r="AH154" s="28">
        <v>14.08</v>
      </c>
      <c r="AI154" s="28" t="s">
        <v>287</v>
      </c>
      <c r="AJ154">
        <f>AH154-VLOOKUP(AI154,'Bag weights'!A$2:B$6,2,FALSE)</f>
        <v>6.25</v>
      </c>
      <c r="AK154" s="28">
        <v>91.24</v>
      </c>
      <c r="AL154" s="28" t="s">
        <v>284</v>
      </c>
      <c r="AM154">
        <f>AK154-VLOOKUP(AL154,'Bag weights'!A$2:B$6,2,FALSE)</f>
        <v>70.289999999999992</v>
      </c>
      <c r="AN154" s="28">
        <v>2.84</v>
      </c>
      <c r="AP154" t="e">
        <f>AN154-VLOOKUP(AO154,'Bag weights'!A$2:B$6,2,FALSE)</f>
        <v>#N/A</v>
      </c>
      <c r="AS154" t="e">
        <f>AQ154-VLOOKUP(AR154,'Bag weights'!A$2:B$6,2,FALSE)</f>
        <v>#N/A</v>
      </c>
      <c r="AT154" s="28">
        <v>0.06</v>
      </c>
      <c r="AV154" t="e">
        <f>AT154-VLOOKUP(AU154,'Bag weights'!A$2:B$6,2,FALSE)</f>
        <v>#N/A</v>
      </c>
      <c r="AW154" t="e">
        <f t="shared" si="4"/>
        <v>#N/A</v>
      </c>
      <c r="BC154" s="92">
        <v>23.9</v>
      </c>
      <c r="BG154" s="108">
        <v>4.26</v>
      </c>
    </row>
    <row r="155" spans="1:59">
      <c r="A155" s="70"/>
      <c r="B155" s="70"/>
      <c r="C155" s="70">
        <v>1</v>
      </c>
      <c r="D155" s="70" t="s">
        <v>39</v>
      </c>
      <c r="E155" s="1"/>
      <c r="F155" s="1"/>
      <c r="G155" s="28">
        <v>0.92</v>
      </c>
      <c r="I155" t="e">
        <f>G155-VLOOKUP(H155,'Bag weights'!A$2:B$6,2,FALSE)</f>
        <v>#N/A</v>
      </c>
      <c r="L155" t="e">
        <f>J155-VLOOKUP(K155,'Bag weights'!D$2:E$6,2,FALSE)</f>
        <v>#N/A</v>
      </c>
      <c r="N155" s="95"/>
      <c r="O155" t="e">
        <f>M155-VLOOKUP(N155,'Bag weights'!A$2:B$6,2,FALSE)</f>
        <v>#N/A</v>
      </c>
      <c r="R155" t="e">
        <f>P155-VLOOKUP(Q155,'Bag weights'!A$2:B$6,2,FALSE)</f>
        <v>#N/A</v>
      </c>
      <c r="S155" s="28">
        <v>1.95</v>
      </c>
      <c r="U155" t="e">
        <f>S155- VLOOKUP(T155,'Bag weights'!A$2:B$6,2,FALSE)</f>
        <v>#N/A</v>
      </c>
      <c r="V155" s="28">
        <v>0.48</v>
      </c>
      <c r="X155" t="e">
        <f>V155-VLOOKUP(W155,'Bag weights'!A$2:B$6,2,FALSE)</f>
        <v>#N/A</v>
      </c>
      <c r="Y155" s="28">
        <v>2.79</v>
      </c>
      <c r="AA155" t="e">
        <f>Y155-VLOOKUP(Z155,'Bag weights'!A$2:B$6,2,FALSE)</f>
        <v>#N/A</v>
      </c>
      <c r="AB155" s="28">
        <v>32.659999999999997</v>
      </c>
      <c r="AC155" s="28" t="s">
        <v>284</v>
      </c>
      <c r="AD155">
        <f>AB155-VLOOKUP(AC155,'Bag weights'!A$2:B$6,2,FALSE)</f>
        <v>11.709999999999997</v>
      </c>
      <c r="AE155" s="28">
        <v>0.21</v>
      </c>
      <c r="AG155" t="e">
        <f>AE155-VLOOKUP(AF155,'Bag weights'!A$2:B$6,2,FALSE)</f>
        <v>#N/A</v>
      </c>
      <c r="AH155" s="28">
        <v>9.4499999999999993</v>
      </c>
      <c r="AJ155" t="e">
        <f>AH155-VLOOKUP(AI155,'Bag weights'!A$2:B$6,2,FALSE)</f>
        <v>#N/A</v>
      </c>
      <c r="AK155" s="28">
        <v>72.099999999999994</v>
      </c>
      <c r="AL155" s="28" t="s">
        <v>284</v>
      </c>
      <c r="AM155">
        <f>AK155-VLOOKUP(AL155,'Bag weights'!A$2:B$6,2,FALSE)</f>
        <v>51.149999999999991</v>
      </c>
      <c r="AN155" s="28">
        <v>3.62</v>
      </c>
      <c r="AP155" t="e">
        <f>AN155-VLOOKUP(AO155,'Bag weights'!A$2:B$6,2,FALSE)</f>
        <v>#N/A</v>
      </c>
      <c r="AS155" t="e">
        <f>AQ155-VLOOKUP(AR155,'Bag weights'!A$2:B$6,2,FALSE)</f>
        <v>#N/A</v>
      </c>
      <c r="AT155" s="28">
        <v>0.32</v>
      </c>
      <c r="AV155" t="e">
        <f>AT155-VLOOKUP(AU155,'Bag weights'!A$2:B$6,2,FALSE)</f>
        <v>#N/A</v>
      </c>
      <c r="AW155" t="e">
        <f t="shared" si="4"/>
        <v>#N/A</v>
      </c>
      <c r="BC155" s="92">
        <v>18.2</v>
      </c>
      <c r="BG155" s="108">
        <v>2.82</v>
      </c>
    </row>
    <row r="156" spans="1:59">
      <c r="A156" s="70"/>
      <c r="B156" s="70"/>
      <c r="C156" s="70">
        <v>2</v>
      </c>
      <c r="D156" s="70" t="s">
        <v>94</v>
      </c>
      <c r="E156" s="1"/>
      <c r="F156" s="1"/>
      <c r="G156" s="28">
        <v>13.67</v>
      </c>
      <c r="H156" s="28" t="s">
        <v>287</v>
      </c>
      <c r="I156">
        <f>G156-VLOOKUP(H156,'Bag weights'!A$2:B$6,2,FALSE)</f>
        <v>5.84</v>
      </c>
      <c r="L156" t="e">
        <f>J156-VLOOKUP(K156,'Bag weights'!D$2:E$6,2,FALSE)</f>
        <v>#N/A</v>
      </c>
      <c r="M156" s="28">
        <v>11.62</v>
      </c>
      <c r="N156" s="87" t="s">
        <v>287</v>
      </c>
      <c r="O156">
        <f>M156-VLOOKUP(N156,'Bag weights'!A$2:B$6,2,FALSE)</f>
        <v>3.7899999999999991</v>
      </c>
      <c r="R156" t="e">
        <f>P156-VLOOKUP(Q156,'Bag weights'!A$2:B$6,2,FALSE)</f>
        <v>#N/A</v>
      </c>
      <c r="S156" s="28">
        <v>9.33</v>
      </c>
      <c r="T156" s="28" t="s">
        <v>287</v>
      </c>
      <c r="U156">
        <f>S156- VLOOKUP(T156,'Bag weights'!A$2:B$6,2,FALSE)</f>
        <v>1.5</v>
      </c>
      <c r="X156" t="e">
        <f>V156-VLOOKUP(W156,'Bag weights'!A$2:B$6,2,FALSE)</f>
        <v>#N/A</v>
      </c>
      <c r="Y156" s="28">
        <v>19.36</v>
      </c>
      <c r="Z156" s="28" t="s">
        <v>287</v>
      </c>
      <c r="AA156">
        <f>Y156-VLOOKUP(Z156,'Bag weights'!A$2:B$6,2,FALSE)</f>
        <v>11.53</v>
      </c>
      <c r="AB156" s="28">
        <v>50.02</v>
      </c>
      <c r="AC156" s="28" t="s">
        <v>284</v>
      </c>
      <c r="AD156">
        <f>AB156-VLOOKUP(AC156,'Bag weights'!A$2:B$6,2,FALSE)</f>
        <v>29.070000000000004</v>
      </c>
      <c r="AG156" t="e">
        <f>AE156-VLOOKUP(AF156,'Bag weights'!A$2:B$6,2,FALSE)</f>
        <v>#N/A</v>
      </c>
      <c r="AH156" s="28">
        <v>0.9</v>
      </c>
      <c r="AJ156" t="e">
        <f>AH156-VLOOKUP(AI156,'Bag weights'!A$2:B$6,2,FALSE)</f>
        <v>#N/A</v>
      </c>
      <c r="AK156" s="28"/>
      <c r="AL156" s="28"/>
      <c r="AM156" t="e">
        <f>AK156-VLOOKUP(AL156,'Bag weights'!A$2:B$6,2,FALSE)</f>
        <v>#N/A</v>
      </c>
      <c r="AN156" s="28">
        <v>11.03</v>
      </c>
      <c r="AO156" s="28" t="s">
        <v>287</v>
      </c>
      <c r="AP156">
        <f>AN156-VLOOKUP(AO156,'Bag weights'!A$2:B$6,2,FALSE)</f>
        <v>3.1999999999999993</v>
      </c>
      <c r="AS156" t="e">
        <f>AQ156-VLOOKUP(AR156,'Bag weights'!A$2:B$6,2,FALSE)</f>
        <v>#N/A</v>
      </c>
      <c r="AT156" s="28">
        <v>0.65</v>
      </c>
      <c r="AV156" t="e">
        <f>AT156-VLOOKUP(AU156,'Bag weights'!A$2:B$6,2,FALSE)</f>
        <v>#N/A</v>
      </c>
      <c r="AW156" t="e">
        <f t="shared" si="4"/>
        <v>#N/A</v>
      </c>
      <c r="BC156" s="92">
        <v>13.3</v>
      </c>
      <c r="BG156" s="108">
        <v>2.5099999999999998</v>
      </c>
    </row>
    <row r="157" spans="1:59">
      <c r="A157" s="70"/>
      <c r="B157" s="70"/>
      <c r="C157" s="70">
        <v>2</v>
      </c>
      <c r="D157" s="70" t="s">
        <v>107</v>
      </c>
      <c r="E157" s="1"/>
      <c r="F157" s="1"/>
      <c r="G157" s="28">
        <v>8.44</v>
      </c>
      <c r="I157" t="e">
        <f>G157-VLOOKUP(H157,'Bag weights'!A$2:B$6,2,FALSE)</f>
        <v>#N/A</v>
      </c>
      <c r="L157" t="e">
        <f>J157-VLOOKUP(K157,'Bag weights'!D$2:E$6,2,FALSE)</f>
        <v>#N/A</v>
      </c>
      <c r="M157" s="28">
        <v>3.34</v>
      </c>
      <c r="N157" s="95"/>
      <c r="O157" t="e">
        <f>M157-VLOOKUP(N157,'Bag weights'!A$2:B$6,2,FALSE)</f>
        <v>#N/A</v>
      </c>
      <c r="R157" t="e">
        <f>P157-VLOOKUP(Q157,'Bag weights'!A$2:B$6,2,FALSE)</f>
        <v>#N/A</v>
      </c>
      <c r="S157" s="28">
        <v>2.8</v>
      </c>
      <c r="U157" t="e">
        <f>S157- VLOOKUP(T157,'Bag weights'!A$2:B$6,2,FALSE)</f>
        <v>#N/A</v>
      </c>
      <c r="X157" t="e">
        <f>V157-VLOOKUP(W157,'Bag weights'!A$2:B$6,2,FALSE)</f>
        <v>#N/A</v>
      </c>
      <c r="Y157" s="28">
        <v>4.2</v>
      </c>
      <c r="AA157" t="e">
        <f>Y157-VLOOKUP(Z157,'Bag weights'!A$2:B$6,2,FALSE)</f>
        <v>#N/A</v>
      </c>
      <c r="AB157" s="28">
        <v>14.19</v>
      </c>
      <c r="AD157" t="e">
        <f>AB157-VLOOKUP(AC157,'Bag weights'!A$2:B$6,2,FALSE)</f>
        <v>#N/A</v>
      </c>
      <c r="AE157" s="28">
        <v>6.11</v>
      </c>
      <c r="AG157" t="e">
        <f>AE157-VLOOKUP(AF157,'Bag weights'!A$2:B$6,2,FALSE)</f>
        <v>#N/A</v>
      </c>
      <c r="AH157" s="28">
        <v>2.93</v>
      </c>
      <c r="AJ157" t="e">
        <f>AH157-VLOOKUP(AI157,'Bag weights'!A$2:B$6,2,FALSE)</f>
        <v>#N/A</v>
      </c>
      <c r="AK157" s="28">
        <v>30.4</v>
      </c>
      <c r="AM157" t="e">
        <f>AK157-VLOOKUP(AL157,'Bag weights'!A$2:B$6,2,FALSE)</f>
        <v>#N/A</v>
      </c>
      <c r="AN157" s="28">
        <v>2.5</v>
      </c>
      <c r="AP157" t="e">
        <f>AN157-VLOOKUP(AO157,'Bag weights'!A$2:B$6,2,FALSE)</f>
        <v>#N/A</v>
      </c>
      <c r="AS157" t="e">
        <f>AQ157-VLOOKUP(AR157,'Bag weights'!A$2:B$6,2,FALSE)</f>
        <v>#N/A</v>
      </c>
      <c r="AT157" s="28">
        <v>0.56999999999999995</v>
      </c>
      <c r="AV157" t="e">
        <f>AT157-VLOOKUP(AU157,'Bag weights'!A$2:B$6,2,FALSE)</f>
        <v>#N/A</v>
      </c>
      <c r="AW157" t="e">
        <f t="shared" si="4"/>
        <v>#N/A</v>
      </c>
      <c r="BC157" s="92">
        <v>22.1</v>
      </c>
      <c r="BG157" s="108">
        <v>2.19</v>
      </c>
    </row>
    <row r="158" spans="1:59">
      <c r="A158" s="70"/>
      <c r="B158" s="70"/>
      <c r="C158" s="70">
        <v>2</v>
      </c>
      <c r="D158" s="70" t="s">
        <v>108</v>
      </c>
      <c r="E158" s="1"/>
      <c r="F158" s="1"/>
      <c r="G158" s="28">
        <v>11.42</v>
      </c>
      <c r="H158" s="28" t="s">
        <v>287</v>
      </c>
      <c r="I158">
        <f>G158-VLOOKUP(H158,'Bag weights'!A$2:B$6,2,FALSE)</f>
        <v>3.59</v>
      </c>
      <c r="L158" t="e">
        <f>J158-VLOOKUP(K158,'Bag weights'!D$2:E$6,2,FALSE)</f>
        <v>#N/A</v>
      </c>
      <c r="M158" s="28">
        <v>21.45</v>
      </c>
      <c r="N158" s="87" t="s">
        <v>287</v>
      </c>
      <c r="O158">
        <f>M158-VLOOKUP(N158,'Bag weights'!A$2:B$6,2,FALSE)</f>
        <v>13.62</v>
      </c>
      <c r="R158" t="e">
        <f>P158-VLOOKUP(Q158,'Bag weights'!A$2:B$6,2,FALSE)</f>
        <v>#N/A</v>
      </c>
      <c r="S158" s="28">
        <v>9.01</v>
      </c>
      <c r="T158" s="28" t="s">
        <v>287</v>
      </c>
      <c r="U158">
        <f>S158- VLOOKUP(T158,'Bag weights'!A$2:B$6,2,FALSE)</f>
        <v>1.1799999999999997</v>
      </c>
      <c r="X158" t="e">
        <f>V158-VLOOKUP(W158,'Bag weights'!A$2:B$6,2,FALSE)</f>
        <v>#N/A</v>
      </c>
      <c r="Y158" s="28">
        <v>13.51</v>
      </c>
      <c r="Z158" s="28" t="s">
        <v>287</v>
      </c>
      <c r="AA158">
        <f>Y158-VLOOKUP(Z158,'Bag weights'!A$2:B$6,2,FALSE)</f>
        <v>5.68</v>
      </c>
      <c r="AB158" s="28">
        <v>20.54</v>
      </c>
      <c r="AC158" s="28" t="s">
        <v>287</v>
      </c>
      <c r="AD158">
        <f>AB158-VLOOKUP(AC158,'Bag weights'!A$2:B$6,2,FALSE)</f>
        <v>12.709999999999999</v>
      </c>
      <c r="AG158" t="e">
        <f>AE158-VLOOKUP(AF158,'Bag weights'!A$2:B$6,2,FALSE)</f>
        <v>#N/A</v>
      </c>
      <c r="AH158" s="28">
        <v>11.94</v>
      </c>
      <c r="AI158" s="28" t="s">
        <v>287</v>
      </c>
      <c r="AJ158">
        <f>AH158-VLOOKUP(AI158,'Bag weights'!A$2:B$6,2,FALSE)</f>
        <v>4.1099999999999994</v>
      </c>
      <c r="AK158" s="28">
        <v>57.55</v>
      </c>
      <c r="AL158" s="28" t="s">
        <v>284</v>
      </c>
      <c r="AM158">
        <f>AK158-VLOOKUP(AL158,'Bag weights'!A$2:B$6,2,FALSE)</f>
        <v>36.599999999999994</v>
      </c>
      <c r="AN158" s="28">
        <v>2.81</v>
      </c>
      <c r="AP158" t="e">
        <f>AN158-VLOOKUP(AO158,'Bag weights'!A$2:B$6,2,FALSE)</f>
        <v>#N/A</v>
      </c>
      <c r="AS158" t="e">
        <f>AQ158-VLOOKUP(AR158,'Bag weights'!A$2:B$6,2,FALSE)</f>
        <v>#N/A</v>
      </c>
      <c r="AT158" s="28">
        <v>1.21</v>
      </c>
      <c r="AV158" t="e">
        <f>AT158-VLOOKUP(AU158,'Bag weights'!A$2:B$6,2,FALSE)</f>
        <v>#N/A</v>
      </c>
      <c r="AW158" t="e">
        <f t="shared" si="4"/>
        <v>#N/A</v>
      </c>
      <c r="BC158" s="92">
        <v>9.6999999999999993</v>
      </c>
      <c r="BG158" s="108">
        <v>2.35</v>
      </c>
    </row>
    <row r="159" spans="1:59">
      <c r="A159" s="70"/>
      <c r="B159" s="70"/>
      <c r="C159" s="70">
        <v>2</v>
      </c>
      <c r="D159" s="70" t="s">
        <v>96</v>
      </c>
      <c r="E159" s="1"/>
      <c r="F159" s="1"/>
      <c r="G159" s="28">
        <v>2.0499999999999998</v>
      </c>
      <c r="I159" t="e">
        <f>G159-VLOOKUP(H159,'Bag weights'!A$2:B$6,2,FALSE)</f>
        <v>#N/A</v>
      </c>
      <c r="J159" s="28">
        <v>0.77</v>
      </c>
      <c r="L159" t="e">
        <f>J159-VLOOKUP(K159,'Bag weights'!D$2:E$6,2,FALSE)</f>
        <v>#N/A</v>
      </c>
      <c r="M159" s="28">
        <v>16.489999999999998</v>
      </c>
      <c r="N159" s="95"/>
      <c r="O159" t="e">
        <f>M159-VLOOKUP(N159,'Bag weights'!A$2:B$6,2,FALSE)</f>
        <v>#N/A</v>
      </c>
      <c r="R159" t="e">
        <f>P159-VLOOKUP(Q159,'Bag weights'!A$2:B$6,2,FALSE)</f>
        <v>#N/A</v>
      </c>
      <c r="S159" s="28">
        <v>0.96</v>
      </c>
      <c r="U159" t="e">
        <f>S159- VLOOKUP(T159,'Bag weights'!A$2:B$6,2,FALSE)</f>
        <v>#N/A</v>
      </c>
      <c r="X159" t="e">
        <f>V159-VLOOKUP(W159,'Bag weights'!A$2:B$6,2,FALSE)</f>
        <v>#N/A</v>
      </c>
      <c r="Y159" s="28">
        <v>2.74</v>
      </c>
      <c r="AA159" t="e">
        <f>Y159-VLOOKUP(Z159,'Bag weights'!A$2:B$6,2,FALSE)</f>
        <v>#N/A</v>
      </c>
      <c r="AB159" s="28">
        <v>12.14</v>
      </c>
      <c r="AD159" t="e">
        <f>AB159-VLOOKUP(AC159,'Bag weights'!A$2:B$6,2,FALSE)</f>
        <v>#N/A</v>
      </c>
      <c r="AE159" s="28">
        <v>0.61</v>
      </c>
      <c r="AG159" t="e">
        <f>AE159-VLOOKUP(AF159,'Bag weights'!A$2:B$6,2,FALSE)</f>
        <v>#N/A</v>
      </c>
      <c r="AH159" s="28">
        <v>7.88</v>
      </c>
      <c r="AJ159" t="e">
        <f>AH159-VLOOKUP(AI159,'Bag weights'!A$2:B$6,2,FALSE)</f>
        <v>#N/A</v>
      </c>
      <c r="AK159" s="28">
        <v>47.71</v>
      </c>
      <c r="AM159" t="e">
        <f>AK159-VLOOKUP(AL159,'Bag weights'!A$2:B$6,2,FALSE)</f>
        <v>#N/A</v>
      </c>
      <c r="AN159" s="28">
        <v>1.57</v>
      </c>
      <c r="AP159" t="e">
        <f>AN159-VLOOKUP(AO159,'Bag weights'!A$2:B$6,2,FALSE)</f>
        <v>#N/A</v>
      </c>
      <c r="AS159" t="e">
        <f>AQ159-VLOOKUP(AR159,'Bag weights'!A$2:B$6,2,FALSE)</f>
        <v>#N/A</v>
      </c>
      <c r="AT159" s="28">
        <v>1.45</v>
      </c>
      <c r="AV159" t="e">
        <f>AT159-VLOOKUP(AU159,'Bag weights'!A$2:B$6,2,FALSE)</f>
        <v>#N/A</v>
      </c>
      <c r="AW159" t="e">
        <f t="shared" si="4"/>
        <v>#N/A</v>
      </c>
      <c r="BC159" s="92">
        <v>12.7</v>
      </c>
      <c r="BG159" s="108">
        <v>1.1200000000000001</v>
      </c>
    </row>
    <row r="160" spans="1:59">
      <c r="A160" s="70"/>
      <c r="B160" s="70"/>
      <c r="C160" s="70">
        <v>2</v>
      </c>
      <c r="D160" s="70" t="s">
        <v>39</v>
      </c>
      <c r="E160" s="1"/>
      <c r="F160" s="1"/>
      <c r="G160" s="28">
        <v>3.07</v>
      </c>
      <c r="I160" t="e">
        <f>G160-VLOOKUP(H160,'Bag weights'!A$2:B$6,2,FALSE)</f>
        <v>#N/A</v>
      </c>
      <c r="J160" s="28">
        <v>0.46</v>
      </c>
      <c r="L160" t="e">
        <f>J160-VLOOKUP(K160,'Bag weights'!D$2:E$6,2,FALSE)</f>
        <v>#N/A</v>
      </c>
      <c r="M160" s="28">
        <v>9.7200000000000006</v>
      </c>
      <c r="N160" s="95"/>
      <c r="O160" t="e">
        <f>M160-VLOOKUP(N160,'Bag weights'!A$2:B$6,2,FALSE)</f>
        <v>#N/A</v>
      </c>
      <c r="R160" t="e">
        <f>P160-VLOOKUP(Q160,'Bag weights'!A$2:B$6,2,FALSE)</f>
        <v>#N/A</v>
      </c>
      <c r="S160" s="28">
        <v>1.39</v>
      </c>
      <c r="U160" t="e">
        <f>S160- VLOOKUP(T160,'Bag weights'!A$2:B$6,2,FALSE)</f>
        <v>#N/A</v>
      </c>
      <c r="X160" t="e">
        <f>V160-VLOOKUP(W160,'Bag weights'!A$2:B$6,2,FALSE)</f>
        <v>#N/A</v>
      </c>
      <c r="Y160" s="28">
        <v>5.62</v>
      </c>
      <c r="AA160" t="e">
        <f>Y160-VLOOKUP(Z160,'Bag weights'!A$2:B$6,2,FALSE)</f>
        <v>#N/A</v>
      </c>
      <c r="AB160" s="28">
        <v>12.95</v>
      </c>
      <c r="AD160" t="e">
        <f>AB160-VLOOKUP(AC160,'Bag weights'!A$2:B$6,2,FALSE)</f>
        <v>#N/A</v>
      </c>
      <c r="AG160" t="e">
        <f>AE160-VLOOKUP(AF160,'Bag weights'!A$2:B$6,2,FALSE)</f>
        <v>#N/A</v>
      </c>
      <c r="AH160" s="28">
        <v>2.98</v>
      </c>
      <c r="AJ160" t="e">
        <f>AH160-VLOOKUP(AI160,'Bag weights'!A$2:B$6,2,FALSE)</f>
        <v>#N/A</v>
      </c>
      <c r="AK160" s="28">
        <v>47.95</v>
      </c>
      <c r="AM160" t="e">
        <f>AK160-VLOOKUP(AL160,'Bag weights'!A$2:B$6,2,FALSE)</f>
        <v>#N/A</v>
      </c>
      <c r="AN160" s="28">
        <v>2.78</v>
      </c>
      <c r="AP160" t="e">
        <f>AN160-VLOOKUP(AO160,'Bag weights'!A$2:B$6,2,FALSE)</f>
        <v>#N/A</v>
      </c>
      <c r="AS160" t="e">
        <f>AQ160-VLOOKUP(AR160,'Bag weights'!A$2:B$6,2,FALSE)</f>
        <v>#N/A</v>
      </c>
      <c r="AT160" s="28">
        <v>2.48</v>
      </c>
      <c r="AV160" t="e">
        <f>AT160-VLOOKUP(AU160,'Bag weights'!A$2:B$6,2,FALSE)</f>
        <v>#N/A</v>
      </c>
      <c r="AW160" t="e">
        <f t="shared" si="4"/>
        <v>#N/A</v>
      </c>
      <c r="BC160" s="92">
        <v>8.9</v>
      </c>
      <c r="BG160" s="108">
        <v>2.5299999999999998</v>
      </c>
    </row>
    <row r="161" spans="1:59">
      <c r="A161" s="70"/>
      <c r="B161" s="70"/>
      <c r="C161" s="70">
        <v>3</v>
      </c>
      <c r="D161" s="70" t="s">
        <v>94</v>
      </c>
      <c r="E161" s="1"/>
      <c r="F161" s="1"/>
      <c r="G161" s="28">
        <v>0.31</v>
      </c>
      <c r="I161" t="e">
        <f>G161-VLOOKUP(H161,'Bag weights'!A$2:B$6,2,FALSE)</f>
        <v>#N/A</v>
      </c>
      <c r="L161" t="e">
        <f>J161-VLOOKUP(K161,'Bag weights'!D$2:E$6,2,FALSE)</f>
        <v>#N/A</v>
      </c>
      <c r="M161" s="28">
        <v>9.4</v>
      </c>
      <c r="N161" s="87" t="s">
        <v>287</v>
      </c>
      <c r="O161">
        <f>M161-VLOOKUP(N161,'Bag weights'!A$2:B$6,2,FALSE)</f>
        <v>1.5700000000000003</v>
      </c>
      <c r="R161" t="e">
        <f>P161-VLOOKUP(Q161,'Bag weights'!A$2:B$6,2,FALSE)</f>
        <v>#N/A</v>
      </c>
      <c r="S161" s="28">
        <v>10.38</v>
      </c>
      <c r="T161" s="28" t="s">
        <v>287</v>
      </c>
      <c r="U161">
        <f>S161- VLOOKUP(T161,'Bag weights'!A$2:B$6,2,FALSE)</f>
        <v>2.5500000000000007</v>
      </c>
      <c r="X161" t="e">
        <f>V161-VLOOKUP(W161,'Bag weights'!A$2:B$6,2,FALSE)</f>
        <v>#N/A</v>
      </c>
      <c r="Y161" s="28">
        <v>10.1</v>
      </c>
      <c r="Z161" s="28" t="s">
        <v>287</v>
      </c>
      <c r="AA161">
        <f>Y161-VLOOKUP(Z161,'Bag weights'!A$2:B$6,2,FALSE)</f>
        <v>2.2699999999999996</v>
      </c>
      <c r="AB161" s="28">
        <v>11.78</v>
      </c>
      <c r="AC161" s="28" t="s">
        <v>287</v>
      </c>
      <c r="AD161">
        <f>AB161-VLOOKUP(AC161,'Bag weights'!A$2:B$6,2,FALSE)</f>
        <v>3.9499999999999993</v>
      </c>
      <c r="AG161" t="e">
        <f>AE161-VLOOKUP(AF161,'Bag weights'!A$2:B$6,2,FALSE)</f>
        <v>#N/A</v>
      </c>
      <c r="AH161" s="28">
        <v>9.51</v>
      </c>
      <c r="AI161" s="28" t="s">
        <v>287</v>
      </c>
      <c r="AJ161">
        <f>AH161-VLOOKUP(AI161,'Bag weights'!A$2:B$6,2,FALSE)</f>
        <v>1.6799999999999997</v>
      </c>
      <c r="AK161" s="28" t="s">
        <v>341</v>
      </c>
      <c r="AL161" s="28" t="s">
        <v>284</v>
      </c>
      <c r="AM161" t="e">
        <f>AK161-VLOOKUP(AL161,'Bag weights'!A$2:B$6,2,FALSE)</f>
        <v>#VALUE!</v>
      </c>
      <c r="AN161" s="28">
        <v>2.02</v>
      </c>
      <c r="AP161" t="e">
        <f>AN161-VLOOKUP(AO161,'Bag weights'!A$2:B$6,2,FALSE)</f>
        <v>#N/A</v>
      </c>
      <c r="AS161" t="e">
        <f>AQ161-VLOOKUP(AR161,'Bag weights'!A$2:B$6,2,FALSE)</f>
        <v>#N/A</v>
      </c>
      <c r="AT161" s="28">
        <v>0.32100000000000001</v>
      </c>
      <c r="AV161" t="e">
        <f>AT161-VLOOKUP(AU161,'Bag weights'!A$2:B$6,2,FALSE)</f>
        <v>#N/A</v>
      </c>
      <c r="AW161" t="e">
        <f t="shared" si="4"/>
        <v>#N/A</v>
      </c>
      <c r="BC161" s="92">
        <v>9.4</v>
      </c>
      <c r="BG161" s="108">
        <v>1.86</v>
      </c>
    </row>
    <row r="162" spans="1:59">
      <c r="A162" s="70"/>
      <c r="B162" s="70"/>
      <c r="C162" s="70">
        <v>3</v>
      </c>
      <c r="D162" s="70" t="s">
        <v>107</v>
      </c>
      <c r="E162" s="1"/>
      <c r="F162" s="1"/>
      <c r="G162" s="28">
        <v>9.0500000000000007</v>
      </c>
      <c r="H162" s="28" t="s">
        <v>287</v>
      </c>
      <c r="I162">
        <f>G162-VLOOKUP(H162,'Bag weights'!A$2:B$6,2,FALSE)</f>
        <v>1.2200000000000006</v>
      </c>
      <c r="L162" t="e">
        <f>J162-VLOOKUP(K162,'Bag weights'!D$2:E$6,2,FALSE)</f>
        <v>#N/A</v>
      </c>
      <c r="N162" s="95"/>
      <c r="O162" t="e">
        <f>M162-VLOOKUP(N162,'Bag weights'!A$2:B$6,2,FALSE)</f>
        <v>#N/A</v>
      </c>
      <c r="R162" t="e">
        <f>P162-VLOOKUP(Q162,'Bag weights'!A$2:B$6,2,FALSE)</f>
        <v>#N/A</v>
      </c>
      <c r="S162" s="28">
        <v>0.36</v>
      </c>
      <c r="U162" t="e">
        <f>S162- VLOOKUP(T162,'Bag weights'!A$2:B$6,2,FALSE)</f>
        <v>#N/A</v>
      </c>
      <c r="X162" t="e">
        <f>V162-VLOOKUP(W162,'Bag weights'!A$2:B$6,2,FALSE)</f>
        <v>#N/A</v>
      </c>
      <c r="Y162" s="28">
        <v>17.239999999999998</v>
      </c>
      <c r="Z162" s="28" t="s">
        <v>287</v>
      </c>
      <c r="AA162">
        <f>Y162-VLOOKUP(Z162,'Bag weights'!A$2:B$6,2,FALSE)</f>
        <v>9.4099999999999984</v>
      </c>
      <c r="AB162" s="28">
        <v>43.49</v>
      </c>
      <c r="AC162" s="28" t="s">
        <v>284</v>
      </c>
      <c r="AD162">
        <f>AB162-VLOOKUP(AC162,'Bag weights'!A$2:B$6,2,FALSE)</f>
        <v>22.540000000000003</v>
      </c>
      <c r="AG162" t="e">
        <f>AE162-VLOOKUP(AF162,'Bag weights'!A$2:B$6,2,FALSE)</f>
        <v>#N/A</v>
      </c>
      <c r="AH162" s="28">
        <v>9.25</v>
      </c>
      <c r="AI162" s="28" t="s">
        <v>287</v>
      </c>
      <c r="AJ162">
        <f>AH162-VLOOKUP(AI162,'Bag weights'!A$2:B$6,2,FALSE)</f>
        <v>1.42</v>
      </c>
      <c r="AK162" s="28">
        <v>54.1</v>
      </c>
      <c r="AL162" s="28" t="s">
        <v>284</v>
      </c>
      <c r="AM162">
        <f>AK162-VLOOKUP(AL162,'Bag weights'!A$2:B$6,2,FALSE)</f>
        <v>33.150000000000006</v>
      </c>
      <c r="AN162" s="28">
        <v>1.73</v>
      </c>
      <c r="AP162" t="e">
        <f>AN162-VLOOKUP(AO162,'Bag weights'!A$2:B$6,2,FALSE)</f>
        <v>#N/A</v>
      </c>
      <c r="AS162" t="e">
        <f>AQ162-VLOOKUP(AR162,'Bag weights'!A$2:B$6,2,FALSE)</f>
        <v>#N/A</v>
      </c>
      <c r="AT162" s="28">
        <v>0.54</v>
      </c>
      <c r="AV162" t="e">
        <f>AT162-VLOOKUP(AU162,'Bag weights'!A$2:B$6,2,FALSE)</f>
        <v>#N/A</v>
      </c>
      <c r="AW162" t="e">
        <f t="shared" si="4"/>
        <v>#N/A</v>
      </c>
      <c r="BC162" s="92">
        <v>9.6999999999999993</v>
      </c>
      <c r="BG162" s="108">
        <v>0.59</v>
      </c>
    </row>
    <row r="163" spans="1:59">
      <c r="A163" s="70"/>
      <c r="B163" s="70"/>
      <c r="C163" s="70">
        <v>3</v>
      </c>
      <c r="D163" s="70" t="s">
        <v>108</v>
      </c>
      <c r="E163" s="1"/>
      <c r="F163" s="1"/>
      <c r="G163" s="28">
        <v>2.4900000000000002</v>
      </c>
      <c r="I163" t="e">
        <f>G163-VLOOKUP(H163,'Bag weights'!A$2:B$6,2,FALSE)</f>
        <v>#N/A</v>
      </c>
      <c r="J163" s="28">
        <v>0.24</v>
      </c>
      <c r="L163" t="e">
        <f>J163-VLOOKUP(K163,'Bag weights'!D$2:E$6,2,FALSE)</f>
        <v>#N/A</v>
      </c>
      <c r="M163" s="28">
        <v>4.18</v>
      </c>
      <c r="N163" s="95"/>
      <c r="O163" t="e">
        <f>M163-VLOOKUP(N163,'Bag weights'!A$2:B$6,2,FALSE)</f>
        <v>#N/A</v>
      </c>
      <c r="R163" t="e">
        <f>P163-VLOOKUP(Q163,'Bag weights'!A$2:B$6,2,FALSE)</f>
        <v>#N/A</v>
      </c>
      <c r="S163" s="28">
        <v>4.03</v>
      </c>
      <c r="U163" t="e">
        <f>S163- VLOOKUP(T163,'Bag weights'!A$2:B$6,2,FALSE)</f>
        <v>#N/A</v>
      </c>
      <c r="X163" t="e">
        <f>V163-VLOOKUP(W163,'Bag weights'!A$2:B$6,2,FALSE)</f>
        <v>#N/A</v>
      </c>
      <c r="Y163" s="28">
        <v>1.83</v>
      </c>
      <c r="AA163" t="e">
        <f>Y163-VLOOKUP(Z163,'Bag weights'!A$2:B$6,2,FALSE)</f>
        <v>#N/A</v>
      </c>
      <c r="AB163" s="28">
        <v>2.85</v>
      </c>
      <c r="AD163" t="e">
        <f>AB163-VLOOKUP(AC163,'Bag weights'!A$2:B$6,2,FALSE)</f>
        <v>#N/A</v>
      </c>
      <c r="AE163" s="28">
        <v>1.1399999999999999</v>
      </c>
      <c r="AG163" t="e">
        <f>AE163-VLOOKUP(AF163,'Bag weights'!A$2:B$6,2,FALSE)</f>
        <v>#N/A</v>
      </c>
      <c r="AH163" s="28">
        <v>10.34</v>
      </c>
      <c r="AJ163" t="e">
        <f>AH163-VLOOKUP(AI163,'Bag weights'!A$2:B$6,2,FALSE)</f>
        <v>#N/A</v>
      </c>
      <c r="AK163" s="28">
        <v>56.47</v>
      </c>
      <c r="AL163" s="28" t="s">
        <v>284</v>
      </c>
      <c r="AM163">
        <f>AK163-VLOOKUP(AL163,'Bag weights'!A$2:B$6,2,FALSE)</f>
        <v>35.519999999999996</v>
      </c>
      <c r="AN163" s="28">
        <v>3.12</v>
      </c>
      <c r="AP163" t="e">
        <f>AN163-VLOOKUP(AO163,'Bag weights'!A$2:B$6,2,FALSE)</f>
        <v>#N/A</v>
      </c>
      <c r="AS163" t="e">
        <f>AQ163-VLOOKUP(AR163,'Bag weights'!A$2:B$6,2,FALSE)</f>
        <v>#N/A</v>
      </c>
      <c r="AT163" s="28">
        <v>0.97</v>
      </c>
      <c r="AV163" t="e">
        <f>AT163-VLOOKUP(AU163,'Bag weights'!A$2:B$6,2,FALSE)</f>
        <v>#N/A</v>
      </c>
      <c r="AW163" t="e">
        <f t="shared" si="4"/>
        <v>#N/A</v>
      </c>
      <c r="BC163" s="92">
        <v>8.8000000000000007</v>
      </c>
      <c r="BG163" s="108">
        <v>3.01</v>
      </c>
    </row>
    <row r="164" spans="1:59">
      <c r="A164" s="70"/>
      <c r="B164" s="70"/>
      <c r="C164" s="70">
        <v>3</v>
      </c>
      <c r="D164" s="70" t="s">
        <v>96</v>
      </c>
      <c r="E164" s="1"/>
      <c r="F164" s="1"/>
      <c r="G164" s="28">
        <v>1.42</v>
      </c>
      <c r="I164" t="e">
        <f>G164-VLOOKUP(H164,'Bag weights'!A$2:B$6,2,FALSE)</f>
        <v>#N/A</v>
      </c>
      <c r="L164" t="e">
        <f>J164-VLOOKUP(K164,'Bag weights'!D$2:E$6,2,FALSE)</f>
        <v>#N/A</v>
      </c>
      <c r="M164" s="28">
        <v>11.17</v>
      </c>
      <c r="N164" s="87" t="s">
        <v>287</v>
      </c>
      <c r="O164">
        <f>M164-VLOOKUP(N164,'Bag weights'!A$2:B$6,2,FALSE)</f>
        <v>3.34</v>
      </c>
      <c r="R164" t="e">
        <f>P164-VLOOKUP(Q164,'Bag weights'!A$2:B$6,2,FALSE)</f>
        <v>#N/A</v>
      </c>
      <c r="S164" s="28">
        <v>11.4</v>
      </c>
      <c r="T164" s="28" t="s">
        <v>287</v>
      </c>
      <c r="U164">
        <f>S164- VLOOKUP(T164,'Bag weights'!A$2:B$6,2,FALSE)</f>
        <v>3.5700000000000003</v>
      </c>
      <c r="X164" t="e">
        <f>V164-VLOOKUP(W164,'Bag weights'!A$2:B$6,2,FALSE)</f>
        <v>#N/A</v>
      </c>
      <c r="Y164" s="28">
        <v>26.14</v>
      </c>
      <c r="Z164" s="28" t="s">
        <v>287</v>
      </c>
      <c r="AA164">
        <f>Y164-VLOOKUP(Z164,'Bag weights'!A$2:B$6,2,FALSE)</f>
        <v>18.310000000000002</v>
      </c>
      <c r="AB164" s="28">
        <v>20.62</v>
      </c>
      <c r="AC164" s="28" t="s">
        <v>287</v>
      </c>
      <c r="AD164">
        <f>AB164-VLOOKUP(AC164,'Bag weights'!A$2:B$6,2,FALSE)</f>
        <v>12.790000000000001</v>
      </c>
      <c r="AG164" t="e">
        <f>AE164-VLOOKUP(AF164,'Bag weights'!A$2:B$6,2,FALSE)</f>
        <v>#N/A</v>
      </c>
      <c r="AH164" s="28">
        <v>17.260000000000002</v>
      </c>
      <c r="AI164" s="28" t="s">
        <v>287</v>
      </c>
      <c r="AJ164">
        <f>AH164-VLOOKUP(AI164,'Bag weights'!A$2:B$6,2,FALSE)</f>
        <v>9.4300000000000015</v>
      </c>
      <c r="AK164" s="28">
        <v>43.22</v>
      </c>
      <c r="AM164" t="e">
        <f>AK164-VLOOKUP(AL164,'Bag weights'!A$2:B$6,2,FALSE)</f>
        <v>#N/A</v>
      </c>
      <c r="AN164" s="28">
        <v>1.64</v>
      </c>
      <c r="AP164" t="e">
        <f>AN164-VLOOKUP(AO164,'Bag weights'!A$2:B$6,2,FALSE)</f>
        <v>#N/A</v>
      </c>
      <c r="AS164" t="e">
        <f>AQ164-VLOOKUP(AR164,'Bag weights'!A$2:B$6,2,FALSE)</f>
        <v>#N/A</v>
      </c>
      <c r="AT164" s="28">
        <v>0.82</v>
      </c>
      <c r="AV164" t="e">
        <f>AT164-VLOOKUP(AU164,'Bag weights'!A$2:B$6,2,FALSE)</f>
        <v>#N/A</v>
      </c>
      <c r="AW164" t="e">
        <f t="shared" si="4"/>
        <v>#N/A</v>
      </c>
      <c r="BC164" s="92">
        <v>10.3</v>
      </c>
      <c r="BG164" s="108">
        <v>2.92</v>
      </c>
    </row>
    <row r="165" spans="1:59">
      <c r="A165" s="70"/>
      <c r="B165" s="70"/>
      <c r="C165" s="70">
        <v>3</v>
      </c>
      <c r="D165" s="70" t="s">
        <v>39</v>
      </c>
      <c r="E165" s="1"/>
      <c r="F165" s="1"/>
      <c r="G165" s="28">
        <v>0.94</v>
      </c>
      <c r="I165" t="e">
        <f>G165-VLOOKUP(H165,'Bag weights'!A$2:B$6,2,FALSE)</f>
        <v>#N/A</v>
      </c>
      <c r="L165" t="e">
        <f>J165-VLOOKUP(K165,'Bag weights'!D$2:E$6,2,FALSE)</f>
        <v>#N/A</v>
      </c>
      <c r="M165" s="28">
        <v>5.22</v>
      </c>
      <c r="N165" s="95"/>
      <c r="O165" t="e">
        <f>M165-VLOOKUP(N165,'Bag weights'!A$2:B$6,2,FALSE)</f>
        <v>#N/A</v>
      </c>
      <c r="R165" t="e">
        <f>P165-VLOOKUP(Q165,'Bag weights'!A$2:B$6,2,FALSE)</f>
        <v>#N/A</v>
      </c>
      <c r="S165" s="28">
        <v>1.1299999999999999</v>
      </c>
      <c r="U165" t="e">
        <f>S165- VLOOKUP(T165,'Bag weights'!A$2:B$6,2,FALSE)</f>
        <v>#N/A</v>
      </c>
      <c r="V165" s="28">
        <v>0.13</v>
      </c>
      <c r="X165" t="e">
        <f>V165-VLOOKUP(W165,'Bag weights'!A$2:B$6,2,FALSE)</f>
        <v>#N/A</v>
      </c>
      <c r="Y165" s="28">
        <v>3.63</v>
      </c>
      <c r="AA165" t="e">
        <f>Y165-VLOOKUP(Z165,'Bag weights'!A$2:B$6,2,FALSE)</f>
        <v>#N/A</v>
      </c>
      <c r="AB165" s="28">
        <v>9.32</v>
      </c>
      <c r="AD165" t="e">
        <f>AB165-VLOOKUP(AC165,'Bag weights'!A$2:B$6,2,FALSE)</f>
        <v>#N/A</v>
      </c>
      <c r="AG165" t="e">
        <f>AE165-VLOOKUP(AF165,'Bag weights'!A$2:B$6,2,FALSE)</f>
        <v>#N/A</v>
      </c>
      <c r="AH165" s="28">
        <v>7.72</v>
      </c>
      <c r="AJ165" t="e">
        <f>AH165-VLOOKUP(AI165,'Bag weights'!A$2:B$6,2,FALSE)</f>
        <v>#N/A</v>
      </c>
      <c r="AK165" s="28">
        <v>60.3</v>
      </c>
      <c r="AL165" s="28" t="s">
        <v>284</v>
      </c>
      <c r="AM165">
        <f>AK165-VLOOKUP(AL165,'Bag weights'!A$2:B$6,2,FALSE)</f>
        <v>39.349999999999994</v>
      </c>
      <c r="AN165" s="28">
        <v>1.79</v>
      </c>
      <c r="AP165" t="e">
        <f>AN165-VLOOKUP(AO165,'Bag weights'!A$2:B$6,2,FALSE)</f>
        <v>#N/A</v>
      </c>
      <c r="AS165" t="e">
        <f>AQ165-VLOOKUP(AR165,'Bag weights'!A$2:B$6,2,FALSE)</f>
        <v>#N/A</v>
      </c>
      <c r="AT165" s="28">
        <v>0.77</v>
      </c>
      <c r="AV165" t="e">
        <f>AT165-VLOOKUP(AU165,'Bag weights'!A$2:B$6,2,FALSE)</f>
        <v>#N/A</v>
      </c>
      <c r="AW165" t="e">
        <f t="shared" si="4"/>
        <v>#N/A</v>
      </c>
      <c r="AX165" s="28" t="s">
        <v>342</v>
      </c>
      <c r="BC165" s="92">
        <v>11.2</v>
      </c>
      <c r="BG165" s="108">
        <v>1.57</v>
      </c>
    </row>
    <row r="166" spans="1:59">
      <c r="A166" s="70"/>
      <c r="B166" s="70"/>
      <c r="C166" s="70">
        <v>4</v>
      </c>
      <c r="D166" s="70" t="s">
        <v>94</v>
      </c>
      <c r="E166" s="1"/>
      <c r="F166" s="1"/>
      <c r="G166" s="28">
        <v>1.03</v>
      </c>
      <c r="I166" t="e">
        <f>G166-VLOOKUP(H166,'Bag weights'!A$2:B$6,2,FALSE)</f>
        <v>#N/A</v>
      </c>
      <c r="L166" t="e">
        <f>J166-VLOOKUP(K166,'Bag weights'!D$2:E$6,2,FALSE)</f>
        <v>#N/A</v>
      </c>
      <c r="M166" s="28">
        <v>0.19</v>
      </c>
      <c r="N166" s="95"/>
      <c r="O166" t="e">
        <f>M166-VLOOKUP(N166,'Bag weights'!A$2:B$6,2,FALSE)</f>
        <v>#N/A</v>
      </c>
      <c r="R166" t="e">
        <f>P166-VLOOKUP(Q166,'Bag weights'!A$2:B$6,2,FALSE)</f>
        <v>#N/A</v>
      </c>
      <c r="S166" s="28">
        <v>11.41</v>
      </c>
      <c r="T166" s="28" t="s">
        <v>287</v>
      </c>
      <c r="U166">
        <f>S166- VLOOKUP(T166,'Bag weights'!A$2:B$6,2,FALSE)</f>
        <v>3.58</v>
      </c>
      <c r="V166" s="28">
        <v>0.18</v>
      </c>
      <c r="X166" t="e">
        <f>V166-VLOOKUP(W166,'Bag weights'!A$2:B$6,2,FALSE)</f>
        <v>#N/A</v>
      </c>
      <c r="Y166" s="28">
        <v>9.41</v>
      </c>
      <c r="Z166" s="28" t="s">
        <v>287</v>
      </c>
      <c r="AA166">
        <f>Y166-VLOOKUP(Z166,'Bag weights'!A$2:B$6,2,FALSE)</f>
        <v>1.58</v>
      </c>
      <c r="AB166" s="28">
        <v>17.989999999999998</v>
      </c>
      <c r="AC166" s="28" t="s">
        <v>287</v>
      </c>
      <c r="AD166">
        <f>AB166-VLOOKUP(AC166,'Bag weights'!A$2:B$6,2,FALSE)</f>
        <v>10.159999999999998</v>
      </c>
      <c r="AE166" s="28">
        <v>0.13</v>
      </c>
      <c r="AG166" t="e">
        <f>AE166-VLOOKUP(AF166,'Bag weights'!A$2:B$6,2,FALSE)</f>
        <v>#N/A</v>
      </c>
      <c r="AH166" s="28">
        <v>23.19</v>
      </c>
      <c r="AI166" s="28" t="s">
        <v>287</v>
      </c>
      <c r="AJ166">
        <f>AH166-VLOOKUP(AI166,'Bag weights'!A$2:B$6,2,FALSE)</f>
        <v>15.360000000000001</v>
      </c>
      <c r="AK166" s="28">
        <v>65.64</v>
      </c>
      <c r="AL166" s="28" t="s">
        <v>284</v>
      </c>
      <c r="AM166">
        <f>AK166-VLOOKUP(AL166,'Bag weights'!A$2:B$6,2,FALSE)</f>
        <v>44.69</v>
      </c>
      <c r="AN166" s="28">
        <v>2.2400000000000002</v>
      </c>
      <c r="AP166" t="e">
        <f>AN166-VLOOKUP(AO166,'Bag weights'!A$2:B$6,2,FALSE)</f>
        <v>#N/A</v>
      </c>
      <c r="AS166" t="e">
        <f>AQ166-VLOOKUP(AR166,'Bag weights'!A$2:B$6,2,FALSE)</f>
        <v>#N/A</v>
      </c>
      <c r="AT166" s="28">
        <v>1.28</v>
      </c>
      <c r="AV166" t="e">
        <f>AT166-VLOOKUP(AU166,'Bag weights'!A$2:B$6,2,FALSE)</f>
        <v>#N/A</v>
      </c>
      <c r="AW166" t="e">
        <f t="shared" si="4"/>
        <v>#N/A</v>
      </c>
      <c r="BC166" s="92">
        <v>22</v>
      </c>
    </row>
    <row r="167" spans="1:59">
      <c r="A167" s="70"/>
      <c r="B167" s="70"/>
      <c r="C167" s="70">
        <v>4</v>
      </c>
      <c r="D167" s="70" t="s">
        <v>107</v>
      </c>
      <c r="E167" s="1"/>
      <c r="F167" s="1"/>
      <c r="G167" s="28">
        <v>0.26</v>
      </c>
      <c r="I167" t="e">
        <f>G167-VLOOKUP(H167,'Bag weights'!A$2:B$6,2,FALSE)</f>
        <v>#N/A</v>
      </c>
      <c r="L167" t="e">
        <f>J167-VLOOKUP(K167,'Bag weights'!D$2:E$6,2,FALSE)</f>
        <v>#N/A</v>
      </c>
      <c r="N167" s="95"/>
      <c r="O167" t="e">
        <f>M167-VLOOKUP(N167,'Bag weights'!A$2:B$6,2,FALSE)</f>
        <v>#N/A</v>
      </c>
      <c r="R167" t="e">
        <f>P167-VLOOKUP(Q167,'Bag weights'!A$2:B$6,2,FALSE)</f>
        <v>#N/A</v>
      </c>
      <c r="S167" s="28">
        <v>10.49</v>
      </c>
      <c r="T167" s="28" t="s">
        <v>287</v>
      </c>
      <c r="U167">
        <f>S167- VLOOKUP(T167,'Bag weights'!A$2:B$6,2,FALSE)</f>
        <v>2.66</v>
      </c>
      <c r="X167" t="e">
        <f>V167-VLOOKUP(W167,'Bag weights'!A$2:B$6,2,FALSE)</f>
        <v>#N/A</v>
      </c>
      <c r="Y167" s="28">
        <v>8.02</v>
      </c>
      <c r="Z167" s="28" t="s">
        <v>287</v>
      </c>
      <c r="AA167">
        <f>Y167-VLOOKUP(Z167,'Bag weights'!A$2:B$6,2,FALSE)</f>
        <v>0.1899999999999995</v>
      </c>
      <c r="AB167" s="28">
        <v>18.010000000000002</v>
      </c>
      <c r="AC167" s="28" t="s">
        <v>287</v>
      </c>
      <c r="AD167">
        <f>AB167-VLOOKUP(AC167,'Bag weights'!A$2:B$6,2,FALSE)</f>
        <v>10.180000000000001</v>
      </c>
      <c r="AG167" t="e">
        <f>AE167-VLOOKUP(AF167,'Bag weights'!A$2:B$6,2,FALSE)</f>
        <v>#N/A</v>
      </c>
      <c r="AH167" s="28">
        <v>13.95</v>
      </c>
      <c r="AI167" s="28" t="s">
        <v>287</v>
      </c>
      <c r="AJ167">
        <f>AH167-VLOOKUP(AI167,'Bag weights'!A$2:B$6,2,FALSE)</f>
        <v>6.1199999999999992</v>
      </c>
      <c r="AK167" s="28">
        <v>67.94</v>
      </c>
      <c r="AL167" s="28" t="s">
        <v>284</v>
      </c>
      <c r="AM167">
        <f>AK167-VLOOKUP(AL167,'Bag weights'!A$2:B$6,2,FALSE)</f>
        <v>46.989999999999995</v>
      </c>
      <c r="AN167" s="28">
        <v>5.57</v>
      </c>
      <c r="AP167" t="e">
        <f>AN167-VLOOKUP(AO167,'Bag weights'!A$2:B$6,2,FALSE)</f>
        <v>#N/A</v>
      </c>
      <c r="AS167" t="e">
        <f>AQ167-VLOOKUP(AR167,'Bag weights'!A$2:B$6,2,FALSE)</f>
        <v>#N/A</v>
      </c>
      <c r="AT167" s="28">
        <v>0.69</v>
      </c>
      <c r="AV167" t="e">
        <f>AT167-VLOOKUP(AU167,'Bag weights'!A$2:B$6,2,FALSE)</f>
        <v>#N/A</v>
      </c>
      <c r="AW167" t="e">
        <f t="shared" si="4"/>
        <v>#N/A</v>
      </c>
      <c r="BC167" s="92">
        <v>23.9</v>
      </c>
    </row>
    <row r="168" spans="1:59">
      <c r="A168" s="70"/>
      <c r="B168" s="70"/>
      <c r="C168" s="70">
        <v>4</v>
      </c>
      <c r="D168" s="70" t="s">
        <v>108</v>
      </c>
      <c r="E168" s="1"/>
      <c r="F168" s="1"/>
      <c r="G168" s="28">
        <v>1.87</v>
      </c>
      <c r="I168" t="e">
        <f>G168-VLOOKUP(H168,'Bag weights'!A$2:B$6,2,FALSE)</f>
        <v>#N/A</v>
      </c>
      <c r="L168" t="e">
        <f>J168-VLOOKUP(K168,'Bag weights'!D$2:E$6,2,FALSE)</f>
        <v>#N/A</v>
      </c>
      <c r="N168" s="95"/>
      <c r="O168" t="e">
        <f>M168-VLOOKUP(N168,'Bag weights'!A$2:B$6,2,FALSE)</f>
        <v>#N/A</v>
      </c>
      <c r="R168" t="e">
        <f>P168-VLOOKUP(Q168,'Bag weights'!A$2:B$6,2,FALSE)</f>
        <v>#N/A</v>
      </c>
      <c r="S168" s="28">
        <v>2.4500000000000002</v>
      </c>
      <c r="U168" t="e">
        <f>S168- VLOOKUP(T168,'Bag weights'!A$2:B$6,2,FALSE)</f>
        <v>#N/A</v>
      </c>
      <c r="V168" s="28">
        <v>0.25</v>
      </c>
      <c r="X168" t="e">
        <f>V168-VLOOKUP(W168,'Bag weights'!A$2:B$6,2,FALSE)</f>
        <v>#N/A</v>
      </c>
      <c r="Y168" s="28">
        <v>3.98</v>
      </c>
      <c r="AA168" t="e">
        <f>Y168-VLOOKUP(Z168,'Bag weights'!A$2:B$6,2,FALSE)</f>
        <v>#N/A</v>
      </c>
      <c r="AB168" s="28">
        <v>6.01</v>
      </c>
      <c r="AD168" t="e">
        <f>AB168-VLOOKUP(AC168,'Bag weights'!A$2:B$6,2,FALSE)</f>
        <v>#N/A</v>
      </c>
      <c r="AE168" s="28">
        <v>0.96</v>
      </c>
      <c r="AG168" t="e">
        <f>AE168-VLOOKUP(AF168,'Bag weights'!A$2:B$6,2,FALSE)</f>
        <v>#N/A</v>
      </c>
      <c r="AH168" s="28">
        <v>1.91</v>
      </c>
      <c r="AJ168" t="e">
        <f>AH168-VLOOKUP(AI168,'Bag weights'!A$2:B$6,2,FALSE)</f>
        <v>#N/A</v>
      </c>
      <c r="AK168" s="28">
        <v>52.61</v>
      </c>
      <c r="AM168" t="e">
        <f>AK168-VLOOKUP(AL168,'Bag weights'!A$2:B$6,2,FALSE)</f>
        <v>#N/A</v>
      </c>
      <c r="AN168" s="28">
        <v>2.81</v>
      </c>
      <c r="AP168" t="e">
        <f>AN168-VLOOKUP(AO168,'Bag weights'!A$2:B$6,2,FALSE)</f>
        <v>#N/A</v>
      </c>
      <c r="AS168" t="e">
        <f>AQ168-VLOOKUP(AR168,'Bag weights'!A$2:B$6,2,FALSE)</f>
        <v>#N/A</v>
      </c>
      <c r="AT168" s="28">
        <v>0.28999999999999998</v>
      </c>
      <c r="AV168" t="e">
        <f>AT168-VLOOKUP(AU168,'Bag weights'!A$2:B$6,2,FALSE)</f>
        <v>#N/A</v>
      </c>
      <c r="AW168" t="e">
        <f t="shared" si="4"/>
        <v>#N/A</v>
      </c>
      <c r="AX168" s="28" t="s">
        <v>343</v>
      </c>
      <c r="BC168" s="92">
        <v>20.100000000000001</v>
      </c>
    </row>
    <row r="169" spans="1:59">
      <c r="A169" s="70"/>
      <c r="B169" s="70"/>
      <c r="C169" s="70">
        <v>4</v>
      </c>
      <c r="D169" s="70" t="s">
        <v>96</v>
      </c>
      <c r="E169" s="1"/>
      <c r="F169" s="1"/>
      <c r="G169" s="28">
        <v>13.82</v>
      </c>
      <c r="H169" s="28" t="s">
        <v>287</v>
      </c>
      <c r="I169">
        <f>G169-VLOOKUP(H169,'Bag weights'!A$2:B$6,2,FALSE)</f>
        <v>5.99</v>
      </c>
      <c r="L169" t="e">
        <f>J169-VLOOKUP(K169,'Bag weights'!D$2:E$6,2,FALSE)</f>
        <v>#N/A</v>
      </c>
      <c r="N169" s="95"/>
      <c r="O169" t="e">
        <f>M169-VLOOKUP(N169,'Bag weights'!A$2:B$6,2,FALSE)</f>
        <v>#N/A</v>
      </c>
      <c r="R169" t="e">
        <f>P169-VLOOKUP(Q169,'Bag weights'!A$2:B$6,2,FALSE)</f>
        <v>#N/A</v>
      </c>
      <c r="S169" s="28">
        <v>10.35</v>
      </c>
      <c r="T169" s="28" t="s">
        <v>287</v>
      </c>
      <c r="U169">
        <f>S169- VLOOKUP(T169,'Bag weights'!A$2:B$6,2,FALSE)</f>
        <v>2.5199999999999996</v>
      </c>
      <c r="V169" s="28">
        <v>0.1</v>
      </c>
      <c r="X169" t="e">
        <f>V169-VLOOKUP(W169,'Bag weights'!A$2:B$6,2,FALSE)</f>
        <v>#N/A</v>
      </c>
      <c r="Y169" s="28">
        <v>22.23</v>
      </c>
      <c r="Z169" s="28" t="s">
        <v>284</v>
      </c>
      <c r="AA169">
        <f>Y169-VLOOKUP(Z169,'Bag weights'!A$2:B$6,2,FALSE)</f>
        <v>1.2800000000000011</v>
      </c>
      <c r="AB169" s="28">
        <v>28.81</v>
      </c>
      <c r="AC169" s="28" t="s">
        <v>284</v>
      </c>
      <c r="AD169">
        <f>AB169-VLOOKUP(AC169,'Bag weights'!A$2:B$6,2,FALSE)</f>
        <v>7.8599999999999994</v>
      </c>
      <c r="AE169" s="28">
        <v>0.7</v>
      </c>
      <c r="AG169" t="e">
        <f>AE169-VLOOKUP(AF169,'Bag weights'!A$2:B$6,2,FALSE)</f>
        <v>#N/A</v>
      </c>
      <c r="AH169" s="28">
        <v>9.92</v>
      </c>
      <c r="AI169" s="28" t="s">
        <v>287</v>
      </c>
      <c r="AJ169">
        <f>AH169-VLOOKUP(AI169,'Bag weights'!A$2:B$6,2,FALSE)</f>
        <v>2.09</v>
      </c>
      <c r="AK169" s="28">
        <v>58.25</v>
      </c>
      <c r="AL169" s="28" t="s">
        <v>284</v>
      </c>
      <c r="AM169">
        <f>AK169-VLOOKUP(AL169,'Bag weights'!A$2:B$6,2,FALSE)</f>
        <v>37.299999999999997</v>
      </c>
      <c r="AN169" s="28">
        <v>4.32</v>
      </c>
      <c r="AP169" t="e">
        <f>AN169-VLOOKUP(AO169,'Bag weights'!A$2:B$6,2,FALSE)</f>
        <v>#N/A</v>
      </c>
      <c r="AS169" t="e">
        <f>AQ169-VLOOKUP(AR169,'Bag weights'!A$2:B$6,2,FALSE)</f>
        <v>#N/A</v>
      </c>
      <c r="AT169" s="28">
        <v>0.64</v>
      </c>
      <c r="AV169" t="e">
        <f>AT169-VLOOKUP(AU169,'Bag weights'!A$2:B$6,2,FALSE)</f>
        <v>#N/A</v>
      </c>
      <c r="AW169" t="e">
        <f t="shared" si="4"/>
        <v>#N/A</v>
      </c>
      <c r="AX169" s="28" t="s">
        <v>344</v>
      </c>
      <c r="BC169" s="92">
        <v>20.399999999999999</v>
      </c>
      <c r="BG169" s="108">
        <v>4.34</v>
      </c>
    </row>
    <row r="170" spans="1:59">
      <c r="A170" s="70"/>
      <c r="B170" s="70"/>
      <c r="C170" s="70">
        <v>4</v>
      </c>
      <c r="D170" s="70" t="s">
        <v>39</v>
      </c>
      <c r="E170" s="1"/>
      <c r="F170" s="1"/>
      <c r="G170" s="28">
        <v>0.88</v>
      </c>
      <c r="I170" t="e">
        <f>G170-VLOOKUP(H170,'Bag weights'!A$2:B$6,2,FALSE)</f>
        <v>#N/A</v>
      </c>
      <c r="L170" t="e">
        <f>J170-VLOOKUP(K170,'Bag weights'!D$2:E$6,2,FALSE)</f>
        <v>#N/A</v>
      </c>
      <c r="N170" s="95"/>
      <c r="O170" t="e">
        <f>M170-VLOOKUP(N170,'Bag weights'!A$2:B$6,2,FALSE)</f>
        <v>#N/A</v>
      </c>
      <c r="R170" t="e">
        <f>P170-VLOOKUP(Q170,'Bag weights'!A$2:B$6,2,FALSE)</f>
        <v>#N/A</v>
      </c>
      <c r="S170" s="28">
        <v>13.56</v>
      </c>
      <c r="T170" s="28" t="s">
        <v>287</v>
      </c>
      <c r="U170">
        <f>S170- VLOOKUP(T170,'Bag weights'!A$2:B$6,2,FALSE)</f>
        <v>5.73</v>
      </c>
      <c r="V170" s="28">
        <v>0.01</v>
      </c>
      <c r="X170" t="e">
        <f>V170-VLOOKUP(W170,'Bag weights'!A$2:B$6,2,FALSE)</f>
        <v>#N/A</v>
      </c>
      <c r="Y170" s="28">
        <v>1.02</v>
      </c>
      <c r="AA170" t="e">
        <f>Y170-VLOOKUP(Z170,'Bag weights'!A$2:B$6,2,FALSE)</f>
        <v>#N/A</v>
      </c>
      <c r="AB170" s="28">
        <v>38.979999999999997</v>
      </c>
      <c r="AC170" s="28" t="s">
        <v>284</v>
      </c>
      <c r="AD170">
        <f>AB170-VLOOKUP(AC170,'Bag weights'!A$2:B$6,2,FALSE)</f>
        <v>18.029999999999998</v>
      </c>
      <c r="AE170" s="28">
        <v>0.36</v>
      </c>
      <c r="AG170" t="e">
        <f>AE170-VLOOKUP(AF170,'Bag weights'!A$2:B$6,2,FALSE)</f>
        <v>#N/A</v>
      </c>
      <c r="AH170" s="28">
        <v>15.79</v>
      </c>
      <c r="AI170" s="28" t="s">
        <v>287</v>
      </c>
      <c r="AJ170">
        <f>AH170-VLOOKUP(AI170,'Bag weights'!A$2:B$6,2,FALSE)</f>
        <v>7.9599999999999991</v>
      </c>
      <c r="AK170" s="28">
        <v>51.52</v>
      </c>
      <c r="AL170" s="28" t="s">
        <v>284</v>
      </c>
      <c r="AM170">
        <f>AK170-VLOOKUP(AL170,'Bag weights'!A$2:B$6,2,FALSE)</f>
        <v>30.570000000000004</v>
      </c>
      <c r="AN170" s="28">
        <v>3.5</v>
      </c>
      <c r="AP170" t="e">
        <f>AN170-VLOOKUP(AO170,'Bag weights'!A$2:B$6,2,FALSE)</f>
        <v>#N/A</v>
      </c>
      <c r="AS170" t="e">
        <f>AQ170-VLOOKUP(AR170,'Bag weights'!A$2:B$6,2,FALSE)</f>
        <v>#N/A</v>
      </c>
      <c r="AV170" t="e">
        <f>AT170-VLOOKUP(AU170,'Bag weights'!A$2:B$6,2,FALSE)</f>
        <v>#N/A</v>
      </c>
      <c r="AW170" t="e">
        <f t="shared" si="4"/>
        <v>#N/A</v>
      </c>
      <c r="AX170" s="28" t="s">
        <v>345</v>
      </c>
      <c r="BC170" s="92">
        <v>22.6</v>
      </c>
      <c r="BG170" s="108">
        <v>1.28</v>
      </c>
    </row>
    <row r="171" spans="1:59">
      <c r="A171" s="70" t="s">
        <v>103</v>
      </c>
      <c r="B171" s="70" t="s">
        <v>110</v>
      </c>
      <c r="C171" s="70">
        <v>1</v>
      </c>
      <c r="D171" s="70" t="s">
        <v>94</v>
      </c>
      <c r="E171" s="1"/>
      <c r="F171" s="1"/>
      <c r="G171" s="28">
        <v>9.35</v>
      </c>
      <c r="I171" t="e">
        <f>G171-VLOOKUP(H171,'Bag weights'!A$2:B$6,2,FALSE)</f>
        <v>#N/A</v>
      </c>
      <c r="L171" t="e">
        <f>J171-VLOOKUP(K171,'Bag weights'!D$2:E$6,2,FALSE)</f>
        <v>#N/A</v>
      </c>
      <c r="N171" s="95"/>
      <c r="O171" t="e">
        <f>M171-VLOOKUP(N171,'Bag weights'!A$2:B$6,2,FALSE)</f>
        <v>#N/A</v>
      </c>
      <c r="R171" t="e">
        <f>P171-VLOOKUP(Q171,'Bag weights'!A$2:B$6,2,FALSE)</f>
        <v>#N/A</v>
      </c>
      <c r="S171" s="28">
        <v>12.6</v>
      </c>
      <c r="T171" s="28" t="s">
        <v>287</v>
      </c>
      <c r="U171">
        <f>S171- VLOOKUP(T171,'Bag weights'!A$2:B$6,2,FALSE)</f>
        <v>4.7699999999999996</v>
      </c>
      <c r="X171" t="e">
        <f>V171-VLOOKUP(W171,'Bag weights'!A$2:B$6,2,FALSE)</f>
        <v>#N/A</v>
      </c>
      <c r="Y171" s="28">
        <v>10.24</v>
      </c>
      <c r="Z171" s="28" t="s">
        <v>287</v>
      </c>
      <c r="AA171">
        <f>Y171-VLOOKUP(Z171,'Bag weights'!A$2:B$6,2,FALSE)</f>
        <v>2.41</v>
      </c>
      <c r="AB171" s="28">
        <v>8.2899999999999991</v>
      </c>
      <c r="AC171" s="28" t="s">
        <v>287</v>
      </c>
      <c r="AD171">
        <f>AB171-VLOOKUP(AC171,'Bag weights'!A$2:B$6,2,FALSE)</f>
        <v>0.45999999999999908</v>
      </c>
      <c r="AG171" t="e">
        <f>AE171-VLOOKUP(AF171,'Bag weights'!A$2:B$6,2,FALSE)</f>
        <v>#N/A</v>
      </c>
      <c r="AH171" s="28">
        <v>12.32</v>
      </c>
      <c r="AI171" s="28" t="s">
        <v>287</v>
      </c>
      <c r="AJ171">
        <f>AH171-VLOOKUP(AI171,'Bag weights'!A$2:B$6,2,FALSE)</f>
        <v>4.49</v>
      </c>
      <c r="AK171" s="28">
        <v>43.7</v>
      </c>
      <c r="AL171" s="28" t="s">
        <v>287</v>
      </c>
      <c r="AM171">
        <f>AK171-VLOOKUP(AL171,'Bag weights'!A$2:B$6,2,FALSE)</f>
        <v>35.870000000000005</v>
      </c>
      <c r="AN171" s="28">
        <v>11.55</v>
      </c>
      <c r="AO171" s="28" t="s">
        <v>287</v>
      </c>
      <c r="AP171">
        <f>AN171-VLOOKUP(AO171,'Bag weights'!A$2:B$6,2,FALSE)</f>
        <v>3.7200000000000006</v>
      </c>
      <c r="AS171" t="e">
        <f>AQ171-VLOOKUP(AR171,'Bag weights'!A$2:B$6,2,FALSE)</f>
        <v>#N/A</v>
      </c>
      <c r="AT171" s="28">
        <v>1.62</v>
      </c>
      <c r="AU171" s="28" t="s">
        <v>289</v>
      </c>
      <c r="AV171">
        <f>AT171-VLOOKUP(AU171,'Bag weights'!A$2:B$6,2,FALSE)</f>
        <v>0.13000000000000012</v>
      </c>
      <c r="AW171" t="e">
        <f t="shared" si="4"/>
        <v>#N/A</v>
      </c>
      <c r="BC171" s="92">
        <v>9.9</v>
      </c>
      <c r="BG171" s="108">
        <v>1.22</v>
      </c>
    </row>
    <row r="172" spans="1:59">
      <c r="A172" s="75" t="s">
        <v>297</v>
      </c>
      <c r="B172" s="70"/>
      <c r="C172" s="70">
        <v>1</v>
      </c>
      <c r="D172" s="70" t="s">
        <v>95</v>
      </c>
      <c r="E172" s="1"/>
      <c r="F172" s="1"/>
      <c r="G172" s="28">
        <v>1.46</v>
      </c>
      <c r="I172" t="e">
        <f>G172-VLOOKUP(H172,'Bag weights'!A$2:B$6,2,FALSE)</f>
        <v>#N/A</v>
      </c>
      <c r="L172" t="e">
        <f>J172-VLOOKUP(K172,'Bag weights'!D$2:E$6,2,FALSE)</f>
        <v>#N/A</v>
      </c>
      <c r="N172" s="95"/>
      <c r="O172" t="e">
        <f>M172-VLOOKUP(N172,'Bag weights'!A$2:B$6,2,FALSE)</f>
        <v>#N/A</v>
      </c>
      <c r="R172" t="e">
        <f>P172-VLOOKUP(Q172,'Bag weights'!A$2:B$6,2,FALSE)</f>
        <v>#N/A</v>
      </c>
      <c r="S172" s="28">
        <v>15.8</v>
      </c>
      <c r="T172" s="28" t="s">
        <v>287</v>
      </c>
      <c r="U172">
        <f>S172- VLOOKUP(T172,'Bag weights'!A$2:B$6,2,FALSE)</f>
        <v>7.9700000000000006</v>
      </c>
      <c r="X172" t="e">
        <f>V172-VLOOKUP(W172,'Bag weights'!A$2:B$6,2,FALSE)</f>
        <v>#N/A</v>
      </c>
      <c r="AA172" t="e">
        <f>Y172-VLOOKUP(Z172,'Bag weights'!A$2:B$6,2,FALSE)</f>
        <v>#N/A</v>
      </c>
      <c r="AB172" s="28">
        <v>0.1</v>
      </c>
      <c r="AD172" t="e">
        <f>AB172-VLOOKUP(AC172,'Bag weights'!A$2:B$6,2,FALSE)</f>
        <v>#N/A</v>
      </c>
      <c r="AG172" t="e">
        <f>AE172-VLOOKUP(AF172,'Bag weights'!A$2:B$6,2,FALSE)</f>
        <v>#N/A</v>
      </c>
      <c r="AJ172" t="e">
        <f>AH172-VLOOKUP(AI172,'Bag weights'!A$2:B$6,2,FALSE)</f>
        <v>#N/A</v>
      </c>
      <c r="AK172" s="28">
        <v>61.4</v>
      </c>
      <c r="AL172" s="28" t="s">
        <v>284</v>
      </c>
      <c r="AM172">
        <f>AK172-VLOOKUP(AL172,'Bag weights'!A$2:B$6,2,FALSE)</f>
        <v>40.450000000000003</v>
      </c>
      <c r="AN172" s="28">
        <v>1.4</v>
      </c>
      <c r="AP172" t="e">
        <f>AN172-VLOOKUP(AO172,'Bag weights'!A$2:B$6,2,FALSE)</f>
        <v>#N/A</v>
      </c>
      <c r="AS172" t="e">
        <f>AQ172-VLOOKUP(AR172,'Bag weights'!A$2:B$6,2,FALSE)</f>
        <v>#N/A</v>
      </c>
      <c r="AT172" s="28">
        <v>4.08</v>
      </c>
      <c r="AV172" t="e">
        <f>AT172-VLOOKUP(AU172,'Bag weights'!A$2:B$6,2,FALSE)</f>
        <v>#N/A</v>
      </c>
      <c r="AW172" t="e">
        <f t="shared" si="4"/>
        <v>#N/A</v>
      </c>
      <c r="BC172" s="92">
        <v>15.8</v>
      </c>
      <c r="BG172" s="108">
        <v>0.96</v>
      </c>
    </row>
    <row r="173" spans="1:59">
      <c r="A173" s="70"/>
      <c r="B173" s="70"/>
      <c r="C173" s="70">
        <v>1</v>
      </c>
      <c r="D173" s="75" t="s">
        <v>96</v>
      </c>
      <c r="E173" s="13"/>
      <c r="F173" s="13"/>
      <c r="G173" s="28">
        <v>15.65</v>
      </c>
      <c r="I173" t="e">
        <f>G173-VLOOKUP(H173,'Bag weights'!A$2:B$6,2,FALSE)</f>
        <v>#N/A</v>
      </c>
      <c r="L173" t="e">
        <f>J173-VLOOKUP(K173,'Bag weights'!D$2:E$6,2,FALSE)</f>
        <v>#N/A</v>
      </c>
      <c r="N173" s="95"/>
      <c r="O173" t="e">
        <f>M173-VLOOKUP(N173,'Bag weights'!A$2:B$6,2,FALSE)</f>
        <v>#N/A</v>
      </c>
      <c r="R173" t="e">
        <f>P173-VLOOKUP(Q173,'Bag weights'!A$2:B$6,2,FALSE)</f>
        <v>#N/A</v>
      </c>
      <c r="S173" s="28">
        <v>9.0399999999999991</v>
      </c>
      <c r="T173" s="28" t="s">
        <v>287</v>
      </c>
      <c r="U173">
        <f>S173- VLOOKUP(T173,'Bag weights'!A$2:B$6,2,FALSE)</f>
        <v>1.2099999999999991</v>
      </c>
      <c r="X173" t="e">
        <f>V173-VLOOKUP(W173,'Bag weights'!A$2:B$6,2,FALSE)</f>
        <v>#N/A</v>
      </c>
      <c r="Y173" s="28">
        <v>1.55</v>
      </c>
      <c r="Z173" s="28" t="s">
        <v>289</v>
      </c>
      <c r="AB173" s="28">
        <v>53.41</v>
      </c>
      <c r="AC173" s="28" t="s">
        <v>287</v>
      </c>
      <c r="AD173">
        <f>AB173-VLOOKUP(AC173,'Bag weights'!A$2:B$6,2,FALSE)</f>
        <v>45.58</v>
      </c>
      <c r="AE173" s="28">
        <v>3.15</v>
      </c>
      <c r="AF173" s="28" t="s">
        <v>288</v>
      </c>
      <c r="AG173">
        <f>AE173-VLOOKUP(AF173,'Bag weights'!A$2:B$6,2,FALSE)</f>
        <v>0.6599999999999997</v>
      </c>
      <c r="AH173" s="28"/>
      <c r="AJ173" t="e">
        <f>AH173-VLOOKUP(AI173,'Bag weights'!A$2:B$6,2,FALSE)</f>
        <v>#N/A</v>
      </c>
      <c r="AK173" s="28">
        <v>33.15</v>
      </c>
      <c r="AL173" s="28" t="s">
        <v>287</v>
      </c>
      <c r="AM173">
        <f>AK173-VLOOKUP(AL173,'Bag weights'!A$2:B$6,2,FALSE)</f>
        <v>25.32</v>
      </c>
      <c r="AN173" s="28">
        <v>1.49</v>
      </c>
      <c r="AO173" s="28" t="s">
        <v>289</v>
      </c>
      <c r="AP173">
        <f>AN173-VLOOKUP(AO173,'Bag weights'!A$2:B$6,2,FALSE)</f>
        <v>0</v>
      </c>
      <c r="AS173" t="e">
        <f>AQ173-VLOOKUP(AR173,'Bag weights'!A$2:B$6,2,FALSE)</f>
        <v>#N/A</v>
      </c>
      <c r="AT173" s="28">
        <v>2.82</v>
      </c>
      <c r="AU173" s="28" t="s">
        <v>289</v>
      </c>
      <c r="AV173">
        <f>AT173-VLOOKUP(AU173,'Bag weights'!A$2:B$6,2,FALSE)</f>
        <v>1.3299999999999998</v>
      </c>
      <c r="AW173" t="e">
        <f t="shared" si="4"/>
        <v>#N/A</v>
      </c>
      <c r="BC173" s="92">
        <v>36.700000000000003</v>
      </c>
      <c r="BG173" s="108">
        <v>0.76</v>
      </c>
    </row>
    <row r="174" spans="1:59">
      <c r="A174" s="75" t="s">
        <v>298</v>
      </c>
      <c r="B174" s="70"/>
      <c r="C174" s="75">
        <v>1</v>
      </c>
      <c r="D174" s="75" t="s">
        <v>96</v>
      </c>
      <c r="E174" s="13"/>
      <c r="F174" s="13"/>
      <c r="I174" t="e">
        <f>G174-VLOOKUP(H174,'Bag weights'!A$2:B$6,2,FALSE)</f>
        <v>#N/A</v>
      </c>
      <c r="L174" t="e">
        <f>J174-VLOOKUP(K174,'Bag weights'!D$2:E$6,2,FALSE)</f>
        <v>#N/A</v>
      </c>
      <c r="N174" s="95"/>
      <c r="O174" t="e">
        <f>M174-VLOOKUP(N174,'Bag weights'!A$2:B$6,2,FALSE)</f>
        <v>#N/A</v>
      </c>
      <c r="R174" t="e">
        <f>P174-VLOOKUP(Q174,'Bag weights'!A$2:B$6,2,FALSE)</f>
        <v>#N/A</v>
      </c>
      <c r="S174" s="28">
        <v>27.97</v>
      </c>
      <c r="T174" s="28" t="s">
        <v>286</v>
      </c>
      <c r="U174">
        <f>S174- VLOOKUP(T174,'Bag weights'!A$2:B$6,2,FALSE)</f>
        <v>12.569999999999999</v>
      </c>
      <c r="X174" t="e">
        <f>V174-VLOOKUP(W174,'Bag weights'!A$2:B$6,2,FALSE)</f>
        <v>#N/A</v>
      </c>
      <c r="Y174" s="28">
        <v>0.92</v>
      </c>
      <c r="AA174" t="e">
        <f>Y174-VLOOKUP(Z174,'Bag weights'!A$2:B$6,2,FALSE)</f>
        <v>#N/A</v>
      </c>
      <c r="AB174" s="28">
        <v>1.66</v>
      </c>
      <c r="AD174" t="e">
        <f>AB174-VLOOKUP(AC174,'Bag weights'!A$2:B$6,2,FALSE)</f>
        <v>#N/A</v>
      </c>
      <c r="AG174" t="e">
        <f>AE174-VLOOKUP(AF174,'Bag weights'!A$2:B$6,2,FALSE)</f>
        <v>#N/A</v>
      </c>
      <c r="AH174" s="28"/>
      <c r="AJ174" t="e">
        <f>AH174-VLOOKUP(AI174,'Bag weights'!A$2:B$6,2,FALSE)</f>
        <v>#N/A</v>
      </c>
      <c r="AK174" s="28"/>
      <c r="AL174" s="28"/>
      <c r="AM174" t="e">
        <f>AK174-VLOOKUP(AL174,'Bag weights'!A$2:B$6,2,FALSE)</f>
        <v>#N/A</v>
      </c>
      <c r="AP174" t="e">
        <f>AN174-VLOOKUP(AO174,'Bag weights'!A$2:B$6,2,FALSE)</f>
        <v>#N/A</v>
      </c>
      <c r="AS174" t="e">
        <f>AQ174-VLOOKUP(AR174,'Bag weights'!A$2:B$6,2,FALSE)</f>
        <v>#N/A</v>
      </c>
      <c r="AV174" t="e">
        <f>AT174-VLOOKUP(AU174,'Bag weights'!A$2:B$6,2,FALSE)</f>
        <v>#N/A</v>
      </c>
      <c r="AW174" t="e">
        <f t="shared" si="4"/>
        <v>#N/A</v>
      </c>
      <c r="BG174" s="108"/>
    </row>
    <row r="175" spans="1:59">
      <c r="A175" s="70"/>
      <c r="B175" s="70"/>
      <c r="C175" s="70">
        <v>1</v>
      </c>
      <c r="D175" s="75" t="s">
        <v>39</v>
      </c>
      <c r="E175" s="13"/>
      <c r="F175" s="13"/>
      <c r="I175" t="e">
        <f>G175-VLOOKUP(H175,'Bag weights'!A$2:B$6,2,FALSE)</f>
        <v>#N/A</v>
      </c>
      <c r="L175" t="e">
        <f>J175-VLOOKUP(K175,'Bag weights'!D$2:E$6,2,FALSE)</f>
        <v>#N/A</v>
      </c>
      <c r="N175" s="95"/>
      <c r="O175" t="e">
        <f>M175-VLOOKUP(N175,'Bag weights'!A$2:B$6,2,FALSE)</f>
        <v>#N/A</v>
      </c>
      <c r="R175" t="e">
        <f>P175-VLOOKUP(Q175,'Bag weights'!A$2:B$6,2,FALSE)</f>
        <v>#N/A</v>
      </c>
      <c r="S175" s="28">
        <v>21.82</v>
      </c>
      <c r="T175" s="28" t="s">
        <v>287</v>
      </c>
      <c r="U175">
        <f>S175- VLOOKUP(T175,'Bag weights'!A$2:B$6,2,FALSE)</f>
        <v>13.99</v>
      </c>
      <c r="X175" t="e">
        <f>V175-VLOOKUP(W175,'Bag weights'!A$2:B$6,2,FALSE)</f>
        <v>#N/A</v>
      </c>
      <c r="AA175" t="e">
        <f>Y175-VLOOKUP(Z175,'Bag weights'!A$2:B$6,2,FALSE)</f>
        <v>#N/A</v>
      </c>
      <c r="AB175" s="28">
        <v>11.48</v>
      </c>
      <c r="AC175" s="28" t="s">
        <v>287</v>
      </c>
      <c r="AD175">
        <f>AB175-VLOOKUP(AC175,'Bag weights'!A$2:B$6,2,FALSE)</f>
        <v>3.6500000000000004</v>
      </c>
      <c r="AG175" t="e">
        <f>AE175-VLOOKUP(AF175,'Bag weights'!A$2:B$6,2,FALSE)</f>
        <v>#N/A</v>
      </c>
      <c r="AH175" s="28">
        <v>0.52</v>
      </c>
      <c r="AJ175" t="e">
        <f>AH175-VLOOKUP(AI175,'Bag weights'!A$2:B$6,2,FALSE)</f>
        <v>#N/A</v>
      </c>
      <c r="AK175" s="28">
        <v>37.07</v>
      </c>
      <c r="AL175" s="28" t="s">
        <v>287</v>
      </c>
      <c r="AM175">
        <f>AK175-VLOOKUP(AL175,'Bag weights'!A$2:B$6,2,FALSE)</f>
        <v>29.240000000000002</v>
      </c>
      <c r="AN175" s="28">
        <v>0.83</v>
      </c>
      <c r="AP175" t="e">
        <f>AN175-VLOOKUP(AO175,'Bag weights'!A$2:B$6,2,FALSE)</f>
        <v>#N/A</v>
      </c>
      <c r="AS175" t="e">
        <f>AQ175-VLOOKUP(AR175,'Bag weights'!A$2:B$6,2,FALSE)</f>
        <v>#N/A</v>
      </c>
      <c r="AT175" s="28">
        <v>3.09</v>
      </c>
      <c r="AV175" t="e">
        <f>AT175-VLOOKUP(AU175,'Bag weights'!A$2:B$6,2,FALSE)</f>
        <v>#N/A</v>
      </c>
      <c r="AW175" t="e">
        <f t="shared" si="4"/>
        <v>#N/A</v>
      </c>
      <c r="BC175" s="92">
        <v>20.3</v>
      </c>
      <c r="BG175" s="108">
        <v>0.87</v>
      </c>
    </row>
    <row r="176" spans="1:59">
      <c r="A176" s="70"/>
      <c r="B176" s="70"/>
      <c r="C176" s="70">
        <v>1</v>
      </c>
      <c r="D176" s="75" t="s">
        <v>97</v>
      </c>
      <c r="E176" s="13"/>
      <c r="F176" s="13"/>
      <c r="I176" t="e">
        <f>G176-VLOOKUP(H176,'Bag weights'!A$2:B$6,2,FALSE)</f>
        <v>#N/A</v>
      </c>
      <c r="L176" t="e">
        <f>J176-VLOOKUP(K176,'Bag weights'!D$2:E$6,2,FALSE)</f>
        <v>#N/A</v>
      </c>
      <c r="N176" s="95"/>
      <c r="O176" t="e">
        <f>M176-VLOOKUP(N176,'Bag weights'!A$2:B$6,2,FALSE)</f>
        <v>#N/A</v>
      </c>
      <c r="R176" t="e">
        <f>P176-VLOOKUP(Q176,'Bag weights'!A$2:B$6,2,FALSE)</f>
        <v>#N/A</v>
      </c>
      <c r="S176" s="28">
        <v>15.85</v>
      </c>
      <c r="T176" s="28" t="s">
        <v>287</v>
      </c>
      <c r="U176">
        <f>S176- VLOOKUP(T176,'Bag weights'!A$2:B$6,2,FALSE)</f>
        <v>8.02</v>
      </c>
      <c r="X176" t="e">
        <f>V176-VLOOKUP(W176,'Bag weights'!A$2:B$6,2,FALSE)</f>
        <v>#N/A</v>
      </c>
      <c r="AA176" t="e">
        <f>Y176-VLOOKUP(Z176,'Bag weights'!A$2:B$6,2,FALSE)</f>
        <v>#N/A</v>
      </c>
      <c r="AD176" t="e">
        <f>AB176-VLOOKUP(AC176,'Bag weights'!A$2:B$6,2,FALSE)</f>
        <v>#N/A</v>
      </c>
      <c r="AG176" t="e">
        <f>AE176-VLOOKUP(AF176,'Bag weights'!A$2:B$6,2,FALSE)</f>
        <v>#N/A</v>
      </c>
      <c r="AJ176" t="e">
        <f>AH176-VLOOKUP(AI176,'Bag weights'!A$2:B$6,2,FALSE)</f>
        <v>#N/A</v>
      </c>
      <c r="AK176" s="28">
        <v>78.28</v>
      </c>
      <c r="AL176" s="28" t="s">
        <v>284</v>
      </c>
      <c r="AM176">
        <f>AK176-VLOOKUP(AL176,'Bag weights'!A$2:B$6,2,FALSE)</f>
        <v>57.33</v>
      </c>
      <c r="AN176" s="28">
        <v>3</v>
      </c>
      <c r="AO176" s="28" t="s">
        <v>289</v>
      </c>
      <c r="AP176">
        <f>AN176-VLOOKUP(AO176,'Bag weights'!A$2:B$6,2,FALSE)</f>
        <v>1.51</v>
      </c>
      <c r="AS176" t="e">
        <f>AQ176-VLOOKUP(AR176,'Bag weights'!A$2:B$6,2,FALSE)</f>
        <v>#N/A</v>
      </c>
      <c r="AT176" s="28">
        <v>4.6500000000000004</v>
      </c>
      <c r="AU176" s="28" t="s">
        <v>288</v>
      </c>
      <c r="AV176">
        <f>AT176-VLOOKUP(AU176,'Bag weights'!A$2:B$6,2,FALSE)</f>
        <v>2.16</v>
      </c>
      <c r="AW176" t="e">
        <f t="shared" si="4"/>
        <v>#N/A</v>
      </c>
      <c r="BC176" s="92">
        <v>21</v>
      </c>
      <c r="BG176" s="108">
        <v>2.31</v>
      </c>
    </row>
    <row r="177" spans="1:59">
      <c r="A177" s="70"/>
      <c r="B177" s="70"/>
      <c r="C177" s="70">
        <v>2</v>
      </c>
      <c r="D177" s="70" t="s">
        <v>94</v>
      </c>
      <c r="E177" s="1"/>
      <c r="F177" s="1"/>
      <c r="G177" s="28" t="s">
        <v>346</v>
      </c>
      <c r="H177" s="28"/>
      <c r="I177" t="e">
        <f>G177-VLOOKUP(H177,'Bag weights'!A$2:B$6,2,FALSE)</f>
        <v>#VALUE!</v>
      </c>
      <c r="L177" t="e">
        <f>J177-VLOOKUP(K177,'Bag weights'!D$2:E$6,2,FALSE)</f>
        <v>#N/A</v>
      </c>
      <c r="N177" s="95"/>
      <c r="O177" t="e">
        <f>M177-VLOOKUP(N177,'Bag weights'!A$2:B$6,2,FALSE)</f>
        <v>#N/A</v>
      </c>
      <c r="R177" t="e">
        <f>P177-VLOOKUP(Q177,'Bag weights'!A$2:B$6,2,FALSE)</f>
        <v>#N/A</v>
      </c>
      <c r="U177" t="e">
        <f>S177- VLOOKUP(T177,'Bag weights'!A$2:B$6,2,FALSE)</f>
        <v>#N/A</v>
      </c>
      <c r="X177" t="e">
        <f>V177-VLOOKUP(W177,'Bag weights'!A$2:B$6,2,FALSE)</f>
        <v>#N/A</v>
      </c>
      <c r="Y177" s="28" t="s">
        <v>347</v>
      </c>
      <c r="Z177" s="28"/>
      <c r="AA177" t="e">
        <f>Y177-VLOOKUP(Z177,'Bag weights'!A$2:B$6,2,FALSE)</f>
        <v>#VALUE!</v>
      </c>
      <c r="AB177" s="28">
        <v>11.35</v>
      </c>
      <c r="AC177" s="28" t="s">
        <v>287</v>
      </c>
      <c r="AD177">
        <f>AB177-VLOOKUP(AC177,'Bag weights'!A$2:B$6,2,FALSE)</f>
        <v>3.5199999999999996</v>
      </c>
      <c r="AG177" t="e">
        <f>AE177-VLOOKUP(AF177,'Bag weights'!A$2:B$6,2,FALSE)</f>
        <v>#N/A</v>
      </c>
      <c r="AJ177" t="e">
        <f>AH177-VLOOKUP(AI177,'Bag weights'!A$2:B$6,2,FALSE)</f>
        <v>#N/A</v>
      </c>
      <c r="AM177" t="e">
        <f>AK177-VLOOKUP(AL177,'Bag weights'!A$2:B$6,2,FALSE)</f>
        <v>#N/A</v>
      </c>
      <c r="AP177" t="e">
        <f>AN177-VLOOKUP(AO177,'Bag weights'!A$2:B$6,2,FALSE)</f>
        <v>#N/A</v>
      </c>
      <c r="AS177" t="e">
        <f>AQ177-VLOOKUP(AR177,'Bag weights'!A$2:B$6,2,FALSE)</f>
        <v>#N/A</v>
      </c>
      <c r="AV177" t="e">
        <f>AT177-VLOOKUP(AU177,'Bag weights'!A$2:B$6,2,FALSE)</f>
        <v>#N/A</v>
      </c>
      <c r="AW177" t="e">
        <f t="shared" si="4"/>
        <v>#N/A</v>
      </c>
      <c r="AZ177" s="28" t="s">
        <v>348</v>
      </c>
      <c r="BC177" s="92">
        <v>20.2</v>
      </c>
      <c r="BG177" s="108">
        <v>1.42</v>
      </c>
    </row>
    <row r="178" spans="1:59">
      <c r="A178" s="70"/>
      <c r="B178" s="70"/>
      <c r="C178" s="70">
        <v>2</v>
      </c>
      <c r="D178" s="70" t="s">
        <v>95</v>
      </c>
      <c r="E178" s="1"/>
      <c r="F178" s="1"/>
      <c r="I178" t="e">
        <f>G178-VLOOKUP(H178,'Bag weights'!A$2:B$6,2,FALSE)</f>
        <v>#N/A</v>
      </c>
      <c r="L178" t="e">
        <f>J178-VLOOKUP(K178,'Bag weights'!D$2:E$6,2,FALSE)</f>
        <v>#N/A</v>
      </c>
      <c r="N178" s="95"/>
      <c r="O178" t="e">
        <f>M178-VLOOKUP(N178,'Bag weights'!A$2:B$6,2,FALSE)</f>
        <v>#N/A</v>
      </c>
      <c r="R178" t="e">
        <f>P178-VLOOKUP(Q178,'Bag weights'!A$2:B$6,2,FALSE)</f>
        <v>#N/A</v>
      </c>
      <c r="S178" s="28">
        <v>10.91</v>
      </c>
      <c r="T178" s="28" t="s">
        <v>287</v>
      </c>
      <c r="U178">
        <f>S178- VLOOKUP(T178,'Bag weights'!A$2:B$6,2,FALSE)</f>
        <v>3.08</v>
      </c>
      <c r="X178" t="e">
        <f>V178-VLOOKUP(W178,'Bag weights'!A$2:B$6,2,FALSE)</f>
        <v>#N/A</v>
      </c>
      <c r="AA178" t="e">
        <f>Y178-VLOOKUP(Z178,'Bag weights'!A$2:B$6,2,FALSE)</f>
        <v>#N/A</v>
      </c>
      <c r="AB178" s="28">
        <v>15.3</v>
      </c>
      <c r="AC178" s="28" t="s">
        <v>287</v>
      </c>
      <c r="AD178">
        <f>AB178-VLOOKUP(AC178,'Bag weights'!A$2:B$6,2,FALSE)</f>
        <v>7.4700000000000006</v>
      </c>
      <c r="AE178" s="28">
        <v>3.07</v>
      </c>
      <c r="AF178" s="28" t="s">
        <v>288</v>
      </c>
      <c r="AG178">
        <f>AE178-VLOOKUP(AF178,'Bag weights'!A$2:B$6,2,FALSE)</f>
        <v>0.57999999999999963</v>
      </c>
      <c r="AH178" s="28">
        <v>18.84</v>
      </c>
      <c r="AI178" s="28" t="s">
        <v>287</v>
      </c>
      <c r="AJ178">
        <f>AH178-VLOOKUP(AI178,'Bag weights'!A$2:B$6,2,FALSE)</f>
        <v>11.01</v>
      </c>
      <c r="AK178" s="28">
        <v>65.22</v>
      </c>
      <c r="AL178" s="28" t="s">
        <v>284</v>
      </c>
      <c r="AM178">
        <f>AK178-VLOOKUP(AL178,'Bag weights'!A$2:B$6,2,FALSE)</f>
        <v>44.269999999999996</v>
      </c>
      <c r="AP178" t="e">
        <f>AN178-VLOOKUP(AO178,'Bag weights'!A$2:B$6,2,FALSE)</f>
        <v>#N/A</v>
      </c>
      <c r="AS178" t="e">
        <f>AQ178-VLOOKUP(AR178,'Bag weights'!A$2:B$6,2,FALSE)</f>
        <v>#N/A</v>
      </c>
      <c r="AT178" s="28">
        <v>3.14</v>
      </c>
      <c r="AU178" s="28" t="s">
        <v>288</v>
      </c>
      <c r="AV178">
        <f>AT178-VLOOKUP(AU178,'Bag weights'!A$2:B$6,2,FALSE)</f>
        <v>0.64999999999999991</v>
      </c>
      <c r="AW178" t="e">
        <f t="shared" si="4"/>
        <v>#N/A</v>
      </c>
      <c r="BC178" s="92">
        <v>8.9</v>
      </c>
      <c r="BG178" s="108">
        <v>0.99</v>
      </c>
    </row>
    <row r="179" spans="1:59">
      <c r="A179" s="70"/>
      <c r="B179" s="70"/>
      <c r="C179" s="70">
        <v>2</v>
      </c>
      <c r="D179" s="70" t="s">
        <v>96</v>
      </c>
      <c r="E179" s="1"/>
      <c r="F179" s="1"/>
      <c r="I179" t="e">
        <f>G179-VLOOKUP(H179,'Bag weights'!A$2:B$6,2,FALSE)</f>
        <v>#N/A</v>
      </c>
      <c r="L179" t="e">
        <f>J179-VLOOKUP(K179,'Bag weights'!D$2:E$6,2,FALSE)</f>
        <v>#N/A</v>
      </c>
      <c r="N179" s="95"/>
      <c r="O179" t="e">
        <f>M179-VLOOKUP(N179,'Bag weights'!A$2:B$6,2,FALSE)</f>
        <v>#N/A</v>
      </c>
      <c r="R179" t="e">
        <f>P179-VLOOKUP(Q179,'Bag weights'!A$2:B$6,2,FALSE)</f>
        <v>#N/A</v>
      </c>
      <c r="S179" s="28">
        <v>12.6</v>
      </c>
      <c r="T179" s="28" t="s">
        <v>287</v>
      </c>
      <c r="U179">
        <f>S179- VLOOKUP(T179,'Bag weights'!A$2:B$6,2,FALSE)</f>
        <v>4.7699999999999996</v>
      </c>
      <c r="X179" t="e">
        <f>V179-VLOOKUP(W179,'Bag weights'!A$2:B$6,2,FALSE)</f>
        <v>#N/A</v>
      </c>
      <c r="Y179" s="28">
        <v>1.87</v>
      </c>
      <c r="Z179" s="28" t="s">
        <v>289</v>
      </c>
      <c r="AA179">
        <f>Y179-VLOOKUP(Z179,'Bag weights'!A$2:B$6,2,FALSE)</f>
        <v>0.38000000000000012</v>
      </c>
      <c r="AB179" s="28">
        <v>25.32</v>
      </c>
      <c r="AC179" s="28" t="s">
        <v>287</v>
      </c>
      <c r="AD179">
        <f>AB179-VLOOKUP(AC179,'Bag weights'!A$2:B$6,2,FALSE)</f>
        <v>17.490000000000002</v>
      </c>
      <c r="AG179" t="e">
        <f>AE179-VLOOKUP(AF179,'Bag weights'!A$2:B$6,2,FALSE)</f>
        <v>#N/A</v>
      </c>
      <c r="AH179" s="28">
        <v>15.25</v>
      </c>
      <c r="AI179" s="28" t="s">
        <v>287</v>
      </c>
      <c r="AJ179">
        <f>AH179-VLOOKUP(AI179,'Bag weights'!A$2:B$6,2,FALSE)</f>
        <v>7.42</v>
      </c>
      <c r="AK179" s="28">
        <v>58.96</v>
      </c>
      <c r="AL179" s="28" t="s">
        <v>284</v>
      </c>
      <c r="AM179">
        <f>AK179-VLOOKUP(AL179,'Bag weights'!A$2:B$6,2,FALSE)</f>
        <v>38.010000000000005</v>
      </c>
      <c r="AN179" s="28">
        <v>5.26</v>
      </c>
      <c r="AO179" s="28" t="s">
        <v>288</v>
      </c>
      <c r="AP179">
        <f>AN179-VLOOKUP(AO179,'Bag weights'!A$2:B$6,2,FALSE)</f>
        <v>2.7699999999999996</v>
      </c>
      <c r="AS179" t="e">
        <f>AQ179-VLOOKUP(AR179,'Bag weights'!A$2:B$6,2,FALSE)</f>
        <v>#N/A</v>
      </c>
      <c r="AT179" s="28">
        <v>8.81</v>
      </c>
      <c r="AU179" s="28" t="s">
        <v>288</v>
      </c>
      <c r="AV179">
        <f>AT179-VLOOKUP(AU179,'Bag weights'!A$2:B$6,2,FALSE)</f>
        <v>6.32</v>
      </c>
      <c r="AW179" t="e">
        <f t="shared" si="4"/>
        <v>#N/A</v>
      </c>
      <c r="BC179" s="92">
        <v>22</v>
      </c>
      <c r="BG179" s="108">
        <v>1.68</v>
      </c>
    </row>
    <row r="180" spans="1:59">
      <c r="A180" s="70"/>
      <c r="B180" s="70"/>
      <c r="C180" s="70">
        <v>2</v>
      </c>
      <c r="D180" s="70" t="s">
        <v>39</v>
      </c>
      <c r="E180" s="1"/>
      <c r="F180" s="1"/>
      <c r="G180" s="28">
        <v>4.5</v>
      </c>
      <c r="I180" t="e">
        <f>G180-VLOOKUP(H180,'Bag weights'!A$2:B$6,2,FALSE)</f>
        <v>#N/A</v>
      </c>
      <c r="L180" t="e">
        <f>J180-VLOOKUP(K180,'Bag weights'!D$2:E$6,2,FALSE)</f>
        <v>#N/A</v>
      </c>
      <c r="N180" s="95"/>
      <c r="O180" t="e">
        <f>M180-VLOOKUP(N180,'Bag weights'!A$2:B$6,2,FALSE)</f>
        <v>#N/A</v>
      </c>
      <c r="R180" t="e">
        <f>P180-VLOOKUP(Q180,'Bag weights'!A$2:B$6,2,FALSE)</f>
        <v>#N/A</v>
      </c>
      <c r="S180" s="28">
        <v>13.65</v>
      </c>
      <c r="T180" s="28" t="s">
        <v>287</v>
      </c>
      <c r="U180">
        <f>S180- VLOOKUP(T180,'Bag weights'!A$2:B$6,2,FALSE)</f>
        <v>5.82</v>
      </c>
      <c r="X180" t="e">
        <f>V180-VLOOKUP(W180,'Bag weights'!A$2:B$6,2,FALSE)</f>
        <v>#N/A</v>
      </c>
      <c r="AA180" t="e">
        <f>Y180-VLOOKUP(Z180,'Bag weights'!A$2:B$6,2,FALSE)</f>
        <v>#N/A</v>
      </c>
      <c r="AB180" s="28" t="s">
        <v>349</v>
      </c>
      <c r="AC180" s="28" t="s">
        <v>287</v>
      </c>
      <c r="AD180" t="e">
        <f>AB180-VLOOKUP(AC180,'Bag weights'!A$2:B$6,2,FALSE)</f>
        <v>#VALUE!</v>
      </c>
      <c r="AE180" s="28">
        <v>1.73</v>
      </c>
      <c r="AF180" s="28" t="s">
        <v>289</v>
      </c>
      <c r="AG180">
        <f>AE180-VLOOKUP(AF180,'Bag weights'!A$2:B$6,2,FALSE)</f>
        <v>0.24</v>
      </c>
      <c r="AH180" s="28">
        <v>17.79</v>
      </c>
      <c r="AI180" s="28" t="s">
        <v>287</v>
      </c>
      <c r="AJ180">
        <f>AH180-VLOOKUP(AI180,'Bag weights'!A$2:B$6,2,FALSE)</f>
        <v>9.9599999999999991</v>
      </c>
      <c r="AK180" s="28">
        <v>29.25</v>
      </c>
      <c r="AL180" s="28" t="s">
        <v>287</v>
      </c>
      <c r="AM180">
        <f>AK180-VLOOKUP(AL180,'Bag weights'!A$2:B$6,2,FALSE)</f>
        <v>21.42</v>
      </c>
      <c r="AN180" s="28">
        <v>5.67</v>
      </c>
      <c r="AO180" s="28" t="s">
        <v>288</v>
      </c>
      <c r="AP180">
        <f>AN180-VLOOKUP(AO180,'Bag weights'!A$2:B$6,2,FALSE)</f>
        <v>3.1799999999999997</v>
      </c>
      <c r="AQ180" s="28" t="s">
        <v>204</v>
      </c>
      <c r="AS180" t="e">
        <f>AQ180-VLOOKUP(AR180,'Bag weights'!A$2:B$6,2,FALSE)</f>
        <v>#VALUE!</v>
      </c>
      <c r="AT180" s="28">
        <v>1.82</v>
      </c>
      <c r="AU180" s="28" t="s">
        <v>289</v>
      </c>
      <c r="AV180">
        <f>AT180-VLOOKUP(AU180,'Bag weights'!A$2:B$6,2,FALSE)</f>
        <v>0.33000000000000007</v>
      </c>
      <c r="AW180" t="e">
        <f t="shared" si="4"/>
        <v>#VALUE!</v>
      </c>
      <c r="BC180" s="92">
        <v>15</v>
      </c>
      <c r="BG180" s="108">
        <v>1.1200000000000001</v>
      </c>
    </row>
    <row r="181" spans="1:59">
      <c r="A181" s="70"/>
      <c r="B181" s="70"/>
      <c r="C181" s="70">
        <v>2</v>
      </c>
      <c r="D181" s="70" t="s">
        <v>97</v>
      </c>
      <c r="E181" s="1"/>
      <c r="F181" s="1"/>
      <c r="I181" t="e">
        <f>G181-VLOOKUP(H181,'Bag weights'!A$2:B$6,2,FALSE)</f>
        <v>#N/A</v>
      </c>
      <c r="L181" t="e">
        <f>J181-VLOOKUP(K181,'Bag weights'!D$2:E$6,2,FALSE)</f>
        <v>#N/A</v>
      </c>
      <c r="N181" s="95"/>
      <c r="O181" t="e">
        <f>M181-VLOOKUP(N181,'Bag weights'!A$2:B$6,2,FALSE)</f>
        <v>#N/A</v>
      </c>
      <c r="R181" t="e">
        <f>P181-VLOOKUP(Q181,'Bag weights'!A$2:B$6,2,FALSE)</f>
        <v>#N/A</v>
      </c>
      <c r="S181" s="28">
        <v>14</v>
      </c>
      <c r="T181" s="28" t="s">
        <v>287</v>
      </c>
      <c r="U181">
        <f>S181- VLOOKUP(T181,'Bag weights'!A$2:B$6,2,FALSE)</f>
        <v>6.17</v>
      </c>
      <c r="X181" t="e">
        <f>V181-VLOOKUP(W181,'Bag weights'!A$2:B$6,2,FALSE)</f>
        <v>#N/A</v>
      </c>
      <c r="AA181" t="e">
        <f>Y181-VLOOKUP(Z181,'Bag weights'!A$2:B$6,2,FALSE)</f>
        <v>#N/A</v>
      </c>
      <c r="AD181" t="e">
        <f>AB181-VLOOKUP(AC181,'Bag weights'!A$2:B$6,2,FALSE)</f>
        <v>#N/A</v>
      </c>
      <c r="AG181" t="e">
        <f>AE181-VLOOKUP(AF181,'Bag weights'!A$2:B$6,2,FALSE)</f>
        <v>#N/A</v>
      </c>
      <c r="AJ181" t="e">
        <f>AH181-VLOOKUP(AI181,'Bag weights'!A$2:B$6,2,FALSE)</f>
        <v>#N/A</v>
      </c>
      <c r="AK181" s="28">
        <v>60.93</v>
      </c>
      <c r="AL181" s="28" t="s">
        <v>284</v>
      </c>
      <c r="AM181">
        <f>AK181-VLOOKUP(AL181,'Bag weights'!A$2:B$6,2,FALSE)</f>
        <v>39.980000000000004</v>
      </c>
      <c r="AN181" s="28">
        <v>1.81</v>
      </c>
      <c r="AP181" t="e">
        <f>AN181-VLOOKUP(AO181,'Bag weights'!A$2:B$6,2,FALSE)</f>
        <v>#N/A</v>
      </c>
      <c r="AS181" t="e">
        <f>AQ181-VLOOKUP(AR181,'Bag weights'!A$2:B$6,2,FALSE)</f>
        <v>#N/A</v>
      </c>
      <c r="AT181" s="28">
        <v>4.5999999999999996</v>
      </c>
      <c r="AU181" s="28" t="s">
        <v>288</v>
      </c>
      <c r="AV181">
        <f>AT181-VLOOKUP(AU181,'Bag weights'!A$2:B$6,2,FALSE)</f>
        <v>2.1099999999999994</v>
      </c>
      <c r="AW181" t="e">
        <f t="shared" si="4"/>
        <v>#N/A</v>
      </c>
      <c r="BC181" s="92">
        <v>19.100000000000001</v>
      </c>
      <c r="BG181" s="108">
        <v>1.98</v>
      </c>
    </row>
    <row r="182" spans="1:59">
      <c r="A182" s="70"/>
      <c r="B182" s="70"/>
      <c r="C182" s="70">
        <v>3</v>
      </c>
      <c r="D182" s="70" t="s">
        <v>94</v>
      </c>
      <c r="E182" s="1"/>
      <c r="F182" s="1"/>
      <c r="G182" s="28" t="s">
        <v>346</v>
      </c>
      <c r="H182" s="28"/>
      <c r="I182" t="e">
        <f>G182-VLOOKUP(H182,'Bag weights'!A$2:B$6,2,FALSE)</f>
        <v>#VALUE!</v>
      </c>
      <c r="L182" t="e">
        <f>J182-VLOOKUP(K182,'Bag weights'!D$2:E$6,2,FALSE)</f>
        <v>#N/A</v>
      </c>
      <c r="N182" s="95"/>
      <c r="O182" t="e">
        <f>M182-VLOOKUP(N182,'Bag weights'!A$2:B$6,2,FALSE)</f>
        <v>#N/A</v>
      </c>
      <c r="R182" t="e">
        <f>P182-VLOOKUP(Q182,'Bag weights'!A$2:B$6,2,FALSE)</f>
        <v>#N/A</v>
      </c>
      <c r="U182" t="e">
        <f>S182- VLOOKUP(T182,'Bag weights'!A$2:B$6,2,FALSE)</f>
        <v>#N/A</v>
      </c>
      <c r="X182" t="e">
        <f>V182-VLOOKUP(W182,'Bag weights'!A$2:B$6,2,FALSE)</f>
        <v>#N/A</v>
      </c>
      <c r="Y182" s="28" t="s">
        <v>350</v>
      </c>
      <c r="Z182" s="28"/>
      <c r="AA182" t="e">
        <f>Y182-VLOOKUP(Z182,'Bag weights'!A$2:B$6,2,FALSE)</f>
        <v>#VALUE!</v>
      </c>
      <c r="AB182" s="28">
        <v>13.86</v>
      </c>
      <c r="AC182" s="28" t="s">
        <v>287</v>
      </c>
      <c r="AD182">
        <f>AB182-VLOOKUP(AC182,'Bag weights'!A$2:B$6,2,FALSE)</f>
        <v>6.0299999999999994</v>
      </c>
      <c r="AG182" t="e">
        <f>AE182-VLOOKUP(AF182,'Bag weights'!A$2:B$6,2,FALSE)</f>
        <v>#N/A</v>
      </c>
      <c r="AJ182" t="e">
        <f>AH182-VLOOKUP(AI182,'Bag weights'!A$2:B$6,2,FALSE)</f>
        <v>#N/A</v>
      </c>
      <c r="AM182" t="e">
        <f>AK182-VLOOKUP(AL182,'Bag weights'!A$2:B$6,2,FALSE)</f>
        <v>#N/A</v>
      </c>
      <c r="AP182" t="e">
        <f>AN182-VLOOKUP(AO182,'Bag weights'!A$2:B$6,2,FALSE)</f>
        <v>#N/A</v>
      </c>
      <c r="AS182" t="e">
        <f>AQ182-VLOOKUP(AR182,'Bag weights'!A$2:B$6,2,FALSE)</f>
        <v>#N/A</v>
      </c>
      <c r="AV182" t="e">
        <f>AT182-VLOOKUP(AU182,'Bag weights'!A$2:B$6,2,FALSE)</f>
        <v>#N/A</v>
      </c>
      <c r="AW182" t="e">
        <f t="shared" si="4"/>
        <v>#N/A</v>
      </c>
      <c r="AZ182" s="28" t="s">
        <v>351</v>
      </c>
      <c r="BC182" s="92">
        <v>24</v>
      </c>
      <c r="BG182" s="108">
        <v>0.96</v>
      </c>
    </row>
    <row r="183" spans="1:59">
      <c r="A183" s="70"/>
      <c r="B183" s="70"/>
      <c r="C183" s="70">
        <v>3</v>
      </c>
      <c r="D183" s="70" t="s">
        <v>95</v>
      </c>
      <c r="E183" s="1"/>
      <c r="F183" s="1"/>
      <c r="I183" t="e">
        <f>G183-VLOOKUP(H183,'Bag weights'!A$2:B$6,2,FALSE)</f>
        <v>#N/A</v>
      </c>
      <c r="L183" t="e">
        <f>J183-VLOOKUP(K183,'Bag weights'!D$2:E$6,2,FALSE)</f>
        <v>#N/A</v>
      </c>
      <c r="N183" s="95"/>
      <c r="O183" t="e">
        <f>M183-VLOOKUP(N183,'Bag weights'!A$2:B$6,2,FALSE)</f>
        <v>#N/A</v>
      </c>
      <c r="R183" t="e">
        <f>P183-VLOOKUP(Q183,'Bag weights'!A$2:B$6,2,FALSE)</f>
        <v>#N/A</v>
      </c>
      <c r="S183" s="28">
        <v>10.54</v>
      </c>
      <c r="T183" s="28" t="s">
        <v>287</v>
      </c>
      <c r="U183">
        <f>S183- VLOOKUP(T183,'Bag weights'!A$2:B$6,2,FALSE)</f>
        <v>2.7099999999999991</v>
      </c>
      <c r="X183" t="e">
        <f>V183-VLOOKUP(W183,'Bag weights'!A$2:B$6,2,FALSE)</f>
        <v>#N/A</v>
      </c>
      <c r="Y183" s="28">
        <v>13.4</v>
      </c>
      <c r="Z183" s="28" t="s">
        <v>287</v>
      </c>
      <c r="AA183">
        <f>Y183-VLOOKUP(Z183,'Bag weights'!A$2:B$6,2,FALSE)</f>
        <v>5.57</v>
      </c>
      <c r="AB183" s="28">
        <v>10.06</v>
      </c>
      <c r="AC183" s="28" t="s">
        <v>287</v>
      </c>
      <c r="AD183">
        <f>AB183-VLOOKUP(AC183,'Bag weights'!A$2:B$6,2,FALSE)</f>
        <v>2.2300000000000004</v>
      </c>
      <c r="AE183" s="28">
        <v>0.67</v>
      </c>
      <c r="AG183" t="e">
        <f>AE183-VLOOKUP(AF183,'Bag weights'!A$2:B$6,2,FALSE)</f>
        <v>#N/A</v>
      </c>
      <c r="AJ183" t="e">
        <f>AH183-VLOOKUP(AI183,'Bag weights'!A$2:B$6,2,FALSE)</f>
        <v>#N/A</v>
      </c>
      <c r="AK183" s="28">
        <v>55.71</v>
      </c>
      <c r="AL183" s="28" t="s">
        <v>286</v>
      </c>
      <c r="AM183">
        <f>AK183-VLOOKUP(AL183,'Bag weights'!A$2:B$6,2,FALSE)</f>
        <v>40.31</v>
      </c>
      <c r="AN183" s="28">
        <v>0.87</v>
      </c>
      <c r="AO183" s="28" t="s">
        <v>352</v>
      </c>
      <c r="AP183" t="e">
        <f>AN183-VLOOKUP(AO183,'Bag weights'!A$2:B$6,2,FALSE)</f>
        <v>#N/A</v>
      </c>
      <c r="AS183" t="e">
        <f>AQ183-VLOOKUP(AR183,'Bag weights'!A$2:B$6,2,FALSE)</f>
        <v>#N/A</v>
      </c>
      <c r="AT183" s="28">
        <v>0.36</v>
      </c>
      <c r="AU183" s="28" t="s">
        <v>352</v>
      </c>
      <c r="AV183" t="e">
        <f>AT183-VLOOKUP(AU183,'Bag weights'!A$2:B$6,2,FALSE)</f>
        <v>#N/A</v>
      </c>
      <c r="AW183" t="e">
        <f t="shared" si="4"/>
        <v>#N/A</v>
      </c>
      <c r="BC183" s="92">
        <v>19.100000000000001</v>
      </c>
      <c r="BF183" s="28" t="s">
        <v>353</v>
      </c>
    </row>
    <row r="184" spans="1:59">
      <c r="A184" s="70"/>
      <c r="B184" s="70"/>
      <c r="C184" s="70">
        <v>3</v>
      </c>
      <c r="D184" s="75" t="s">
        <v>96</v>
      </c>
      <c r="E184" s="13"/>
      <c r="F184" s="13"/>
      <c r="G184" s="28">
        <v>0.6</v>
      </c>
      <c r="I184" t="e">
        <f>G184-VLOOKUP(H184,'Bag weights'!A$2:B$6,2,FALSE)</f>
        <v>#N/A</v>
      </c>
      <c r="L184" t="e">
        <f>J184-VLOOKUP(K184,'Bag weights'!D$2:E$6,2,FALSE)</f>
        <v>#N/A</v>
      </c>
      <c r="N184" s="95"/>
      <c r="O184" t="e">
        <f>M184-VLOOKUP(N184,'Bag weights'!A$2:B$6,2,FALSE)</f>
        <v>#N/A</v>
      </c>
      <c r="R184" t="e">
        <f>P184-VLOOKUP(Q184,'Bag weights'!A$2:B$6,2,FALSE)</f>
        <v>#N/A</v>
      </c>
      <c r="S184" s="28">
        <v>17.63</v>
      </c>
      <c r="T184" s="28" t="s">
        <v>287</v>
      </c>
      <c r="U184">
        <f>S184- VLOOKUP(T184,'Bag weights'!A$2:B$6,2,FALSE)</f>
        <v>9.7999999999999989</v>
      </c>
      <c r="X184" t="e">
        <f>V184-VLOOKUP(W184,'Bag weights'!A$2:B$6,2,FALSE)</f>
        <v>#N/A</v>
      </c>
      <c r="Y184" s="28">
        <v>11.25</v>
      </c>
      <c r="Z184" s="28" t="s">
        <v>287</v>
      </c>
      <c r="AA184">
        <f>Y184-VLOOKUP(Z184,'Bag weights'!A$2:B$6,2,FALSE)</f>
        <v>3.42</v>
      </c>
      <c r="AB184" s="28">
        <v>10.78</v>
      </c>
      <c r="AC184" s="28" t="s">
        <v>287</v>
      </c>
      <c r="AD184">
        <f>AB184-VLOOKUP(AC184,'Bag weights'!A$2:B$6,2,FALSE)</f>
        <v>2.9499999999999993</v>
      </c>
      <c r="AE184" s="28">
        <v>0.34</v>
      </c>
      <c r="AF184" s="28" t="s">
        <v>352</v>
      </c>
      <c r="AG184" t="e">
        <f>AE184-VLOOKUP(AF184,'Bag weights'!A$2:B$6,2,FALSE)</f>
        <v>#N/A</v>
      </c>
      <c r="AH184" s="28">
        <v>11.45</v>
      </c>
      <c r="AI184" s="28" t="s">
        <v>287</v>
      </c>
      <c r="AJ184">
        <f>AH184-VLOOKUP(AI184,'Bag weights'!A$2:B$6,2,FALSE)</f>
        <v>3.6199999999999992</v>
      </c>
      <c r="AK184" s="28">
        <v>59.56</v>
      </c>
      <c r="AL184" s="28" t="s">
        <v>287</v>
      </c>
      <c r="AM184">
        <f>AK184-VLOOKUP(AL184,'Bag weights'!A$2:B$6,2,FALSE)</f>
        <v>51.730000000000004</v>
      </c>
      <c r="AN184" s="28">
        <v>4.07</v>
      </c>
      <c r="AO184" s="28" t="s">
        <v>352</v>
      </c>
      <c r="AP184" t="e">
        <f>AN184-VLOOKUP(AO184,'Bag weights'!A$2:B$6,2,FALSE)</f>
        <v>#N/A</v>
      </c>
      <c r="AS184" t="e">
        <f>AQ184-VLOOKUP(AR184,'Bag weights'!A$2:B$6,2,FALSE)</f>
        <v>#N/A</v>
      </c>
      <c r="AT184" s="28">
        <v>4.79</v>
      </c>
      <c r="AU184" s="28" t="s">
        <v>352</v>
      </c>
      <c r="AV184" t="e">
        <f>AT184-VLOOKUP(AU184,'Bag weights'!A$2:B$6,2,FALSE)</f>
        <v>#N/A</v>
      </c>
      <c r="AW184" t="e">
        <f t="shared" si="4"/>
        <v>#N/A</v>
      </c>
      <c r="BC184" s="92">
        <v>11.5</v>
      </c>
      <c r="BG184" s="108">
        <v>1.55</v>
      </c>
    </row>
    <row r="185" spans="1:59">
      <c r="A185" s="70"/>
      <c r="B185" s="70"/>
      <c r="C185" s="70">
        <v>3</v>
      </c>
      <c r="D185" s="70" t="s">
        <v>39</v>
      </c>
      <c r="E185" s="1"/>
      <c r="F185" s="1"/>
      <c r="G185" s="28">
        <v>8.9499999999999993</v>
      </c>
      <c r="I185" t="e">
        <f>G185-VLOOKUP(H185,'Bag weights'!A$2:B$6,2,FALSE)</f>
        <v>#N/A</v>
      </c>
      <c r="L185" t="e">
        <f>J185-VLOOKUP(K185,'Bag weights'!D$2:E$6,2,FALSE)</f>
        <v>#N/A</v>
      </c>
      <c r="N185" s="95"/>
      <c r="O185" t="e">
        <f>M185-VLOOKUP(N185,'Bag weights'!A$2:B$6,2,FALSE)</f>
        <v>#N/A</v>
      </c>
      <c r="R185" t="e">
        <f>P185-VLOOKUP(Q185,'Bag weights'!A$2:B$6,2,FALSE)</f>
        <v>#N/A</v>
      </c>
      <c r="S185" s="28">
        <v>17.829999999999998</v>
      </c>
      <c r="T185" s="28" t="s">
        <v>287</v>
      </c>
      <c r="U185">
        <f>S185- VLOOKUP(T185,'Bag weights'!A$2:B$6,2,FALSE)</f>
        <v>9.9999999999999982</v>
      </c>
      <c r="X185" t="e">
        <f>V185-VLOOKUP(W185,'Bag weights'!A$2:B$6,2,FALSE)</f>
        <v>#N/A</v>
      </c>
      <c r="Y185" s="28">
        <v>15.91</v>
      </c>
      <c r="Z185" s="28" t="s">
        <v>287</v>
      </c>
      <c r="AA185">
        <f>Y185-VLOOKUP(Z185,'Bag weights'!A$2:B$6,2,FALSE)</f>
        <v>8.08</v>
      </c>
      <c r="AB185" s="28">
        <v>10.69</v>
      </c>
      <c r="AC185" s="28" t="s">
        <v>287</v>
      </c>
      <c r="AD185">
        <f>AB185-VLOOKUP(AC185,'Bag weights'!A$2:B$6,2,FALSE)</f>
        <v>2.8599999999999994</v>
      </c>
      <c r="AE185" s="28">
        <v>0.31</v>
      </c>
      <c r="AF185" s="28" t="s">
        <v>290</v>
      </c>
      <c r="AG185" t="e">
        <f>AE185-VLOOKUP(AF185,'Bag weights'!A$2:B$6,2,FALSE)</f>
        <v>#N/A</v>
      </c>
      <c r="AJ185" t="e">
        <f>AH185-VLOOKUP(AI185,'Bag weights'!A$2:B$6,2,FALSE)</f>
        <v>#N/A</v>
      </c>
      <c r="AK185" s="28">
        <v>68.67</v>
      </c>
      <c r="AL185" s="28" t="s">
        <v>284</v>
      </c>
      <c r="AM185">
        <f>AK185-VLOOKUP(AL185,'Bag weights'!A$2:B$6,2,FALSE)</f>
        <v>47.72</v>
      </c>
      <c r="AN185" s="28">
        <v>1.28</v>
      </c>
      <c r="AO185" s="28" t="s">
        <v>290</v>
      </c>
      <c r="AP185" t="e">
        <f>AN185-VLOOKUP(AO185,'Bag weights'!A$2:B$6,2,FALSE)</f>
        <v>#N/A</v>
      </c>
      <c r="AS185" t="e">
        <f>AQ185-VLOOKUP(AR185,'Bag weights'!A$2:B$6,2,FALSE)</f>
        <v>#N/A</v>
      </c>
      <c r="AT185" s="28">
        <v>0.64</v>
      </c>
      <c r="AU185" s="28" t="s">
        <v>290</v>
      </c>
      <c r="AV185" t="e">
        <f>AT185-VLOOKUP(AU185,'Bag weights'!A$2:B$6,2,FALSE)</f>
        <v>#N/A</v>
      </c>
      <c r="AW185" t="e">
        <f t="shared" si="4"/>
        <v>#N/A</v>
      </c>
      <c r="BC185" s="92">
        <v>24.6</v>
      </c>
      <c r="BF185" s="28" t="s">
        <v>353</v>
      </c>
      <c r="BG185" s="109"/>
    </row>
    <row r="186" spans="1:59">
      <c r="A186" s="70"/>
      <c r="B186" s="70"/>
      <c r="C186" s="70">
        <v>3</v>
      </c>
      <c r="D186" s="70" t="s">
        <v>97</v>
      </c>
      <c r="E186" s="1"/>
      <c r="F186" s="1"/>
      <c r="G186" s="28">
        <v>2.62</v>
      </c>
      <c r="I186" t="e">
        <f>G186-VLOOKUP(H186,'Bag weights'!A$2:B$6,2,FALSE)</f>
        <v>#N/A</v>
      </c>
      <c r="L186" t="e">
        <f>J186-VLOOKUP(K186,'Bag weights'!D$2:E$6,2,FALSE)</f>
        <v>#N/A</v>
      </c>
      <c r="N186" s="95"/>
      <c r="O186" t="e">
        <f>M186-VLOOKUP(N186,'Bag weights'!A$2:B$6,2,FALSE)</f>
        <v>#N/A</v>
      </c>
      <c r="R186" t="e">
        <f>P186-VLOOKUP(Q186,'Bag weights'!A$2:B$6,2,FALSE)</f>
        <v>#N/A</v>
      </c>
      <c r="S186" s="28">
        <v>14.04</v>
      </c>
      <c r="T186" s="28" t="s">
        <v>287</v>
      </c>
      <c r="U186">
        <f>S186- VLOOKUP(T186,'Bag weights'!A$2:B$6,2,FALSE)</f>
        <v>6.2099999999999991</v>
      </c>
      <c r="X186" t="e">
        <f>V186-VLOOKUP(W186,'Bag weights'!A$2:B$6,2,FALSE)</f>
        <v>#N/A</v>
      </c>
      <c r="Y186" s="28">
        <v>11.32</v>
      </c>
      <c r="Z186" s="28" t="s">
        <v>287</v>
      </c>
      <c r="AA186">
        <f>Y186-VLOOKUP(Z186,'Bag weights'!A$2:B$6,2,FALSE)</f>
        <v>3.49</v>
      </c>
      <c r="AB186" s="28">
        <v>4.13</v>
      </c>
      <c r="AC186" s="28" t="s">
        <v>288</v>
      </c>
      <c r="AD186">
        <f>AB186-VLOOKUP(AC186,'Bag weights'!A$2:B$6,2,FALSE)</f>
        <v>1.6399999999999997</v>
      </c>
      <c r="AG186" t="e">
        <f>AE186-VLOOKUP(AF186,'Bag weights'!A$2:B$6,2,FALSE)</f>
        <v>#N/A</v>
      </c>
      <c r="AH186" s="28">
        <v>33.79</v>
      </c>
      <c r="AI186" s="28" t="s">
        <v>287</v>
      </c>
      <c r="AJ186">
        <f>AH186-VLOOKUP(AI186,'Bag weights'!A$2:B$6,2,FALSE)</f>
        <v>25.96</v>
      </c>
      <c r="AK186" s="28">
        <v>30.61</v>
      </c>
      <c r="AL186" s="28" t="s">
        <v>287</v>
      </c>
      <c r="AM186">
        <f>AK186-VLOOKUP(AL186,'Bag weights'!A$2:B$6,2,FALSE)</f>
        <v>22.78</v>
      </c>
      <c r="AN186" s="28">
        <v>7.57</v>
      </c>
      <c r="AO186" s="28" t="s">
        <v>288</v>
      </c>
      <c r="AP186">
        <f>AN186-VLOOKUP(AO186,'Bag weights'!A$2:B$6,2,FALSE)</f>
        <v>5.08</v>
      </c>
      <c r="AS186" t="e">
        <f>AQ186-VLOOKUP(AR186,'Bag weights'!A$2:B$6,2,FALSE)</f>
        <v>#N/A</v>
      </c>
      <c r="AT186" s="28">
        <v>3.27</v>
      </c>
      <c r="AU186" s="28" t="s">
        <v>288</v>
      </c>
      <c r="AV186">
        <f>AT186-VLOOKUP(AU186,'Bag weights'!A$2:B$6,2,FALSE)</f>
        <v>0.7799999999999998</v>
      </c>
      <c r="AW186" t="e">
        <f t="shared" si="4"/>
        <v>#N/A</v>
      </c>
      <c r="BC186" s="92">
        <v>7.7</v>
      </c>
      <c r="BF186" s="28" t="s">
        <v>353</v>
      </c>
      <c r="BG186" s="109"/>
    </row>
    <row r="187" spans="1:59">
      <c r="A187" s="70"/>
      <c r="B187" s="70"/>
      <c r="C187" s="70">
        <v>4</v>
      </c>
      <c r="D187" s="70" t="s">
        <v>94</v>
      </c>
      <c r="E187" s="1"/>
      <c r="F187" s="1"/>
      <c r="I187" t="e">
        <f>G187-VLOOKUP(H187,'Bag weights'!A$2:B$6,2,FALSE)</f>
        <v>#N/A</v>
      </c>
      <c r="L187" t="e">
        <f>J187-VLOOKUP(K187,'Bag weights'!D$2:E$6,2,FALSE)</f>
        <v>#N/A</v>
      </c>
      <c r="N187" s="95"/>
      <c r="O187" t="e">
        <f>M187-VLOOKUP(N187,'Bag weights'!A$2:B$6,2,FALSE)</f>
        <v>#N/A</v>
      </c>
      <c r="R187" t="e">
        <f>P187-VLOOKUP(Q187,'Bag weights'!A$2:B$6,2,FALSE)</f>
        <v>#N/A</v>
      </c>
      <c r="S187" s="28">
        <v>24.36</v>
      </c>
      <c r="T187" s="28" t="s">
        <v>287</v>
      </c>
      <c r="U187">
        <f>S187- VLOOKUP(T187,'Bag weights'!A$2:B$6,2,FALSE)</f>
        <v>16.53</v>
      </c>
      <c r="X187" t="e">
        <f>V187-VLOOKUP(W187,'Bag weights'!A$2:B$6,2,FALSE)</f>
        <v>#N/A</v>
      </c>
      <c r="AA187" t="e">
        <f>Y187-VLOOKUP(Z187,'Bag weights'!A$2:B$6,2,FALSE)</f>
        <v>#N/A</v>
      </c>
      <c r="AB187" s="28">
        <v>18.5</v>
      </c>
      <c r="AC187" s="28" t="s">
        <v>287</v>
      </c>
      <c r="AD187">
        <f>AB187-VLOOKUP(AC187,'Bag weights'!A$2:B$6,2,FALSE)</f>
        <v>10.67</v>
      </c>
      <c r="AG187" t="e">
        <f>AE187-VLOOKUP(AF187,'Bag weights'!A$2:B$6,2,FALSE)</f>
        <v>#N/A</v>
      </c>
      <c r="AH187" s="28">
        <v>21.24</v>
      </c>
      <c r="AI187" s="28" t="s">
        <v>287</v>
      </c>
      <c r="AJ187">
        <f>AH187-VLOOKUP(AI187,'Bag weights'!A$2:B$6,2,FALSE)</f>
        <v>13.409999999999998</v>
      </c>
      <c r="AK187" s="28">
        <v>40.36</v>
      </c>
      <c r="AL187" s="28" t="s">
        <v>287</v>
      </c>
      <c r="AM187">
        <f>AK187-VLOOKUP(AL187,'Bag weights'!A$2:B$6,2,FALSE)</f>
        <v>32.53</v>
      </c>
      <c r="AN187" s="28"/>
      <c r="AP187" t="e">
        <f>AN187-VLOOKUP(AO187,'Bag weights'!A$2:B$6,2,FALSE)</f>
        <v>#N/A</v>
      </c>
      <c r="AS187" t="e">
        <f>AQ187-VLOOKUP(AR187,'Bag weights'!A$2:B$6,2,FALSE)</f>
        <v>#N/A</v>
      </c>
      <c r="AT187" s="28">
        <v>2.11</v>
      </c>
      <c r="AU187" s="28" t="s">
        <v>289</v>
      </c>
      <c r="AV187">
        <f>AT187-VLOOKUP(AU187,'Bag weights'!A$2:B$6,2,FALSE)</f>
        <v>0.61999999999999988</v>
      </c>
      <c r="AW187" t="e">
        <f t="shared" si="4"/>
        <v>#N/A</v>
      </c>
      <c r="BC187" s="92">
        <v>17.899999999999999</v>
      </c>
      <c r="BG187" s="108">
        <v>1.44</v>
      </c>
    </row>
    <row r="188" spans="1:59">
      <c r="A188" s="70"/>
      <c r="B188" s="70"/>
      <c r="C188" s="70">
        <v>4</v>
      </c>
      <c r="D188" s="70" t="s">
        <v>95</v>
      </c>
      <c r="E188" s="1"/>
      <c r="F188" s="1"/>
      <c r="I188" t="e">
        <f>G188-VLOOKUP(H188,'Bag weights'!A$2:B$6,2,FALSE)</f>
        <v>#N/A</v>
      </c>
      <c r="L188" t="e">
        <f>J188-VLOOKUP(K188,'Bag weights'!D$2:E$6,2,FALSE)</f>
        <v>#N/A</v>
      </c>
      <c r="N188" s="95"/>
      <c r="O188" t="e">
        <f>M188-VLOOKUP(N188,'Bag weights'!A$2:B$6,2,FALSE)</f>
        <v>#N/A</v>
      </c>
      <c r="R188" t="e">
        <f>P188-VLOOKUP(Q188,'Bag weights'!A$2:B$6,2,FALSE)</f>
        <v>#N/A</v>
      </c>
      <c r="U188" t="e">
        <f>S188- VLOOKUP(T188,'Bag weights'!A$2:B$6,2,FALSE)</f>
        <v>#N/A</v>
      </c>
      <c r="X188" t="e">
        <f>V188-VLOOKUP(W188,'Bag weights'!A$2:B$6,2,FALSE)</f>
        <v>#N/A</v>
      </c>
      <c r="AA188" t="e">
        <f>Y188-VLOOKUP(Z188,'Bag weights'!A$2:B$6,2,FALSE)</f>
        <v>#N/A</v>
      </c>
      <c r="AB188" s="28">
        <v>24.69</v>
      </c>
      <c r="AC188" s="28" t="s">
        <v>287</v>
      </c>
      <c r="AD188">
        <f>AB188-VLOOKUP(AC188,'Bag weights'!A$2:B$6,2,FALSE)</f>
        <v>16.86</v>
      </c>
      <c r="AG188" t="e">
        <f>AE188-VLOOKUP(AF188,'Bag weights'!A$2:B$6,2,FALSE)</f>
        <v>#N/A</v>
      </c>
      <c r="AH188" s="28">
        <v>12.63</v>
      </c>
      <c r="AI188" s="28" t="s">
        <v>287</v>
      </c>
      <c r="AJ188">
        <f>AH188-VLOOKUP(AI188,'Bag weights'!A$2:B$6,2,FALSE)</f>
        <v>4.8000000000000007</v>
      </c>
      <c r="AK188" s="28">
        <v>28.59</v>
      </c>
      <c r="AL188" s="28" t="s">
        <v>287</v>
      </c>
      <c r="AM188">
        <f>AK188-VLOOKUP(AL188,'Bag weights'!A$2:B$6,2,FALSE)</f>
        <v>20.759999999999998</v>
      </c>
      <c r="AN188" s="28">
        <v>4.24</v>
      </c>
      <c r="AO188" s="28" t="s">
        <v>288</v>
      </c>
      <c r="AP188">
        <f>AN188-VLOOKUP(AO188,'Bag weights'!A$2:B$6,2,FALSE)</f>
        <v>1.75</v>
      </c>
      <c r="AS188" t="e">
        <f>AQ188-VLOOKUP(AR188,'Bag weights'!A$2:B$6,2,FALSE)</f>
        <v>#N/A</v>
      </c>
      <c r="AT188" s="28">
        <v>8.18</v>
      </c>
      <c r="AU188" s="28" t="s">
        <v>288</v>
      </c>
      <c r="AV188">
        <f>AT188-VLOOKUP(AU188,'Bag weights'!A$2:B$6,2,FALSE)</f>
        <v>5.6899999999999995</v>
      </c>
      <c r="AW188" t="e">
        <f t="shared" si="4"/>
        <v>#N/A</v>
      </c>
      <c r="BC188" s="92">
        <v>44.2</v>
      </c>
      <c r="BG188" s="108">
        <v>0.35</v>
      </c>
    </row>
    <row r="189" spans="1:59">
      <c r="A189" s="70"/>
      <c r="B189" s="70"/>
      <c r="C189" s="70">
        <v>4</v>
      </c>
      <c r="D189" s="70" t="s">
        <v>96</v>
      </c>
      <c r="E189" s="1"/>
      <c r="F189" s="1"/>
      <c r="I189" t="e">
        <f>G189-VLOOKUP(H189,'Bag weights'!A$2:B$6,2,FALSE)</f>
        <v>#N/A</v>
      </c>
      <c r="L189" t="e">
        <f>J189-VLOOKUP(K189,'Bag weights'!D$2:E$6,2,FALSE)</f>
        <v>#N/A</v>
      </c>
      <c r="N189" s="87"/>
      <c r="O189" t="e">
        <f>M189-VLOOKUP(N189,'Bag weights'!A$2:B$6,2,FALSE)</f>
        <v>#N/A</v>
      </c>
      <c r="R189" t="e">
        <f>P189-VLOOKUP(Q189,'Bag weights'!A$2:B$6,2,FALSE)</f>
        <v>#N/A</v>
      </c>
      <c r="S189" s="28">
        <v>45.47</v>
      </c>
      <c r="T189" s="28" t="s">
        <v>284</v>
      </c>
      <c r="U189">
        <f>S189- VLOOKUP(T189,'Bag weights'!A$2:B$6,2,FALSE)</f>
        <v>24.52</v>
      </c>
      <c r="X189" t="e">
        <f>V189-VLOOKUP(W189,'Bag weights'!A$2:B$6,2,FALSE)</f>
        <v>#N/A</v>
      </c>
      <c r="Y189" s="28">
        <v>1.5</v>
      </c>
      <c r="Z189" s="28" t="s">
        <v>289</v>
      </c>
      <c r="AA189">
        <f>Y189-VLOOKUP(Z189,'Bag weights'!A$2:B$6,2,FALSE)</f>
        <v>1.0000000000000009E-2</v>
      </c>
      <c r="AB189" s="28">
        <v>48.76</v>
      </c>
      <c r="AC189" s="28" t="s">
        <v>286</v>
      </c>
      <c r="AD189">
        <f>AB189-VLOOKUP(AC189,'Bag weights'!A$2:B$6,2,FALSE)</f>
        <v>33.36</v>
      </c>
      <c r="AE189" s="28">
        <v>4.2300000000000004</v>
      </c>
      <c r="AF189" s="28" t="s">
        <v>288</v>
      </c>
      <c r="AG189">
        <f>AE189-VLOOKUP(AF189,'Bag weights'!A$2:B$6,2,FALSE)</f>
        <v>1.7400000000000002</v>
      </c>
      <c r="AH189" s="28">
        <v>12.74</v>
      </c>
      <c r="AI189" s="28" t="s">
        <v>287</v>
      </c>
      <c r="AJ189">
        <f>AH189-VLOOKUP(AI189,'Bag weights'!A$2:B$6,2,FALSE)</f>
        <v>4.91</v>
      </c>
      <c r="AK189" s="28">
        <v>30.54</v>
      </c>
      <c r="AL189" s="28" t="s">
        <v>287</v>
      </c>
      <c r="AM189">
        <f>AK189-VLOOKUP(AL189,'Bag weights'!A$2:B$6,2,FALSE)</f>
        <v>22.71</v>
      </c>
      <c r="AN189" s="28">
        <v>2.57</v>
      </c>
      <c r="AO189" s="28" t="s">
        <v>289</v>
      </c>
      <c r="AP189">
        <f>AN189-VLOOKUP(AO189,'Bag weights'!A$2:B$6,2,FALSE)</f>
        <v>1.0799999999999998</v>
      </c>
      <c r="AS189" t="e">
        <f>AQ189-VLOOKUP(AR189,'Bag weights'!A$2:B$6,2,FALSE)</f>
        <v>#N/A</v>
      </c>
      <c r="AT189" s="28">
        <v>6.55</v>
      </c>
      <c r="AU189" s="28" t="s">
        <v>288</v>
      </c>
      <c r="AV189">
        <f>AT189-VLOOKUP(AU189,'Bag weights'!A$2:B$6,2,FALSE)</f>
        <v>4.0599999999999996</v>
      </c>
      <c r="AW189" t="e">
        <f t="shared" si="4"/>
        <v>#N/A</v>
      </c>
      <c r="BC189" s="92">
        <v>30.2</v>
      </c>
      <c r="BG189" s="108">
        <v>3.28</v>
      </c>
    </row>
    <row r="190" spans="1:59">
      <c r="A190" s="70"/>
      <c r="B190" s="70"/>
      <c r="C190" s="70">
        <v>4</v>
      </c>
      <c r="D190" s="70" t="s">
        <v>39</v>
      </c>
      <c r="E190" s="1"/>
      <c r="F190" s="1"/>
      <c r="I190" t="e">
        <f>G190-VLOOKUP(H190,'Bag weights'!A$2:B$6,2,FALSE)</f>
        <v>#N/A</v>
      </c>
      <c r="L190" t="e">
        <f>J190-VLOOKUP(K190,'Bag weights'!D$2:E$6,2,FALSE)</f>
        <v>#N/A</v>
      </c>
      <c r="N190" s="87"/>
      <c r="O190" t="e">
        <f>M190-VLOOKUP(N190,'Bag weights'!A$2:B$6,2,FALSE)</f>
        <v>#N/A</v>
      </c>
      <c r="R190" t="e">
        <f>P190-VLOOKUP(Q190,'Bag weights'!A$2:B$6,2,FALSE)</f>
        <v>#N/A</v>
      </c>
      <c r="S190" s="28">
        <v>33.244999999999997</v>
      </c>
      <c r="T190" s="28" t="s">
        <v>286</v>
      </c>
      <c r="U190">
        <f>S190- VLOOKUP(T190,'Bag weights'!A$2:B$6,2,FALSE)</f>
        <v>17.844999999999999</v>
      </c>
      <c r="X190" t="e">
        <f>V190-VLOOKUP(W190,'Bag weights'!A$2:B$6,2,FALSE)</f>
        <v>#N/A</v>
      </c>
      <c r="Y190" s="28">
        <v>9.09</v>
      </c>
      <c r="Z190" s="28" t="s">
        <v>287</v>
      </c>
      <c r="AA190">
        <f>Y190-VLOOKUP(Z190,'Bag weights'!A$2:B$6,2,FALSE)</f>
        <v>1.2599999999999998</v>
      </c>
      <c r="AD190" t="e">
        <f>AB190-VLOOKUP(AC190,'Bag weights'!A$2:B$6,2,FALSE)</f>
        <v>#N/A</v>
      </c>
      <c r="AE190" s="28" t="s">
        <v>100</v>
      </c>
      <c r="AG190" t="e">
        <f>AE190-VLOOKUP(AF190,'Bag weights'!A$2:B$6,2,FALSE)</f>
        <v>#VALUE!</v>
      </c>
      <c r="AH190" s="28">
        <v>0.16</v>
      </c>
      <c r="AI190" s="28" t="s">
        <v>290</v>
      </c>
      <c r="AJ190" t="e">
        <f>AH190-VLOOKUP(AI190,'Bag weights'!A$2:B$6,2,FALSE)</f>
        <v>#N/A</v>
      </c>
      <c r="AK190" s="28">
        <v>32.33</v>
      </c>
      <c r="AL190" s="28" t="s">
        <v>286</v>
      </c>
      <c r="AM190">
        <f>AK190-VLOOKUP(AL190,'Bag weights'!A$2:B$6,2,FALSE)</f>
        <v>16.93</v>
      </c>
      <c r="AN190" s="28">
        <v>1.1100000000000001</v>
      </c>
      <c r="AO190" s="28" t="s">
        <v>290</v>
      </c>
      <c r="AP190" t="e">
        <f>AN190-VLOOKUP(AO190,'Bag weights'!A$2:B$6,2,FALSE)</f>
        <v>#N/A</v>
      </c>
      <c r="AS190" t="e">
        <f>AQ190-VLOOKUP(AR190,'Bag weights'!A$2:B$6,2,FALSE)</f>
        <v>#N/A</v>
      </c>
      <c r="AT190" s="28">
        <v>2.09</v>
      </c>
      <c r="AU190" s="28" t="s">
        <v>290</v>
      </c>
      <c r="AV190" t="e">
        <f>AT190-VLOOKUP(AU190,'Bag weights'!A$2:B$6,2,FALSE)</f>
        <v>#N/A</v>
      </c>
      <c r="AW190" t="e">
        <f t="shared" si="4"/>
        <v>#N/A</v>
      </c>
      <c r="BG190" s="109"/>
    </row>
    <row r="191" spans="1:59">
      <c r="A191" s="70"/>
      <c r="B191" s="70"/>
      <c r="C191" s="13">
        <v>4</v>
      </c>
      <c r="D191" s="75" t="s">
        <v>97</v>
      </c>
      <c r="E191" s="13"/>
      <c r="F191" s="13"/>
      <c r="G191" s="28">
        <v>1.47</v>
      </c>
      <c r="I191" s="28" t="e">
        <v>#N/A</v>
      </c>
      <c r="L191" s="28" t="e">
        <v>#N/A</v>
      </c>
      <c r="M191" s="28">
        <v>1.54</v>
      </c>
      <c r="N191" s="87"/>
      <c r="O191" s="28" t="e">
        <v>#N/A</v>
      </c>
      <c r="R191" s="28" t="e">
        <v>#N/A</v>
      </c>
      <c r="S191" s="28"/>
      <c r="U191" s="28" t="e">
        <v>#N/A</v>
      </c>
      <c r="X191" s="28" t="e">
        <v>#N/A</v>
      </c>
      <c r="Y191" s="28">
        <v>1.68</v>
      </c>
      <c r="Z191" s="28" t="s">
        <v>289</v>
      </c>
      <c r="AA191" s="28" t="e">
        <v>#N/A</v>
      </c>
      <c r="AB191" s="28">
        <v>2.67</v>
      </c>
      <c r="AC191" s="28" t="s">
        <v>288</v>
      </c>
      <c r="AD191" s="28" t="e">
        <v>#N/A</v>
      </c>
      <c r="AG191" s="28" t="e">
        <v>#N/A</v>
      </c>
      <c r="AJ191" s="28" t="e">
        <v>#N/A</v>
      </c>
      <c r="AM191" s="28" t="e">
        <v>#N/A</v>
      </c>
      <c r="AP191" s="28" t="e">
        <v>#N/A</v>
      </c>
      <c r="AS191" s="28" t="e">
        <v>#N/A</v>
      </c>
      <c r="AT191" s="28">
        <v>0.89</v>
      </c>
      <c r="AV191" s="28" t="e">
        <v>#N/A</v>
      </c>
      <c r="AW191" s="28" t="e">
        <v>#N/A</v>
      </c>
      <c r="AX191" s="28"/>
      <c r="BG191" s="109"/>
    </row>
    <row r="192" spans="1:59">
      <c r="A192" s="70"/>
      <c r="B192" s="70"/>
      <c r="C192" s="28">
        <v>4</v>
      </c>
      <c r="D192" s="75" t="s">
        <v>299</v>
      </c>
      <c r="E192" s="13"/>
      <c r="F192" s="13"/>
      <c r="I192" t="e">
        <f>G192-VLOOKUP(H192,'Bag weights'!A$2:B$6,2,FALSE)</f>
        <v>#N/A</v>
      </c>
      <c r="L192" t="e">
        <f>J192-VLOOKUP(K192,'Bag weights'!D$2:E$6,2,FALSE)</f>
        <v>#N/A</v>
      </c>
      <c r="N192" s="87"/>
      <c r="O192" t="e">
        <f>M192-VLOOKUP(N192,'Bag weights'!A$2:B$6,2,FALSE)</f>
        <v>#N/A</v>
      </c>
      <c r="R192" t="e">
        <f>P192-VLOOKUP(Q192,'Bag weights'!A$2:B$6,2,FALSE)</f>
        <v>#N/A</v>
      </c>
      <c r="S192" s="28">
        <v>22.97</v>
      </c>
      <c r="U192" t="e">
        <f>S192- VLOOKUP(T192,'Bag weights'!A$2:B$6,2,FALSE)</f>
        <v>#N/A</v>
      </c>
      <c r="X192" t="e">
        <f>V192-VLOOKUP(W192,'Bag weights'!A$2:B$6,2,FALSE)</f>
        <v>#N/A</v>
      </c>
      <c r="AA192" t="e">
        <f>Y192-VLOOKUP(Z192,'Bag weights'!A$2:B$6,2,FALSE)</f>
        <v>#N/A</v>
      </c>
      <c r="AD192" t="e">
        <f>AB192-VLOOKUP(AC192,'Bag weights'!A$2:B$6,2,FALSE)</f>
        <v>#N/A</v>
      </c>
      <c r="AG192" t="e">
        <f>AE192-VLOOKUP(AF192,'Bag weights'!A$2:B$6,2,FALSE)</f>
        <v>#N/A</v>
      </c>
      <c r="AH192" s="28">
        <v>18.84</v>
      </c>
      <c r="AI192" s="28" t="s">
        <v>287</v>
      </c>
      <c r="AJ192">
        <f>AH192-VLOOKUP(AI192,'Bag weights'!A$2:B$6,2,FALSE)</f>
        <v>11.01</v>
      </c>
      <c r="AK192" s="28">
        <v>22.2</v>
      </c>
      <c r="AL192" s="28" t="s">
        <v>287</v>
      </c>
      <c r="AM192">
        <f>AK192-VLOOKUP(AL192,'Bag weights'!A$2:B$6,2,FALSE)</f>
        <v>14.37</v>
      </c>
      <c r="AN192" s="28">
        <v>5.99</v>
      </c>
      <c r="AO192" s="28" t="s">
        <v>288</v>
      </c>
      <c r="AP192">
        <f>AN192-VLOOKUP(AO192,'Bag weights'!A$2:B$6,2,FALSE)</f>
        <v>3.5</v>
      </c>
      <c r="AS192" t="e">
        <f>AQ192-VLOOKUP(AR192,'Bag weights'!A$2:B$6,2,FALSE)</f>
        <v>#N/A</v>
      </c>
      <c r="AT192" s="28">
        <v>2.6</v>
      </c>
      <c r="AU192" s="28" t="s">
        <v>289</v>
      </c>
      <c r="AV192">
        <f>AT192-VLOOKUP(AU192,'Bag weights'!A$2:B$6,2,FALSE)</f>
        <v>1.1100000000000001</v>
      </c>
      <c r="AW192" t="e">
        <f t="shared" ref="AW192:AW232" si="5">SUM(AS192+AP192+AM192+AJ192+AG192+AD192+AA192+X192+U192+R192+I192+O192)</f>
        <v>#N/A</v>
      </c>
      <c r="BC192" s="92">
        <v>11.5</v>
      </c>
      <c r="BG192" s="108">
        <v>0.81</v>
      </c>
    </row>
    <row r="193" spans="1:59">
      <c r="A193" s="70" t="s">
        <v>109</v>
      </c>
      <c r="B193" s="70" t="s">
        <v>112</v>
      </c>
      <c r="C193" s="70">
        <v>1</v>
      </c>
      <c r="D193" s="70" t="s">
        <v>94</v>
      </c>
      <c r="E193" s="1"/>
      <c r="F193" s="1"/>
      <c r="I193" s="28">
        <v>0</v>
      </c>
      <c r="J193" s="28"/>
      <c r="K193" s="28"/>
      <c r="L193" t="e">
        <f>J193-VLOOKUP(K193,'Bag weights'!D$2:E$6,2,FALSE)</f>
        <v>#N/A</v>
      </c>
      <c r="M193" s="28">
        <v>3.16</v>
      </c>
      <c r="N193" s="87" t="s">
        <v>288</v>
      </c>
      <c r="O193">
        <f>M193-VLOOKUP(N193,'Bag weights'!A$2:B$6,2,FALSE)</f>
        <v>0.66999999999999993</v>
      </c>
      <c r="R193" s="28">
        <v>0</v>
      </c>
      <c r="S193" s="28">
        <v>4.6399999999999997</v>
      </c>
      <c r="T193" s="28" t="s">
        <v>287</v>
      </c>
      <c r="U193">
        <f>S193- VLOOKUP(T193,'Bag weights'!A$2:B$6,2,FALSE)</f>
        <v>-3.1900000000000004</v>
      </c>
      <c r="V193" s="28">
        <v>1.44</v>
      </c>
      <c r="W193" s="28" t="s">
        <v>289</v>
      </c>
      <c r="X193">
        <f>V193-VLOOKUP(W193,'Bag weights'!A$2:B$6,2,FALSE)</f>
        <v>-5.0000000000000044E-2</v>
      </c>
      <c r="Y193" s="28"/>
      <c r="Z193" s="28"/>
      <c r="AA193" s="28">
        <v>0</v>
      </c>
      <c r="AB193" s="28">
        <v>34.46</v>
      </c>
      <c r="AC193" s="28" t="s">
        <v>284</v>
      </c>
      <c r="AD193">
        <f>AB193-VLOOKUP(AC193,'Bag weights'!A$2:B$6,2,FALSE)</f>
        <v>13.510000000000002</v>
      </c>
      <c r="AG193" s="28">
        <v>0</v>
      </c>
      <c r="AH193" s="28">
        <v>32.07</v>
      </c>
      <c r="AI193" s="28" t="s">
        <v>284</v>
      </c>
      <c r="AJ193">
        <f>AH193-VLOOKUP(AI193,'Bag weights'!A$2:B$6,2,FALSE)</f>
        <v>11.120000000000001</v>
      </c>
      <c r="AK193" s="28">
        <v>30.86</v>
      </c>
      <c r="AL193" s="28" t="s">
        <v>284</v>
      </c>
      <c r="AM193">
        <f>AK193-VLOOKUP(AL193,'Bag weights'!A$2:B$6,2,FALSE)</f>
        <v>9.91</v>
      </c>
      <c r="AN193" s="28">
        <v>5.19</v>
      </c>
      <c r="AO193" s="28" t="s">
        <v>287</v>
      </c>
      <c r="AP193">
        <f>AN193-VLOOKUP(AO193,'Bag weights'!A$2:B$6,2,FALSE)</f>
        <v>-2.6399999999999997</v>
      </c>
      <c r="AS193" s="28">
        <v>0</v>
      </c>
      <c r="AT193" s="28">
        <v>3.72</v>
      </c>
      <c r="AU193" s="28" t="s">
        <v>288</v>
      </c>
      <c r="AV193">
        <f>AT193-VLOOKUP(AU193,'Bag weights'!A$2:B$6,2,FALSE)</f>
        <v>1.23</v>
      </c>
      <c r="AW193">
        <f t="shared" si="5"/>
        <v>29.33</v>
      </c>
      <c r="BC193" s="92">
        <v>8.1999999999999993</v>
      </c>
      <c r="BG193" s="108">
        <v>0.89</v>
      </c>
    </row>
    <row r="194" spans="1:59">
      <c r="A194" s="70"/>
      <c r="B194" s="70"/>
      <c r="C194" s="70">
        <v>1</v>
      </c>
      <c r="D194" s="70" t="s">
        <v>107</v>
      </c>
      <c r="E194" s="1"/>
      <c r="F194" s="1"/>
      <c r="I194" s="28">
        <v>0</v>
      </c>
      <c r="J194" s="28"/>
      <c r="K194" s="28"/>
      <c r="L194" t="e">
        <f>J194-VLOOKUP(K194,'Bag weights'!D$2:E$6,2,FALSE)</f>
        <v>#N/A</v>
      </c>
      <c r="M194" s="28">
        <v>3.24</v>
      </c>
      <c r="N194" s="87" t="s">
        <v>288</v>
      </c>
      <c r="O194">
        <f>M194-VLOOKUP(N194,'Bag weights'!A$2:B$6,2,FALSE)</f>
        <v>0.75</v>
      </c>
      <c r="R194" s="28">
        <v>0</v>
      </c>
      <c r="S194" s="28">
        <v>2.78</v>
      </c>
      <c r="T194" s="28" t="s">
        <v>288</v>
      </c>
      <c r="U194">
        <f>S194- VLOOKUP(T194,'Bag weights'!A$2:B$6,2,FALSE)</f>
        <v>0.28999999999999959</v>
      </c>
      <c r="V194" s="28">
        <v>0</v>
      </c>
      <c r="W194" s="28"/>
      <c r="X194" s="28">
        <v>0</v>
      </c>
      <c r="Y194" s="28">
        <v>9.1300000000000008</v>
      </c>
      <c r="Z194" s="28" t="s">
        <v>287</v>
      </c>
      <c r="AA194">
        <f>Y194-VLOOKUP(Z194,'Bag weights'!A$2:B$6,2,FALSE)</f>
        <v>1.3000000000000007</v>
      </c>
      <c r="AB194" s="28">
        <v>40.630000000000003</v>
      </c>
      <c r="AC194" s="28" t="s">
        <v>284</v>
      </c>
      <c r="AD194">
        <f>AB194-VLOOKUP(AC194,'Bag weights'!A$2:B$6,2,FALSE)</f>
        <v>19.680000000000003</v>
      </c>
      <c r="AG194" s="28">
        <v>0</v>
      </c>
      <c r="AH194" s="28">
        <v>44.74</v>
      </c>
      <c r="AI194" s="28" t="s">
        <v>284</v>
      </c>
      <c r="AJ194">
        <f>AH194-VLOOKUP(AI194,'Bag weights'!A$2:B$6,2,FALSE)</f>
        <v>23.790000000000003</v>
      </c>
      <c r="AK194" s="28">
        <v>34.5</v>
      </c>
      <c r="AL194" s="28" t="s">
        <v>284</v>
      </c>
      <c r="AM194">
        <f>AK194-VLOOKUP(AL194,'Bag weights'!A$2:B$6,2,FALSE)</f>
        <v>13.55</v>
      </c>
      <c r="AN194" s="28">
        <v>13.76</v>
      </c>
      <c r="AO194" s="28" t="s">
        <v>287</v>
      </c>
      <c r="AP194">
        <f>AN194-VLOOKUP(AO194,'Bag weights'!A$2:B$6,2,FALSE)</f>
        <v>5.93</v>
      </c>
      <c r="AS194" s="28">
        <v>0</v>
      </c>
      <c r="AV194" s="28">
        <v>0</v>
      </c>
      <c r="AW194">
        <f t="shared" si="5"/>
        <v>65.290000000000006</v>
      </c>
      <c r="BC194" s="92">
        <v>7.8</v>
      </c>
      <c r="BG194" s="108">
        <v>1.36</v>
      </c>
    </row>
    <row r="195" spans="1:59">
      <c r="A195" s="70"/>
      <c r="B195" s="70"/>
      <c r="C195" s="70">
        <v>1</v>
      </c>
      <c r="D195" s="75" t="s">
        <v>240</v>
      </c>
      <c r="E195" s="13"/>
      <c r="F195" s="13"/>
      <c r="I195" s="28">
        <v>0</v>
      </c>
      <c r="J195" s="28"/>
      <c r="K195" s="28"/>
      <c r="L195" t="e">
        <f>J195-VLOOKUP(K195,'Bag weights'!D$2:E$6,2,FALSE)</f>
        <v>#N/A</v>
      </c>
      <c r="M195" s="28">
        <v>3</v>
      </c>
      <c r="N195" s="87" t="s">
        <v>288</v>
      </c>
      <c r="O195">
        <f>M195-VLOOKUP(N195,'Bag weights'!A$2:B$6,2,FALSE)</f>
        <v>0.50999999999999979</v>
      </c>
      <c r="R195" s="28">
        <v>0</v>
      </c>
      <c r="S195" s="28">
        <v>9.56</v>
      </c>
      <c r="T195" s="28" t="s">
        <v>287</v>
      </c>
      <c r="U195">
        <f>S195- VLOOKUP(T195,'Bag weights'!A$2:B$6,2,FALSE)</f>
        <v>1.7300000000000004</v>
      </c>
      <c r="V195" s="28">
        <v>2.87</v>
      </c>
      <c r="W195" s="28" t="s">
        <v>288</v>
      </c>
      <c r="X195">
        <f>V195-VLOOKUP(W195,'Bag weights'!A$2:B$6,2,FALSE)</f>
        <v>0.37999999999999989</v>
      </c>
      <c r="AA195" s="28">
        <v>0</v>
      </c>
      <c r="AB195" s="28">
        <v>20.100000000000001</v>
      </c>
      <c r="AC195" s="28" t="s">
        <v>284</v>
      </c>
      <c r="AD195">
        <f>AB195-VLOOKUP(AC195,'Bag weights'!A$2:B$6,2,FALSE)</f>
        <v>-0.84999999999999787</v>
      </c>
      <c r="AE195" s="28">
        <v>2.89</v>
      </c>
      <c r="AF195" s="28" t="s">
        <v>288</v>
      </c>
      <c r="AG195">
        <f>AE195-VLOOKUP(AF195,'Bag weights'!A$2:B$6,2,FALSE)</f>
        <v>0.39999999999999991</v>
      </c>
      <c r="AH195" s="28">
        <v>31.19</v>
      </c>
      <c r="AI195" s="28" t="s">
        <v>284</v>
      </c>
      <c r="AJ195">
        <f>AH195-VLOOKUP(AI195,'Bag weights'!A$2:B$6,2,FALSE)</f>
        <v>10.240000000000002</v>
      </c>
      <c r="AK195" s="28">
        <v>46.07</v>
      </c>
      <c r="AL195" s="28" t="s">
        <v>284</v>
      </c>
      <c r="AM195">
        <f>AK195-VLOOKUP(AL195,'Bag weights'!A$2:B$6,2,FALSE)</f>
        <v>25.12</v>
      </c>
      <c r="AN195" s="28">
        <v>12.08</v>
      </c>
      <c r="AO195" s="28" t="s">
        <v>287</v>
      </c>
      <c r="AP195">
        <f>AN195-VLOOKUP(AO195,'Bag weights'!A$2:B$6,2,FALSE)</f>
        <v>4.25</v>
      </c>
      <c r="AS195" s="28">
        <v>0</v>
      </c>
      <c r="AT195" s="28">
        <v>1.52</v>
      </c>
      <c r="AU195" s="28" t="s">
        <v>289</v>
      </c>
      <c r="AV195">
        <f>AT195-VLOOKUP(AU195,'Bag weights'!A$2:B$6,2,FALSE)</f>
        <v>3.0000000000000027E-2</v>
      </c>
      <c r="AW195">
        <f t="shared" si="5"/>
        <v>41.779999999999994</v>
      </c>
      <c r="BC195" s="92">
        <v>4.5</v>
      </c>
      <c r="BG195" s="108">
        <v>0.98</v>
      </c>
    </row>
    <row r="196" spans="1:59">
      <c r="A196" s="70"/>
      <c r="B196" s="70"/>
      <c r="C196" s="70">
        <v>1</v>
      </c>
      <c r="D196" s="75" t="s">
        <v>108</v>
      </c>
      <c r="E196" s="13"/>
      <c r="F196" s="13"/>
      <c r="I196" s="28">
        <v>0</v>
      </c>
      <c r="J196" s="28"/>
      <c r="K196" s="28"/>
      <c r="L196" t="e">
        <f>J196-VLOOKUP(K196,'Bag weights'!D$2:E$6,2,FALSE)</f>
        <v>#N/A</v>
      </c>
      <c r="M196" s="28">
        <v>1.47</v>
      </c>
      <c r="N196" s="87" t="s">
        <v>289</v>
      </c>
      <c r="O196">
        <f>M196-VLOOKUP(N196,'Bag weights'!A$2:B$6,2,FALSE)</f>
        <v>-2.0000000000000018E-2</v>
      </c>
      <c r="R196" s="28">
        <v>0</v>
      </c>
      <c r="S196" s="28">
        <v>1.59</v>
      </c>
      <c r="T196" s="28" t="s">
        <v>289</v>
      </c>
      <c r="U196">
        <f>S196- VLOOKUP(T196,'Bag weights'!A$2:B$6,2,FALSE)</f>
        <v>0.10000000000000009</v>
      </c>
      <c r="X196" s="28">
        <v>0</v>
      </c>
      <c r="AA196" s="28">
        <v>0</v>
      </c>
      <c r="AB196" s="28">
        <v>4.7300000000000004</v>
      </c>
      <c r="AC196" s="28" t="s">
        <v>287</v>
      </c>
      <c r="AD196">
        <f>AB196-VLOOKUP(AC196,'Bag weights'!A$2:B$6,2,FALSE)</f>
        <v>-3.0999999999999996</v>
      </c>
      <c r="AE196" s="28">
        <v>1.96</v>
      </c>
      <c r="AF196" s="28" t="s">
        <v>289</v>
      </c>
      <c r="AG196">
        <f>AE196-VLOOKUP(AF196,'Bag weights'!A$2:B$6,2,FALSE)</f>
        <v>0.47</v>
      </c>
      <c r="AH196" s="28">
        <v>23.51</v>
      </c>
      <c r="AI196" s="28" t="s">
        <v>287</v>
      </c>
      <c r="AJ196">
        <f>AH196-VLOOKUP(AI196,'Bag weights'!A$2:B$6,2,FALSE)</f>
        <v>15.680000000000001</v>
      </c>
      <c r="AK196" s="28">
        <v>23.39</v>
      </c>
      <c r="AL196" s="28" t="s">
        <v>287</v>
      </c>
      <c r="AM196">
        <f>AK196-VLOOKUP(AL196,'Bag weights'!A$2:B$6,2,FALSE)</f>
        <v>15.56</v>
      </c>
      <c r="AN196" s="28">
        <v>17.809999999999999</v>
      </c>
      <c r="AO196" s="28" t="s">
        <v>287</v>
      </c>
      <c r="AP196">
        <f>AN196-VLOOKUP(AO196,'Bag weights'!A$2:B$6,2,FALSE)</f>
        <v>9.9799999999999986</v>
      </c>
      <c r="AS196" s="28">
        <v>0</v>
      </c>
      <c r="AV196" s="28">
        <v>0</v>
      </c>
      <c r="AW196">
        <f t="shared" si="5"/>
        <v>38.669999999999995</v>
      </c>
      <c r="BC196" s="92">
        <v>8.1999999999999993</v>
      </c>
      <c r="BG196" s="108">
        <v>0.56999999999999995</v>
      </c>
    </row>
    <row r="197" spans="1:59">
      <c r="A197" s="70"/>
      <c r="B197" s="70"/>
      <c r="C197" s="70">
        <v>1</v>
      </c>
      <c r="D197" s="75" t="s">
        <v>96</v>
      </c>
      <c r="E197" s="13"/>
      <c r="F197" s="13"/>
      <c r="I197" s="28">
        <v>0</v>
      </c>
      <c r="J197" s="28"/>
      <c r="K197" s="28"/>
      <c r="L197" t="e">
        <f>J197-VLOOKUP(K197,'Bag weights'!D$2:E$6,2,FALSE)</f>
        <v>#N/A</v>
      </c>
      <c r="M197" s="28">
        <v>2.61</v>
      </c>
      <c r="N197" s="87" t="s">
        <v>288</v>
      </c>
      <c r="O197">
        <f>M197-VLOOKUP(N197,'Bag weights'!A$2:B$6,2,FALSE)</f>
        <v>0.11999999999999966</v>
      </c>
      <c r="R197" s="28">
        <v>0</v>
      </c>
      <c r="S197" s="28">
        <v>3.31</v>
      </c>
      <c r="T197" s="28" t="s">
        <v>288</v>
      </c>
      <c r="U197">
        <f>S197- VLOOKUP(T197,'Bag weights'!A$2:B$6,2,FALSE)</f>
        <v>0.81999999999999984</v>
      </c>
      <c r="W197" s="28"/>
      <c r="X197" s="28">
        <v>0</v>
      </c>
      <c r="AA197" s="28">
        <v>0</v>
      </c>
      <c r="AB197" s="28">
        <v>35.340000000000003</v>
      </c>
      <c r="AC197" s="28" t="s">
        <v>284</v>
      </c>
      <c r="AD197">
        <f>AB197-VLOOKUP(AC197,'Bag weights'!A$2:B$6,2,FALSE)</f>
        <v>14.390000000000004</v>
      </c>
      <c r="AE197" s="28">
        <v>4.2</v>
      </c>
      <c r="AF197" s="28" t="s">
        <v>287</v>
      </c>
      <c r="AG197">
        <f>AE197-VLOOKUP(AF197,'Bag weights'!A$2:B$6,2,FALSE)</f>
        <v>-3.63</v>
      </c>
      <c r="AH197" s="28">
        <v>45.94</v>
      </c>
      <c r="AI197" s="28" t="s">
        <v>284</v>
      </c>
      <c r="AJ197">
        <f>AH197-VLOOKUP(AI197,'Bag weights'!A$2:B$6,2,FALSE)</f>
        <v>24.99</v>
      </c>
      <c r="AK197" s="28">
        <v>34.799999999999997</v>
      </c>
      <c r="AL197" s="28" t="s">
        <v>284</v>
      </c>
      <c r="AM197">
        <f>AK197-VLOOKUP(AL197,'Bag weights'!A$2:B$6,2,FALSE)</f>
        <v>13.849999999999998</v>
      </c>
      <c r="AN197" s="28">
        <v>12.07</v>
      </c>
      <c r="AO197" s="28" t="s">
        <v>287</v>
      </c>
      <c r="AP197">
        <f>AN197-VLOOKUP(AO197,'Bag weights'!A$2:B$6,2,FALSE)</f>
        <v>4.24</v>
      </c>
      <c r="AS197" s="28">
        <v>0</v>
      </c>
      <c r="AT197" s="28">
        <v>2.96</v>
      </c>
      <c r="AU197" s="28" t="s">
        <v>288</v>
      </c>
      <c r="AV197">
        <f>AT197-VLOOKUP(AU197,'Bag weights'!A$2:B$6,2,FALSE)</f>
        <v>0.46999999999999975</v>
      </c>
      <c r="AW197">
        <f t="shared" si="5"/>
        <v>54.78</v>
      </c>
      <c r="BC197" s="92">
        <v>5.0999999999999996</v>
      </c>
      <c r="BG197" s="108">
        <v>1.45</v>
      </c>
    </row>
    <row r="198" spans="1:59">
      <c r="A198" s="70"/>
      <c r="B198" s="70"/>
      <c r="C198" s="70">
        <v>2</v>
      </c>
      <c r="D198" s="70" t="s">
        <v>94</v>
      </c>
      <c r="E198" s="1"/>
      <c r="F198" s="1"/>
      <c r="G198" s="28" t="s">
        <v>354</v>
      </c>
      <c r="H198" s="28" t="s">
        <v>354</v>
      </c>
      <c r="I198" s="28">
        <v>0.85</v>
      </c>
      <c r="J198" s="28"/>
      <c r="K198" s="28"/>
      <c r="L198" t="e">
        <f>J198-VLOOKUP(K198,'Bag weights'!D$2:E$6,2,FALSE)</f>
        <v>#N/A</v>
      </c>
      <c r="M198" s="28">
        <v>0.54</v>
      </c>
      <c r="N198" s="28" t="s">
        <v>354</v>
      </c>
      <c r="O198" s="28" t="s">
        <v>354</v>
      </c>
      <c r="P198" s="28" t="s">
        <v>354</v>
      </c>
      <c r="Q198" s="28" t="s">
        <v>354</v>
      </c>
      <c r="R198" s="28" t="s">
        <v>354</v>
      </c>
      <c r="S198" s="28">
        <v>0.13</v>
      </c>
      <c r="T198" s="28" t="s">
        <v>354</v>
      </c>
      <c r="U198" s="28" t="s">
        <v>354</v>
      </c>
      <c r="V198" s="28">
        <v>0.28999999999999998</v>
      </c>
      <c r="W198" s="28" t="s">
        <v>354</v>
      </c>
      <c r="X198" s="28" t="s">
        <v>354</v>
      </c>
      <c r="Y198" s="28" t="s">
        <v>354</v>
      </c>
      <c r="Z198" s="28" t="s">
        <v>354</v>
      </c>
      <c r="AA198" s="28" t="s">
        <v>354</v>
      </c>
      <c r="AB198" s="28">
        <v>12.79</v>
      </c>
      <c r="AC198" s="28" t="s">
        <v>354</v>
      </c>
      <c r="AD198" s="28" t="s">
        <v>354</v>
      </c>
      <c r="AE198" s="28">
        <v>0.12</v>
      </c>
      <c r="AF198" s="28" t="s">
        <v>354</v>
      </c>
      <c r="AG198" s="28" t="s">
        <v>354</v>
      </c>
      <c r="AH198" s="28">
        <v>9.8800000000000008</v>
      </c>
      <c r="AI198" s="28" t="s">
        <v>354</v>
      </c>
      <c r="AJ198" s="28" t="s">
        <v>354</v>
      </c>
      <c r="AK198" s="28">
        <v>58.49</v>
      </c>
      <c r="AL198" s="28" t="s">
        <v>354</v>
      </c>
      <c r="AM198" s="28" t="s">
        <v>354</v>
      </c>
      <c r="AN198" s="28">
        <v>3.92</v>
      </c>
      <c r="AO198" s="28" t="s">
        <v>354</v>
      </c>
      <c r="AP198" s="28" t="s">
        <v>354</v>
      </c>
      <c r="AQ198" s="28" t="s">
        <v>354</v>
      </c>
      <c r="AR198" s="28" t="s">
        <v>354</v>
      </c>
      <c r="AS198" s="28" t="s">
        <v>354</v>
      </c>
      <c r="AT198" s="28">
        <v>0.33</v>
      </c>
      <c r="AU198" s="28" t="s">
        <v>354</v>
      </c>
      <c r="AV198" s="28" t="s">
        <v>354</v>
      </c>
      <c r="AW198" t="e">
        <f t="shared" si="5"/>
        <v>#VALUE!</v>
      </c>
      <c r="AY198" s="28" t="s">
        <v>354</v>
      </c>
      <c r="AZ198" s="28" t="s">
        <v>355</v>
      </c>
      <c r="BC198" s="92">
        <v>4.5999999999999996</v>
      </c>
      <c r="BG198" s="108">
        <v>1.1299999999999999</v>
      </c>
    </row>
    <row r="199" spans="1:59">
      <c r="A199" s="70"/>
      <c r="B199" s="70"/>
      <c r="C199" s="70">
        <v>2</v>
      </c>
      <c r="D199" s="70" t="s">
        <v>107</v>
      </c>
      <c r="E199" s="1"/>
      <c r="F199" s="1"/>
      <c r="I199" s="28">
        <v>0</v>
      </c>
      <c r="J199" s="28"/>
      <c r="K199" s="28"/>
      <c r="L199" t="e">
        <f>J199-VLOOKUP(K199,'Bag weights'!D$2:E$6,2,FALSE)</f>
        <v>#N/A</v>
      </c>
      <c r="M199" s="28">
        <v>2.92</v>
      </c>
      <c r="N199" s="87" t="s">
        <v>288</v>
      </c>
      <c r="O199">
        <f>M199-VLOOKUP(N199,'Bag weights'!A$2:B$6,2,FALSE)</f>
        <v>0.42999999999999972</v>
      </c>
      <c r="R199" s="28">
        <v>0</v>
      </c>
      <c r="S199" s="28">
        <v>2.75</v>
      </c>
      <c r="T199" s="28" t="s">
        <v>288</v>
      </c>
      <c r="U199">
        <f>S199- VLOOKUP(T199,'Bag weights'!A$2:B$6,2,FALSE)</f>
        <v>0.25999999999999979</v>
      </c>
      <c r="V199" s="28">
        <v>2.65</v>
      </c>
      <c r="W199" s="28" t="s">
        <v>288</v>
      </c>
      <c r="X199">
        <f>V199-VLOOKUP(W199,'Bag weights'!A$2:B$6,2,FALSE)</f>
        <v>0.1599999999999997</v>
      </c>
      <c r="AA199" s="28">
        <v>0</v>
      </c>
      <c r="AB199" s="28">
        <v>11.57</v>
      </c>
      <c r="AC199" s="28" t="s">
        <v>287</v>
      </c>
      <c r="AD199">
        <f>AB199-VLOOKUP(AC199,'Bag weights'!A$2:B$6,2,FALSE)</f>
        <v>3.74</v>
      </c>
      <c r="AE199" s="28">
        <v>3.56</v>
      </c>
      <c r="AF199" s="28" t="s">
        <v>288</v>
      </c>
      <c r="AG199">
        <f>AE199-VLOOKUP(AF199,'Bag weights'!A$2:B$6,2,FALSE)</f>
        <v>1.0699999999999998</v>
      </c>
      <c r="AH199" s="28">
        <v>45.35</v>
      </c>
      <c r="AI199" s="28" t="s">
        <v>284</v>
      </c>
      <c r="AJ199">
        <f>AH199-VLOOKUP(AI199,'Bag weights'!A$2:B$6,2,FALSE)</f>
        <v>24.400000000000002</v>
      </c>
      <c r="AK199" s="28">
        <v>46.12</v>
      </c>
      <c r="AL199" s="28" t="s">
        <v>284</v>
      </c>
      <c r="AM199">
        <f>AK199-VLOOKUP(AL199,'Bag weights'!A$2:B$6,2,FALSE)</f>
        <v>25.169999999999998</v>
      </c>
      <c r="AN199" s="28">
        <v>6.22</v>
      </c>
      <c r="AO199" s="28" t="s">
        <v>288</v>
      </c>
      <c r="AP199">
        <f>AN199-VLOOKUP(AO199,'Bag weights'!A$2:B$6,2,FALSE)</f>
        <v>3.7299999999999995</v>
      </c>
      <c r="AS199" s="28">
        <v>0</v>
      </c>
      <c r="AT199" s="28">
        <v>1.85</v>
      </c>
      <c r="AU199" s="28" t="s">
        <v>289</v>
      </c>
      <c r="AV199">
        <f>AT199-VLOOKUP(AU199,'Bag weights'!A$2:B$6,2,FALSE)</f>
        <v>0.3600000000000001</v>
      </c>
      <c r="AW199">
        <f t="shared" si="5"/>
        <v>58.959999999999994</v>
      </c>
      <c r="BC199" s="92">
        <v>4.5</v>
      </c>
      <c r="BG199" s="108">
        <v>0.85</v>
      </c>
    </row>
    <row r="200" spans="1:59">
      <c r="A200" s="70"/>
      <c r="B200" s="70"/>
      <c r="C200" s="70">
        <v>2</v>
      </c>
      <c r="D200" s="75" t="s">
        <v>240</v>
      </c>
      <c r="E200" s="13"/>
      <c r="F200" s="13"/>
      <c r="I200" s="28">
        <v>0</v>
      </c>
      <c r="J200" s="28"/>
      <c r="K200" s="28"/>
      <c r="L200" t="e">
        <f>J200-VLOOKUP(K200,'Bag weights'!D$2:E$6,2,FALSE)</f>
        <v>#N/A</v>
      </c>
      <c r="M200" s="28">
        <v>2.92</v>
      </c>
      <c r="N200" s="87" t="s">
        <v>288</v>
      </c>
      <c r="O200">
        <f>M200-VLOOKUP(N200,'Bag weights'!A$2:B$6,2,FALSE)</f>
        <v>0.42999999999999972</v>
      </c>
      <c r="R200" s="28">
        <v>0</v>
      </c>
      <c r="S200" s="28">
        <v>2.72</v>
      </c>
      <c r="T200" s="28" t="s">
        <v>288</v>
      </c>
      <c r="U200">
        <f>S200- VLOOKUP(T200,'Bag weights'!A$2:B$6,2,FALSE)</f>
        <v>0.22999999999999998</v>
      </c>
      <c r="X200" s="28">
        <v>0</v>
      </c>
      <c r="AA200" s="28">
        <v>0</v>
      </c>
      <c r="AB200" s="28">
        <v>15.64</v>
      </c>
      <c r="AC200" s="28" t="s">
        <v>287</v>
      </c>
      <c r="AD200">
        <f>AB200-VLOOKUP(AC200,'Bag weights'!A$2:B$6,2,FALSE)</f>
        <v>7.8100000000000005</v>
      </c>
      <c r="AE200" s="28">
        <v>9.19</v>
      </c>
      <c r="AF200" s="28" t="s">
        <v>287</v>
      </c>
      <c r="AG200">
        <f>AE200-VLOOKUP(AF200,'Bag weights'!A$2:B$6,2,FALSE)</f>
        <v>1.3599999999999994</v>
      </c>
      <c r="AH200" s="28">
        <v>47.99</v>
      </c>
      <c r="AI200" s="28" t="s">
        <v>284</v>
      </c>
      <c r="AJ200">
        <f>AH200-VLOOKUP(AI200,'Bag weights'!A$2:B$6,2,FALSE)</f>
        <v>27.040000000000003</v>
      </c>
      <c r="AK200" s="28">
        <v>35.299999999999997</v>
      </c>
      <c r="AL200" s="28" t="s">
        <v>284</v>
      </c>
      <c r="AM200">
        <f>AK200-VLOOKUP(AL200,'Bag weights'!A$2:B$6,2,FALSE)</f>
        <v>14.349999999999998</v>
      </c>
      <c r="AN200" s="28">
        <v>14.08</v>
      </c>
      <c r="AO200" s="28" t="s">
        <v>287</v>
      </c>
      <c r="AP200">
        <f>AN200-VLOOKUP(AO200,'Bag weights'!A$2:B$6,2,FALSE)</f>
        <v>6.25</v>
      </c>
      <c r="AS200" s="28">
        <v>0</v>
      </c>
      <c r="AT200" s="28">
        <v>3.52</v>
      </c>
      <c r="AU200" s="28" t="s">
        <v>288</v>
      </c>
      <c r="AV200">
        <f>AT200-VLOOKUP(AU200,'Bag weights'!A$2:B$6,2,FALSE)</f>
        <v>1.0299999999999998</v>
      </c>
      <c r="AW200">
        <f t="shared" si="5"/>
        <v>57.47</v>
      </c>
      <c r="BC200" s="92">
        <v>5.3</v>
      </c>
      <c r="BG200" s="108">
        <v>0.34</v>
      </c>
    </row>
    <row r="201" spans="1:59">
      <c r="A201" s="70"/>
      <c r="B201" s="70"/>
      <c r="C201" s="75">
        <v>2</v>
      </c>
      <c r="D201" s="75" t="s">
        <v>108</v>
      </c>
      <c r="E201" s="13"/>
      <c r="F201" s="13"/>
      <c r="I201" s="28">
        <v>0</v>
      </c>
      <c r="J201" s="28"/>
      <c r="K201" s="28"/>
      <c r="L201" t="e">
        <f>J201-VLOOKUP(K201,'Bag weights'!D$2:E$6,2,FALSE)</f>
        <v>#N/A</v>
      </c>
      <c r="M201" s="28">
        <v>3.01</v>
      </c>
      <c r="N201" s="87" t="s">
        <v>288</v>
      </c>
      <c r="O201">
        <f>M201-VLOOKUP(N201,'Bag weights'!A$2:B$6,2,FALSE)</f>
        <v>0.51999999999999957</v>
      </c>
      <c r="R201" s="28">
        <v>0</v>
      </c>
      <c r="S201" s="28">
        <v>2.64</v>
      </c>
      <c r="T201" s="28" t="s">
        <v>288</v>
      </c>
      <c r="U201">
        <f>S201- VLOOKUP(T201,'Bag weights'!A$2:B$6,2,FALSE)</f>
        <v>0.14999999999999991</v>
      </c>
      <c r="V201" s="28">
        <v>1.45</v>
      </c>
      <c r="W201" s="28" t="s">
        <v>289</v>
      </c>
      <c r="X201">
        <f>V201-VLOOKUP(W201,'Bag weights'!A$2:B$6,2,FALSE)</f>
        <v>-4.0000000000000036E-2</v>
      </c>
      <c r="AA201" s="28">
        <v>0</v>
      </c>
      <c r="AB201" s="28">
        <v>36.520000000000003</v>
      </c>
      <c r="AC201" s="28" t="s">
        <v>284</v>
      </c>
      <c r="AD201">
        <f>AB201-VLOOKUP(AC201,'Bag weights'!A$2:B$6,2,FALSE)</f>
        <v>15.570000000000004</v>
      </c>
      <c r="AE201" s="28">
        <v>10.6</v>
      </c>
      <c r="AF201" s="28" t="s">
        <v>287</v>
      </c>
      <c r="AG201">
        <f>AE201-VLOOKUP(AF201,'Bag weights'!A$2:B$6,2,FALSE)</f>
        <v>2.7699999999999996</v>
      </c>
      <c r="AH201" s="28">
        <v>45.44</v>
      </c>
      <c r="AI201" s="28" t="s">
        <v>284</v>
      </c>
      <c r="AJ201">
        <f>AH201-VLOOKUP(AI201,'Bag weights'!A$2:B$6,2,FALSE)</f>
        <v>24.49</v>
      </c>
      <c r="AK201" s="28">
        <v>39.450000000000003</v>
      </c>
      <c r="AL201" s="28" t="s">
        <v>284</v>
      </c>
      <c r="AM201">
        <f>AK201-VLOOKUP(AL201,'Bag weights'!A$2:B$6,2,FALSE)</f>
        <v>18.500000000000004</v>
      </c>
      <c r="AN201" s="28">
        <v>5.04</v>
      </c>
      <c r="AO201" s="28" t="s">
        <v>288</v>
      </c>
      <c r="AP201">
        <f>AN201-VLOOKUP(AO201,'Bag weights'!A$2:B$6,2,FALSE)</f>
        <v>2.5499999999999998</v>
      </c>
      <c r="AS201" s="28">
        <v>0</v>
      </c>
      <c r="AT201" s="28">
        <v>1.71</v>
      </c>
      <c r="AU201" s="28" t="s">
        <v>289</v>
      </c>
      <c r="AV201">
        <f>AT201-VLOOKUP(AU201,'Bag weights'!A$2:B$6,2,FALSE)</f>
        <v>0.21999999999999997</v>
      </c>
      <c r="AW201">
        <f t="shared" si="5"/>
        <v>64.510000000000005</v>
      </c>
      <c r="BC201" s="92">
        <v>4.9000000000000004</v>
      </c>
      <c r="BG201" s="108">
        <v>1.37</v>
      </c>
    </row>
    <row r="202" spans="1:59">
      <c r="A202" s="70"/>
      <c r="B202" s="70"/>
      <c r="C202" s="70">
        <v>2</v>
      </c>
      <c r="D202" s="75" t="s">
        <v>96</v>
      </c>
      <c r="E202" s="13"/>
      <c r="F202" s="13"/>
      <c r="G202" s="28" t="s">
        <v>354</v>
      </c>
      <c r="H202" s="28" t="s">
        <v>354</v>
      </c>
      <c r="I202" s="28"/>
      <c r="J202" s="28"/>
      <c r="K202" s="28"/>
      <c r="L202" t="e">
        <f>J202-VLOOKUP(K202,'Bag weights'!D$2:E$6,2,FALSE)</f>
        <v>#N/A</v>
      </c>
      <c r="M202" s="28" t="s">
        <v>354</v>
      </c>
      <c r="N202" s="28" t="s">
        <v>354</v>
      </c>
      <c r="O202" s="28" t="s">
        <v>354</v>
      </c>
      <c r="P202" s="28" t="s">
        <v>354</v>
      </c>
      <c r="Q202" s="28" t="s">
        <v>354</v>
      </c>
      <c r="R202" s="28" t="s">
        <v>354</v>
      </c>
      <c r="S202" s="28">
        <v>8.4700000000000006</v>
      </c>
      <c r="T202" s="28" t="s">
        <v>354</v>
      </c>
      <c r="U202" s="28" t="s">
        <v>354</v>
      </c>
      <c r="V202" s="28">
        <v>1.58</v>
      </c>
      <c r="W202" s="28" t="s">
        <v>354</v>
      </c>
      <c r="X202" s="28" t="s">
        <v>354</v>
      </c>
      <c r="Y202" s="28" t="s">
        <v>354</v>
      </c>
      <c r="Z202" s="28" t="s">
        <v>354</v>
      </c>
      <c r="AA202" s="28" t="s">
        <v>354</v>
      </c>
      <c r="AB202" s="28">
        <v>17.41</v>
      </c>
      <c r="AC202" s="28" t="s">
        <v>354</v>
      </c>
      <c r="AD202" s="28" t="s">
        <v>354</v>
      </c>
      <c r="AE202" s="28">
        <v>11.16</v>
      </c>
      <c r="AF202" s="28" t="s">
        <v>354</v>
      </c>
      <c r="AG202" s="28" t="s">
        <v>354</v>
      </c>
      <c r="AH202" s="28">
        <v>23.69</v>
      </c>
      <c r="AI202" s="28" t="s">
        <v>354</v>
      </c>
      <c r="AJ202" s="28" t="s">
        <v>354</v>
      </c>
      <c r="AK202" s="28">
        <v>52.3</v>
      </c>
      <c r="AL202" s="28" t="s">
        <v>354</v>
      </c>
      <c r="AM202" s="28" t="s">
        <v>354</v>
      </c>
      <c r="AN202" s="28">
        <v>12.76</v>
      </c>
      <c r="AO202" s="28" t="s">
        <v>354</v>
      </c>
      <c r="AP202" s="28" t="s">
        <v>354</v>
      </c>
      <c r="AQ202" s="28" t="s">
        <v>354</v>
      </c>
      <c r="AR202" s="28" t="s">
        <v>354</v>
      </c>
      <c r="AS202" s="28" t="s">
        <v>354</v>
      </c>
      <c r="AT202" s="28">
        <v>1.62</v>
      </c>
      <c r="AU202" s="28" t="s">
        <v>354</v>
      </c>
      <c r="AV202" s="28" t="s">
        <v>354</v>
      </c>
      <c r="AW202" t="e">
        <f t="shared" si="5"/>
        <v>#VALUE!</v>
      </c>
      <c r="AY202" s="28" t="s">
        <v>354</v>
      </c>
      <c r="AZ202" s="28" t="s">
        <v>355</v>
      </c>
      <c r="BC202" s="92">
        <v>4.3</v>
      </c>
      <c r="BG202" s="108">
        <v>0.57999999999999996</v>
      </c>
    </row>
    <row r="203" spans="1:59">
      <c r="A203" s="70"/>
      <c r="B203" s="70"/>
      <c r="C203" s="70">
        <v>3</v>
      </c>
      <c r="D203" s="70" t="s">
        <v>94</v>
      </c>
      <c r="E203" s="1"/>
      <c r="F203" s="1"/>
      <c r="I203" s="28">
        <v>0</v>
      </c>
      <c r="J203" s="28"/>
      <c r="K203" s="28"/>
      <c r="L203" t="e">
        <f>J203-VLOOKUP(K203,'Bag weights'!D$2:E$6,2,FALSE)</f>
        <v>#N/A</v>
      </c>
      <c r="M203" s="28">
        <v>14.05</v>
      </c>
      <c r="N203" s="87" t="s">
        <v>287</v>
      </c>
      <c r="O203">
        <f>M203-VLOOKUP(N203,'Bag weights'!A$2:B$6,2,FALSE)</f>
        <v>6.2200000000000006</v>
      </c>
      <c r="R203" s="28">
        <v>0</v>
      </c>
      <c r="S203" s="28">
        <v>10.54</v>
      </c>
      <c r="T203" s="28" t="s">
        <v>287</v>
      </c>
      <c r="U203">
        <f>S203- VLOOKUP(T203,'Bag weights'!A$2:B$6,2,FALSE)</f>
        <v>2.7099999999999991</v>
      </c>
      <c r="V203" s="28">
        <v>1.57</v>
      </c>
      <c r="W203" s="28" t="s">
        <v>289</v>
      </c>
      <c r="X203">
        <f>V203-VLOOKUP(W203,'Bag weights'!A$2:B$6,2,FALSE)</f>
        <v>8.0000000000000071E-2</v>
      </c>
      <c r="AA203" s="28">
        <v>0</v>
      </c>
      <c r="AB203" s="28">
        <v>21.06</v>
      </c>
      <c r="AC203" s="28" t="s">
        <v>287</v>
      </c>
      <c r="AD203">
        <f>AB203-VLOOKUP(AC203,'Bag weights'!A$2:B$6,2,FALSE)</f>
        <v>13.229999999999999</v>
      </c>
      <c r="AG203" s="28">
        <v>0</v>
      </c>
      <c r="AH203" s="28">
        <v>11.03</v>
      </c>
      <c r="AI203" s="28" t="s">
        <v>287</v>
      </c>
      <c r="AJ203">
        <f>AH203-VLOOKUP(AI203,'Bag weights'!A$2:B$6,2,FALSE)</f>
        <v>3.1999999999999993</v>
      </c>
      <c r="AK203" s="28">
        <v>31.73</v>
      </c>
      <c r="AL203" s="28" t="s">
        <v>287</v>
      </c>
      <c r="AM203">
        <f>AK203-VLOOKUP(AL203,'Bag weights'!A$2:B$6,2,FALSE)</f>
        <v>23.9</v>
      </c>
      <c r="AP203" s="28">
        <v>0</v>
      </c>
      <c r="AS203" s="28">
        <v>0</v>
      </c>
      <c r="AT203" s="28">
        <v>2.74</v>
      </c>
      <c r="AU203" s="28" t="s">
        <v>289</v>
      </c>
      <c r="AV203">
        <f>AT203-VLOOKUP(AU203,'Bag weights'!A$2:B$6,2,FALSE)</f>
        <v>1.2500000000000002</v>
      </c>
      <c r="AW203">
        <f t="shared" si="5"/>
        <v>49.339999999999996</v>
      </c>
      <c r="BC203" s="92">
        <v>4</v>
      </c>
      <c r="BG203" s="108">
        <v>2.34</v>
      </c>
    </row>
    <row r="204" spans="1:59">
      <c r="A204" s="70"/>
      <c r="B204" s="70"/>
      <c r="C204" s="70">
        <v>3</v>
      </c>
      <c r="D204" s="70" t="s">
        <v>107</v>
      </c>
      <c r="E204" s="1"/>
      <c r="F204" s="1"/>
      <c r="I204" s="28">
        <v>0</v>
      </c>
      <c r="J204" s="28"/>
      <c r="K204" s="28"/>
      <c r="L204" t="e">
        <f>J204-VLOOKUP(K204,'Bag weights'!D$2:E$6,2,FALSE)</f>
        <v>#N/A</v>
      </c>
      <c r="M204" s="28">
        <v>21.97</v>
      </c>
      <c r="N204" s="87" t="s">
        <v>287</v>
      </c>
      <c r="O204">
        <f>M204-VLOOKUP(N204,'Bag weights'!A$2:B$6,2,FALSE)</f>
        <v>14.139999999999999</v>
      </c>
      <c r="R204" s="28">
        <v>0</v>
      </c>
      <c r="S204" s="28">
        <v>1.85</v>
      </c>
      <c r="T204" s="28" t="s">
        <v>289</v>
      </c>
      <c r="U204">
        <f>S204- VLOOKUP(T204,'Bag weights'!A$2:B$6,2,FALSE)</f>
        <v>0.3600000000000001</v>
      </c>
      <c r="V204" s="28">
        <v>1.5</v>
      </c>
      <c r="W204" s="28" t="s">
        <v>289</v>
      </c>
      <c r="X204">
        <f>V204-VLOOKUP(W204,'Bag weights'!A$2:B$6,2,FALSE)</f>
        <v>1.0000000000000009E-2</v>
      </c>
      <c r="AA204" s="28">
        <v>0</v>
      </c>
      <c r="AB204" s="28">
        <v>34.630000000000003</v>
      </c>
      <c r="AC204" s="28" t="s">
        <v>287</v>
      </c>
      <c r="AD204">
        <f>AB204-VLOOKUP(AC204,'Bag weights'!A$2:B$6,2,FALSE)</f>
        <v>26.800000000000004</v>
      </c>
      <c r="AG204" s="28">
        <v>0</v>
      </c>
      <c r="AH204" s="28">
        <v>15.05</v>
      </c>
      <c r="AI204" s="28" t="s">
        <v>287</v>
      </c>
      <c r="AJ204">
        <f>AH204-VLOOKUP(AI204,'Bag weights'!A$2:B$6,2,FALSE)</f>
        <v>7.2200000000000006</v>
      </c>
      <c r="AK204" s="28">
        <v>23.59</v>
      </c>
      <c r="AL204" s="28" t="s">
        <v>287</v>
      </c>
      <c r="AM204">
        <f>AK204-VLOOKUP(AL204,'Bag weights'!A$2:B$6,2,FALSE)</f>
        <v>15.76</v>
      </c>
      <c r="AN204" s="28">
        <v>7.16</v>
      </c>
      <c r="AO204" s="28" t="s">
        <v>288</v>
      </c>
      <c r="AP204">
        <f>AN204-VLOOKUP(AO204,'Bag weights'!A$2:B$6,2,FALSE)</f>
        <v>4.67</v>
      </c>
      <c r="AS204" s="28">
        <v>0</v>
      </c>
      <c r="AT204" s="28">
        <v>3.42</v>
      </c>
      <c r="AU204" s="28" t="s">
        <v>289</v>
      </c>
      <c r="AV204">
        <f>AT204-VLOOKUP(AU204,'Bag weights'!A$2:B$6,2,FALSE)</f>
        <v>1.93</v>
      </c>
      <c r="AW204">
        <f t="shared" si="5"/>
        <v>68.959999999999994</v>
      </c>
      <c r="BC204" s="92">
        <v>5.9</v>
      </c>
      <c r="BG204" s="108">
        <v>2.16</v>
      </c>
    </row>
    <row r="205" spans="1:59">
      <c r="A205" s="70"/>
      <c r="B205" s="70"/>
      <c r="C205" s="70">
        <v>3</v>
      </c>
      <c r="D205" s="75" t="s">
        <v>240</v>
      </c>
      <c r="E205" s="13"/>
      <c r="F205" s="13"/>
      <c r="I205" s="28">
        <v>0</v>
      </c>
      <c r="J205" s="28"/>
      <c r="K205" s="28"/>
      <c r="L205" t="e">
        <f>J205-VLOOKUP(K205,'Bag weights'!D$2:E$6,2,FALSE)</f>
        <v>#N/A</v>
      </c>
      <c r="M205" s="28">
        <v>19.36</v>
      </c>
      <c r="N205" s="87" t="s">
        <v>287</v>
      </c>
      <c r="O205">
        <f>M205-VLOOKUP(N205,'Bag weights'!A$2:B$6,2,FALSE)</f>
        <v>11.53</v>
      </c>
      <c r="R205" s="28">
        <v>0</v>
      </c>
      <c r="S205" s="28">
        <v>2.74</v>
      </c>
      <c r="T205" s="28" t="s">
        <v>287</v>
      </c>
      <c r="U205">
        <f>S205- VLOOKUP(T205,'Bag weights'!A$2:B$6,2,FALSE)</f>
        <v>-5.09</v>
      </c>
      <c r="X205" s="28">
        <v>0</v>
      </c>
      <c r="AA205" s="28">
        <v>0</v>
      </c>
      <c r="AB205" s="28">
        <v>27.98</v>
      </c>
      <c r="AC205" s="28" t="s">
        <v>287</v>
      </c>
      <c r="AD205">
        <f>AB205-VLOOKUP(AC205,'Bag weights'!A$2:B$6,2,FALSE)</f>
        <v>20.149999999999999</v>
      </c>
      <c r="AG205" s="28">
        <v>0</v>
      </c>
      <c r="AH205" s="28">
        <v>20.98</v>
      </c>
      <c r="AI205" s="28" t="s">
        <v>287</v>
      </c>
      <c r="AJ205">
        <f>AH205-VLOOKUP(AI205,'Bag weights'!A$2:B$6,2,FALSE)</f>
        <v>13.15</v>
      </c>
      <c r="AK205" s="28">
        <v>19.68</v>
      </c>
      <c r="AL205" s="28" t="s">
        <v>287</v>
      </c>
      <c r="AM205">
        <f>AK205-VLOOKUP(AL205,'Bag weights'!A$2:B$6,2,FALSE)</f>
        <v>11.85</v>
      </c>
      <c r="AN205" s="28">
        <v>5.25</v>
      </c>
      <c r="AO205" s="28" t="s">
        <v>288</v>
      </c>
      <c r="AP205">
        <f>AN205-VLOOKUP(AO205,'Bag weights'!A$2:B$6,2,FALSE)</f>
        <v>2.76</v>
      </c>
      <c r="AS205" s="28">
        <v>0</v>
      </c>
      <c r="AT205" s="28">
        <v>3.16</v>
      </c>
      <c r="AU205" s="28" t="s">
        <v>287</v>
      </c>
      <c r="AV205">
        <f>AT205-VLOOKUP(AU205,'Bag weights'!A$2:B$6,2,FALSE)</f>
        <v>-4.67</v>
      </c>
      <c r="AW205">
        <f t="shared" si="5"/>
        <v>54.349999999999994</v>
      </c>
      <c r="BC205" s="92">
        <v>3.1</v>
      </c>
      <c r="BG205" s="108">
        <v>1.17</v>
      </c>
    </row>
    <row r="206" spans="1:59">
      <c r="A206" s="70"/>
      <c r="B206" s="70"/>
      <c r="C206" s="70">
        <v>3</v>
      </c>
      <c r="D206" s="75" t="s">
        <v>108</v>
      </c>
      <c r="E206" s="13"/>
      <c r="F206" s="13"/>
      <c r="I206" s="28">
        <v>0</v>
      </c>
      <c r="J206" s="28"/>
      <c r="K206" s="28"/>
      <c r="L206" t="e">
        <f>J206-VLOOKUP(K206,'Bag weights'!D$2:E$6,2,FALSE)</f>
        <v>#N/A</v>
      </c>
      <c r="M206" s="28">
        <v>11.16</v>
      </c>
      <c r="N206" s="87" t="s">
        <v>287</v>
      </c>
      <c r="O206">
        <f>M206-VLOOKUP(N206,'Bag weights'!A$2:B$6,2,FALSE)</f>
        <v>3.33</v>
      </c>
      <c r="R206" s="28">
        <v>0</v>
      </c>
      <c r="S206" s="28">
        <v>1.44</v>
      </c>
      <c r="T206" s="28" t="s">
        <v>289</v>
      </c>
      <c r="U206">
        <f>S206- VLOOKUP(T206,'Bag weights'!A$2:B$6,2,FALSE)</f>
        <v>-5.0000000000000044E-2</v>
      </c>
      <c r="X206" s="28">
        <v>0</v>
      </c>
      <c r="AA206" s="28">
        <v>0</v>
      </c>
      <c r="AB206" s="28">
        <v>37.69</v>
      </c>
      <c r="AC206" s="28" t="s">
        <v>284</v>
      </c>
      <c r="AD206">
        <f>AB206-VLOOKUP(AC206,'Bag weights'!A$2:B$6,2,FALSE)</f>
        <v>16.739999999999998</v>
      </c>
      <c r="AE206" s="28">
        <v>2.71</v>
      </c>
      <c r="AF206" s="28" t="s">
        <v>288</v>
      </c>
      <c r="AG206">
        <f>AE206-VLOOKUP(AF206,'Bag weights'!A$2:B$6,2,FALSE)</f>
        <v>0.21999999999999975</v>
      </c>
      <c r="AH206" s="28">
        <v>40.36</v>
      </c>
      <c r="AI206" s="28" t="s">
        <v>284</v>
      </c>
      <c r="AJ206">
        <f>AH206-VLOOKUP(AI206,'Bag weights'!A$2:B$6,2,FALSE)</f>
        <v>19.41</v>
      </c>
      <c r="AK206" s="28">
        <v>34.32</v>
      </c>
      <c r="AL206" s="28" t="s">
        <v>284</v>
      </c>
      <c r="AM206">
        <f>AK206-VLOOKUP(AL206,'Bag weights'!A$2:B$6,2,FALSE)</f>
        <v>13.370000000000001</v>
      </c>
      <c r="AN206" s="28">
        <v>11.32</v>
      </c>
      <c r="AO206" s="28" t="s">
        <v>287</v>
      </c>
      <c r="AP206">
        <f>AN206-VLOOKUP(AO206,'Bag weights'!A$2:B$6,2,FALSE)</f>
        <v>3.49</v>
      </c>
      <c r="AS206" s="28">
        <v>0</v>
      </c>
      <c r="AV206" s="28">
        <v>0</v>
      </c>
      <c r="AW206">
        <f t="shared" si="5"/>
        <v>56.509999999999991</v>
      </c>
      <c r="BC206" s="92">
        <v>4.3</v>
      </c>
      <c r="BG206" s="108">
        <v>0.66</v>
      </c>
    </row>
    <row r="207" spans="1:59">
      <c r="A207" s="70"/>
      <c r="B207" s="70"/>
      <c r="C207" s="70">
        <v>3</v>
      </c>
      <c r="D207" s="75" t="s">
        <v>96</v>
      </c>
      <c r="E207" s="13"/>
      <c r="F207" s="13"/>
      <c r="I207" s="28">
        <v>0</v>
      </c>
      <c r="J207" s="28"/>
      <c r="K207" s="28"/>
      <c r="L207" t="e">
        <f>J207-VLOOKUP(K207,'Bag weights'!D$2:E$6,2,FALSE)</f>
        <v>#N/A</v>
      </c>
      <c r="M207" s="28">
        <v>9.3800000000000008</v>
      </c>
      <c r="N207" s="87" t="s">
        <v>287</v>
      </c>
      <c r="O207">
        <f>M207-VLOOKUP(N207,'Bag weights'!A$2:B$6,2,FALSE)</f>
        <v>1.5500000000000007</v>
      </c>
      <c r="R207" s="28">
        <v>0</v>
      </c>
      <c r="S207" s="28">
        <v>2.81</v>
      </c>
      <c r="T207" s="28" t="s">
        <v>288</v>
      </c>
      <c r="U207">
        <f>S207- VLOOKUP(T207,'Bag weights'!A$2:B$6,2,FALSE)</f>
        <v>0.31999999999999984</v>
      </c>
      <c r="X207" s="28">
        <v>0</v>
      </c>
      <c r="AA207" s="28">
        <v>0</v>
      </c>
      <c r="AB207" s="28">
        <v>47.09</v>
      </c>
      <c r="AC207" s="28" t="s">
        <v>284</v>
      </c>
      <c r="AD207">
        <f>AB207-VLOOKUP(AC207,'Bag weights'!A$2:B$6,2,FALSE)</f>
        <v>26.140000000000004</v>
      </c>
      <c r="AG207" s="28">
        <v>0</v>
      </c>
      <c r="AH207" s="28">
        <v>24.54</v>
      </c>
      <c r="AI207" s="28" t="s">
        <v>287</v>
      </c>
      <c r="AJ207">
        <f>AH207-VLOOKUP(AI207,'Bag weights'!A$2:B$6,2,FALSE)</f>
        <v>16.71</v>
      </c>
      <c r="AK207" s="28">
        <v>20.420000000000002</v>
      </c>
      <c r="AL207" s="28" t="s">
        <v>287</v>
      </c>
      <c r="AM207">
        <f>AK207-VLOOKUP(AL207,'Bag weights'!A$2:B$6,2,FALSE)</f>
        <v>12.590000000000002</v>
      </c>
      <c r="AN207" s="28">
        <v>6.54</v>
      </c>
      <c r="AO207" s="28" t="s">
        <v>288</v>
      </c>
      <c r="AP207">
        <f>AN207-VLOOKUP(AO207,'Bag weights'!A$2:B$6,2,FALSE)</f>
        <v>4.05</v>
      </c>
      <c r="AS207" s="28">
        <v>0</v>
      </c>
      <c r="AT207" s="28">
        <v>2.2000000000000002</v>
      </c>
      <c r="AU207" s="28" t="s">
        <v>289</v>
      </c>
      <c r="AV207">
        <f>AT207-VLOOKUP(AU207,'Bag weights'!A$2:B$6,2,FALSE)</f>
        <v>0.71000000000000019</v>
      </c>
      <c r="AW207">
        <f t="shared" si="5"/>
        <v>61.360000000000014</v>
      </c>
      <c r="BC207" s="92">
        <v>3.1</v>
      </c>
      <c r="BG207" s="108">
        <v>0.68</v>
      </c>
    </row>
    <row r="208" spans="1:59">
      <c r="A208" s="70"/>
      <c r="B208" s="70"/>
      <c r="C208" s="70">
        <v>4</v>
      </c>
      <c r="D208" s="70" t="s">
        <v>94</v>
      </c>
      <c r="E208" s="1"/>
      <c r="F208" s="1"/>
      <c r="I208" s="28">
        <v>13.29</v>
      </c>
      <c r="J208" s="28"/>
      <c r="K208" s="28"/>
      <c r="L208" t="e">
        <f>J208-VLOOKUP(K208,'Bag weights'!D$2:E$6,2,FALSE)</f>
        <v>#N/A</v>
      </c>
      <c r="M208" s="28">
        <v>5.25</v>
      </c>
      <c r="N208" s="87" t="s">
        <v>288</v>
      </c>
      <c r="O208">
        <f>M208-VLOOKUP(N208,'Bag weights'!A$2:B$6,2,FALSE)</f>
        <v>2.76</v>
      </c>
      <c r="R208" s="28">
        <v>0</v>
      </c>
      <c r="S208" s="28">
        <v>2.67</v>
      </c>
      <c r="T208" s="28" t="s">
        <v>288</v>
      </c>
      <c r="U208">
        <f>S208- VLOOKUP(T208,'Bag weights'!A$2:B$6,2,FALSE)</f>
        <v>0.17999999999999972</v>
      </c>
      <c r="V208" s="28">
        <v>3.05</v>
      </c>
      <c r="W208" s="28" t="s">
        <v>288</v>
      </c>
      <c r="X208">
        <f>V208-VLOOKUP(W208,'Bag weights'!A$2:B$6,2,FALSE)</f>
        <v>0.55999999999999961</v>
      </c>
      <c r="AA208" s="28">
        <v>0</v>
      </c>
      <c r="AB208" s="28">
        <v>17.3</v>
      </c>
      <c r="AC208" s="28" t="s">
        <v>287</v>
      </c>
      <c r="AD208">
        <f>AB208-VLOOKUP(AC208,'Bag weights'!A$2:B$6,2,FALSE)</f>
        <v>9.4700000000000006</v>
      </c>
      <c r="AE208" s="28">
        <v>2.67</v>
      </c>
      <c r="AF208" s="28" t="s">
        <v>288</v>
      </c>
      <c r="AG208">
        <f>AE208-VLOOKUP(AF208,'Bag weights'!A$2:B$6,2,FALSE)</f>
        <v>0.17999999999999972</v>
      </c>
      <c r="AH208" s="28">
        <v>15.51</v>
      </c>
      <c r="AI208" s="28" t="s">
        <v>287</v>
      </c>
      <c r="AJ208">
        <f>AH208-VLOOKUP(AI208,'Bag weights'!A$2:B$6,2,FALSE)</f>
        <v>7.68</v>
      </c>
      <c r="AK208" s="28">
        <v>23.37</v>
      </c>
      <c r="AL208" s="28" t="s">
        <v>287</v>
      </c>
      <c r="AM208">
        <f>AK208-VLOOKUP(AL208,'Bag weights'!A$2:B$6,2,FALSE)</f>
        <v>15.540000000000001</v>
      </c>
      <c r="AN208" s="28">
        <v>18.63</v>
      </c>
      <c r="AO208" s="28" t="s">
        <v>287</v>
      </c>
      <c r="AP208">
        <f>AN208-VLOOKUP(AO208,'Bag weights'!A$2:B$6,2,FALSE)</f>
        <v>10.799999999999999</v>
      </c>
      <c r="AS208" s="28">
        <v>0</v>
      </c>
      <c r="AV208" s="28">
        <v>0</v>
      </c>
      <c r="AW208">
        <f t="shared" si="5"/>
        <v>60.459999999999994</v>
      </c>
      <c r="BC208" s="92">
        <v>6.8</v>
      </c>
      <c r="BG208" s="108">
        <v>1.76</v>
      </c>
    </row>
    <row r="209" spans="1:59">
      <c r="A209" s="70"/>
      <c r="B209" s="70"/>
      <c r="C209" s="70">
        <v>4</v>
      </c>
      <c r="D209" s="70" t="s">
        <v>107</v>
      </c>
      <c r="E209" s="1"/>
      <c r="F209" s="1"/>
      <c r="I209" s="28">
        <v>1.78</v>
      </c>
      <c r="J209" s="28"/>
      <c r="K209" s="28"/>
      <c r="L209" t="e">
        <f>J209-VLOOKUP(K209,'Bag weights'!D$2:E$6,2,FALSE)</f>
        <v>#N/A</v>
      </c>
      <c r="M209" s="28">
        <v>3.5</v>
      </c>
      <c r="N209" s="87" t="s">
        <v>288</v>
      </c>
      <c r="O209">
        <f>M209-VLOOKUP(N209,'Bag weights'!A$2:B$6,2,FALSE)</f>
        <v>1.0099999999999998</v>
      </c>
      <c r="R209" s="28">
        <v>0</v>
      </c>
      <c r="S209" s="28">
        <v>3.25</v>
      </c>
      <c r="T209" s="28" t="s">
        <v>288</v>
      </c>
      <c r="U209">
        <f>S209- VLOOKUP(T209,'Bag weights'!A$2:B$6,2,FALSE)</f>
        <v>0.75999999999999979</v>
      </c>
      <c r="V209" s="28">
        <v>2.5</v>
      </c>
      <c r="W209" s="28" t="s">
        <v>289</v>
      </c>
      <c r="X209">
        <f>V209-VLOOKUP(W209,'Bag weights'!A$2:B$6,2,FALSE)</f>
        <v>1.01</v>
      </c>
      <c r="AA209" s="28">
        <v>0</v>
      </c>
      <c r="AB209" s="28">
        <v>14.64</v>
      </c>
      <c r="AC209" s="28" t="s">
        <v>287</v>
      </c>
      <c r="AD209">
        <f>AB209-VLOOKUP(AC209,'Bag weights'!A$2:B$6,2,FALSE)</f>
        <v>6.8100000000000005</v>
      </c>
      <c r="AE209" s="28">
        <v>1.58</v>
      </c>
      <c r="AF209" s="28" t="s">
        <v>289</v>
      </c>
      <c r="AG209">
        <f>AE209-VLOOKUP(AF209,'Bag weights'!A$2:B$6,2,FALSE)</f>
        <v>9.000000000000008E-2</v>
      </c>
      <c r="AH209" s="28">
        <v>22.45</v>
      </c>
      <c r="AI209" s="28" t="s">
        <v>287</v>
      </c>
      <c r="AJ209">
        <f>AH209-VLOOKUP(AI209,'Bag weights'!A$2:B$6,2,FALSE)</f>
        <v>14.62</v>
      </c>
      <c r="AK209" s="28">
        <v>22.42</v>
      </c>
      <c r="AL209" s="28" t="s">
        <v>287</v>
      </c>
      <c r="AM209">
        <f>AK209-VLOOKUP(AL209,'Bag weights'!A$2:B$6,2,FALSE)</f>
        <v>14.590000000000002</v>
      </c>
      <c r="AN209" s="28">
        <v>16.39</v>
      </c>
      <c r="AO209" s="28" t="s">
        <v>287</v>
      </c>
      <c r="AP209">
        <f>AN209-VLOOKUP(AO209,'Bag weights'!A$2:B$6,2,FALSE)</f>
        <v>8.56</v>
      </c>
      <c r="AS209" s="28">
        <v>0</v>
      </c>
      <c r="AT209" s="28">
        <v>2.09</v>
      </c>
      <c r="AU209" s="28" t="s">
        <v>289</v>
      </c>
      <c r="AV209">
        <f>AT209-VLOOKUP(AU209,'Bag weights'!A$2:B$6,2,FALSE)</f>
        <v>0.59999999999999987</v>
      </c>
      <c r="AW209">
        <f t="shared" si="5"/>
        <v>49.230000000000004</v>
      </c>
      <c r="BC209" s="92">
        <v>4.7</v>
      </c>
      <c r="BG209" s="108">
        <v>1.67</v>
      </c>
    </row>
    <row r="210" spans="1:59">
      <c r="A210" s="70"/>
      <c r="B210" s="70"/>
      <c r="C210" s="70">
        <v>4</v>
      </c>
      <c r="D210" s="75" t="s">
        <v>240</v>
      </c>
      <c r="E210" s="13"/>
      <c r="F210" s="13"/>
      <c r="I210" s="28">
        <v>10.050000000000001</v>
      </c>
      <c r="J210" s="28"/>
      <c r="K210" s="28"/>
      <c r="L210" t="e">
        <f>J210-VLOOKUP(K210,'Bag weights'!D$2:E$6,2,FALSE)</f>
        <v>#N/A</v>
      </c>
      <c r="M210" s="28">
        <v>12.6</v>
      </c>
      <c r="N210" s="87" t="s">
        <v>287</v>
      </c>
      <c r="O210">
        <f>M210-VLOOKUP(N210,'Bag weights'!A$2:B$6,2,FALSE)</f>
        <v>4.7699999999999996</v>
      </c>
      <c r="R210" s="28">
        <v>0</v>
      </c>
      <c r="S210" s="28">
        <v>9.3699999999999992</v>
      </c>
      <c r="T210" s="28" t="s">
        <v>287</v>
      </c>
      <c r="U210">
        <f>S210- VLOOKUP(T210,'Bag weights'!A$2:B$6,2,FALSE)</f>
        <v>1.5399999999999991</v>
      </c>
      <c r="X210" s="28">
        <v>0</v>
      </c>
      <c r="AA210" s="28">
        <v>0</v>
      </c>
      <c r="AB210" s="28">
        <v>11.53</v>
      </c>
      <c r="AC210" s="28" t="s">
        <v>287</v>
      </c>
      <c r="AD210">
        <f>AB210-VLOOKUP(AC210,'Bag weights'!A$2:B$6,2,FALSE)</f>
        <v>3.6999999999999993</v>
      </c>
      <c r="AE210" s="28">
        <v>10.08</v>
      </c>
      <c r="AF210" s="28" t="s">
        <v>287</v>
      </c>
      <c r="AG210">
        <f>AE210-VLOOKUP(AF210,'Bag weights'!A$2:B$6,2,FALSE)</f>
        <v>2.25</v>
      </c>
      <c r="AH210" s="28">
        <v>12.87</v>
      </c>
      <c r="AI210" s="28" t="s">
        <v>287</v>
      </c>
      <c r="AJ210">
        <f>AH210-VLOOKUP(AI210,'Bag weights'!A$2:B$6,2,FALSE)</f>
        <v>5.0399999999999991</v>
      </c>
      <c r="AK210" s="28">
        <v>44.24</v>
      </c>
      <c r="AL210" s="28" t="s">
        <v>287</v>
      </c>
      <c r="AM210">
        <f>AK210-VLOOKUP(AL210,'Bag weights'!A$2:B$6,2,FALSE)</f>
        <v>36.410000000000004</v>
      </c>
      <c r="AP210" s="28">
        <v>0</v>
      </c>
      <c r="AS210" s="28">
        <v>0</v>
      </c>
      <c r="AT210" s="28">
        <v>4.68</v>
      </c>
      <c r="AU210" s="28" t="s">
        <v>289</v>
      </c>
      <c r="AV210">
        <f>AT210-VLOOKUP(AU210,'Bag weights'!A$2:B$6,2,FALSE)</f>
        <v>3.1899999999999995</v>
      </c>
      <c r="AW210">
        <f t="shared" si="5"/>
        <v>63.760000000000005</v>
      </c>
      <c r="BC210" s="92">
        <v>5.6</v>
      </c>
      <c r="BG210" s="109"/>
    </row>
    <row r="211" spans="1:59">
      <c r="A211" s="84"/>
      <c r="B211" s="84"/>
      <c r="C211" s="84">
        <v>4</v>
      </c>
      <c r="D211" s="97" t="s">
        <v>108</v>
      </c>
      <c r="E211" s="110"/>
      <c r="F211" s="110"/>
      <c r="I211" s="28">
        <v>0</v>
      </c>
      <c r="J211" s="28"/>
      <c r="K211" s="28"/>
      <c r="L211" t="e">
        <f>J211-VLOOKUP(K211,'Bag weights'!D$2:E$6,2,FALSE)</f>
        <v>#N/A</v>
      </c>
      <c r="M211" s="28">
        <v>15.9</v>
      </c>
      <c r="N211" s="87" t="s">
        <v>287</v>
      </c>
      <c r="O211">
        <f>M211-VLOOKUP(N211,'Bag weights'!A$2:B$6,2,FALSE)</f>
        <v>8.07</v>
      </c>
      <c r="Q211" s="28"/>
      <c r="R211" s="28">
        <v>0</v>
      </c>
      <c r="S211" s="28">
        <v>9.74</v>
      </c>
      <c r="T211" s="28" t="s">
        <v>287</v>
      </c>
      <c r="U211">
        <f>S211- VLOOKUP(T211,'Bag weights'!A$2:B$6,2,FALSE)</f>
        <v>1.9100000000000001</v>
      </c>
      <c r="X211" s="28">
        <v>0</v>
      </c>
      <c r="AA211" s="28">
        <v>0</v>
      </c>
      <c r="AB211" s="28">
        <v>23.41</v>
      </c>
      <c r="AC211" s="28" t="s">
        <v>287</v>
      </c>
      <c r="AD211">
        <f>AB211-VLOOKUP(AC211,'Bag weights'!A$2:B$6,2,FALSE)</f>
        <v>15.58</v>
      </c>
      <c r="AE211" s="28">
        <v>2.93</v>
      </c>
      <c r="AF211" s="28" t="s">
        <v>288</v>
      </c>
      <c r="AG211">
        <f>AE211-VLOOKUP(AF211,'Bag weights'!A$2:B$6,2,FALSE)</f>
        <v>0.43999999999999995</v>
      </c>
      <c r="AH211" s="28">
        <v>37.130000000000003</v>
      </c>
      <c r="AI211" s="28" t="s">
        <v>287</v>
      </c>
      <c r="AJ211">
        <f>AH211-VLOOKUP(AI211,'Bag weights'!A$2:B$6,2,FALSE)</f>
        <v>29.300000000000004</v>
      </c>
      <c r="AK211" s="28">
        <v>18.77</v>
      </c>
      <c r="AL211" s="28" t="s">
        <v>287</v>
      </c>
      <c r="AM211">
        <f>AK211-VLOOKUP(AL211,'Bag weights'!A$2:B$6,2,FALSE)</f>
        <v>10.94</v>
      </c>
      <c r="AN211" s="28">
        <v>6.74</v>
      </c>
      <c r="AO211" s="28" t="s">
        <v>288</v>
      </c>
      <c r="AP211">
        <f>AN211-VLOOKUP(AO211,'Bag weights'!A$2:B$6,2,FALSE)</f>
        <v>4.25</v>
      </c>
      <c r="AS211" s="28">
        <v>0</v>
      </c>
      <c r="AT211" s="28">
        <v>3.89</v>
      </c>
      <c r="AU211" s="28" t="s">
        <v>289</v>
      </c>
      <c r="AV211">
        <f>AT211-VLOOKUP(AU211,'Bag weights'!A$2:B$6,2,FALSE)</f>
        <v>2.4000000000000004</v>
      </c>
      <c r="AW211">
        <f t="shared" si="5"/>
        <v>70.490000000000009</v>
      </c>
      <c r="BC211" s="92">
        <v>6.6</v>
      </c>
      <c r="BG211" s="109"/>
    </row>
    <row r="212" spans="1:59">
      <c r="A212" s="70"/>
      <c r="B212" s="70"/>
      <c r="C212" s="70">
        <v>4</v>
      </c>
      <c r="D212" s="75" t="s">
        <v>96</v>
      </c>
      <c r="E212" s="13"/>
      <c r="F212" s="13"/>
      <c r="I212" s="28">
        <v>0</v>
      </c>
      <c r="J212" s="28"/>
      <c r="K212" s="28"/>
      <c r="L212" t="e">
        <f>J212-VLOOKUP(K212,'Bag weights'!D$2:E$6,2,FALSE)</f>
        <v>#N/A</v>
      </c>
      <c r="M212" s="28">
        <v>14.78</v>
      </c>
      <c r="N212" s="87" t="s">
        <v>287</v>
      </c>
      <c r="O212">
        <f>M212-VLOOKUP(N212,'Bag weights'!A$2:B$6,2,FALSE)</f>
        <v>6.9499999999999993</v>
      </c>
      <c r="R212" s="28">
        <v>0</v>
      </c>
      <c r="S212" s="28">
        <v>9.11</v>
      </c>
      <c r="T212" s="28" t="s">
        <v>287</v>
      </c>
      <c r="U212">
        <f>S212- VLOOKUP(T212,'Bag weights'!A$2:B$6,2,FALSE)</f>
        <v>1.2799999999999994</v>
      </c>
      <c r="V212" s="28">
        <v>1.86</v>
      </c>
      <c r="W212" s="28" t="s">
        <v>289</v>
      </c>
      <c r="X212">
        <f>V212-VLOOKUP(W212,'Bag weights'!A$2:B$6,2,FALSE)</f>
        <v>0.37000000000000011</v>
      </c>
      <c r="AA212" s="28">
        <v>0</v>
      </c>
      <c r="AB212" s="28">
        <v>18.649999999999999</v>
      </c>
      <c r="AC212" s="28" t="s">
        <v>287</v>
      </c>
      <c r="AD212">
        <f>AB212-VLOOKUP(AC212,'Bag weights'!A$2:B$6,2,FALSE)</f>
        <v>10.819999999999999</v>
      </c>
      <c r="AE212" s="28">
        <v>9.4499999999999993</v>
      </c>
      <c r="AF212" s="28" t="s">
        <v>287</v>
      </c>
      <c r="AG212">
        <f>AE212-VLOOKUP(AF212,'Bag weights'!A$2:B$6,2,FALSE)</f>
        <v>1.6199999999999992</v>
      </c>
      <c r="AH212" s="28">
        <v>20.41</v>
      </c>
      <c r="AI212" s="28" t="s">
        <v>287</v>
      </c>
      <c r="AJ212">
        <f>AH212-VLOOKUP(AI212,'Bag weights'!A$2:B$6,2,FALSE)</f>
        <v>12.58</v>
      </c>
      <c r="AK212" s="28">
        <v>38.799999999999997</v>
      </c>
      <c r="AL212" s="28" t="s">
        <v>287</v>
      </c>
      <c r="AM212">
        <f>AK212-VLOOKUP(AL212,'Bag weights'!A$2:B$6,2,FALSE)</f>
        <v>30.97</v>
      </c>
      <c r="AP212" s="28">
        <v>0</v>
      </c>
      <c r="AS212" s="28">
        <v>0</v>
      </c>
      <c r="AT212" s="28">
        <v>3.41</v>
      </c>
      <c r="AU212" s="28" t="s">
        <v>289</v>
      </c>
      <c r="AV212">
        <f>AT212-VLOOKUP(AU212,'Bag weights'!A$2:B$6,2,FALSE)</f>
        <v>1.9200000000000002</v>
      </c>
      <c r="AW212">
        <f t="shared" si="5"/>
        <v>64.589999999999989</v>
      </c>
      <c r="BC212" s="92">
        <v>6.6</v>
      </c>
      <c r="BG212" s="109"/>
    </row>
    <row r="213" spans="1:59">
      <c r="A213" s="70" t="s">
        <v>109</v>
      </c>
      <c r="B213" s="70" t="s">
        <v>113</v>
      </c>
      <c r="C213" s="70">
        <v>1</v>
      </c>
      <c r="D213" s="70" t="s">
        <v>94</v>
      </c>
      <c r="E213" s="1"/>
      <c r="F213" s="1"/>
      <c r="G213" s="111" t="s">
        <v>356</v>
      </c>
      <c r="H213" s="111"/>
      <c r="I213" s="28">
        <v>0</v>
      </c>
      <c r="J213" s="111"/>
      <c r="K213" s="111"/>
      <c r="L213" t="e">
        <f>J213-VLOOKUP(K213,'Bag weights'!D$2:E$6,2,FALSE)</f>
        <v>#N/A</v>
      </c>
      <c r="M213" s="111" t="s">
        <v>356</v>
      </c>
      <c r="N213" s="112"/>
      <c r="O213" s="28">
        <v>0</v>
      </c>
      <c r="P213" s="111" t="s">
        <v>356</v>
      </c>
      <c r="Q213" s="111"/>
      <c r="R213" s="28">
        <v>0</v>
      </c>
      <c r="S213" s="28">
        <v>3.06</v>
      </c>
      <c r="T213" s="28" t="s">
        <v>288</v>
      </c>
      <c r="U213">
        <f>S213- VLOOKUP(T213,'Bag weights'!A$2:B$6,2,FALSE)</f>
        <v>0.56999999999999984</v>
      </c>
      <c r="V213" s="113" t="str">
        <f t="shared" ref="V213:V215" si="6">P213</f>
        <v>-</v>
      </c>
      <c r="W213" s="113"/>
      <c r="X213" s="28">
        <v>0</v>
      </c>
      <c r="Y213" s="113" t="str">
        <f t="shared" ref="Y213:Y215" si="7">V213</f>
        <v>-</v>
      </c>
      <c r="Z213" s="113"/>
      <c r="AA213" s="28">
        <v>0</v>
      </c>
      <c r="AB213" s="28">
        <v>83.04</v>
      </c>
      <c r="AC213" s="28" t="s">
        <v>284</v>
      </c>
      <c r="AD213">
        <f>AB213-VLOOKUP(AC213,'Bag weights'!A$2:B$6,2,FALSE)</f>
        <v>62.09</v>
      </c>
      <c r="AE213" s="28" t="s">
        <v>356</v>
      </c>
      <c r="AG213" s="28">
        <v>0</v>
      </c>
      <c r="AH213" s="28">
        <v>9.67</v>
      </c>
      <c r="AI213" s="28" t="s">
        <v>287</v>
      </c>
      <c r="AJ213">
        <f>AH213-VLOOKUP(AI213,'Bag weights'!A$2:B$6,2,FALSE)</f>
        <v>1.8399999999999999</v>
      </c>
      <c r="AK213" s="28">
        <v>9.89</v>
      </c>
      <c r="AL213" s="28" t="s">
        <v>287</v>
      </c>
      <c r="AM213">
        <f>AK213-VLOOKUP(AL213,'Bag weights'!A$2:B$6,2,FALSE)</f>
        <v>2.0600000000000005</v>
      </c>
      <c r="AN213" s="28" t="s">
        <v>356</v>
      </c>
      <c r="AP213" s="28">
        <v>0</v>
      </c>
      <c r="AS213" s="28">
        <v>0</v>
      </c>
      <c r="AT213" s="28">
        <v>11.64</v>
      </c>
      <c r="AU213" s="28" t="s">
        <v>288</v>
      </c>
      <c r="AV213">
        <f>AT213-VLOOKUP(AU213,'Bag weights'!A$2:B$6,2,FALSE)</f>
        <v>9.15</v>
      </c>
      <c r="AW213">
        <f t="shared" si="5"/>
        <v>66.56</v>
      </c>
      <c r="BC213" s="92">
        <v>7.2</v>
      </c>
      <c r="BG213" s="109"/>
    </row>
    <row r="214" spans="1:59">
      <c r="A214" s="70"/>
      <c r="B214" s="70"/>
      <c r="C214" s="70">
        <v>1</v>
      </c>
      <c r="D214" s="70" t="s">
        <v>95</v>
      </c>
      <c r="E214" s="1"/>
      <c r="F214" s="1"/>
      <c r="G214" s="111" t="s">
        <v>356</v>
      </c>
      <c r="H214" s="111"/>
      <c r="I214" s="28">
        <v>0</v>
      </c>
      <c r="J214" s="111"/>
      <c r="K214" s="111"/>
      <c r="L214" t="e">
        <f>J214-VLOOKUP(K214,'Bag weights'!D$2:E$6,2,FALSE)</f>
        <v>#N/A</v>
      </c>
      <c r="M214" s="111" t="s">
        <v>356</v>
      </c>
      <c r="N214" s="112"/>
      <c r="O214" s="28">
        <v>0</v>
      </c>
      <c r="P214" s="111" t="s">
        <v>356</v>
      </c>
      <c r="Q214" s="111"/>
      <c r="R214" s="28">
        <v>0</v>
      </c>
      <c r="S214" s="28">
        <v>1.34</v>
      </c>
      <c r="T214" s="28" t="s">
        <v>290</v>
      </c>
      <c r="U214" t="e">
        <f>S214- VLOOKUP(T214,'Bag weights'!A$2:B$6,2,FALSE)</f>
        <v>#N/A</v>
      </c>
      <c r="V214" s="113" t="str">
        <f t="shared" si="6"/>
        <v>-</v>
      </c>
      <c r="W214" s="113"/>
      <c r="X214" s="28">
        <v>0</v>
      </c>
      <c r="Y214" s="113" t="str">
        <f t="shared" si="7"/>
        <v>-</v>
      </c>
      <c r="Z214" s="113"/>
      <c r="AA214" s="28">
        <v>0</v>
      </c>
      <c r="AB214" s="28">
        <v>64.66</v>
      </c>
      <c r="AC214" s="28" t="s">
        <v>284</v>
      </c>
      <c r="AD214">
        <f>AB214-VLOOKUP(AC214,'Bag weights'!A$2:B$6,2,FALSE)</f>
        <v>43.709999999999994</v>
      </c>
      <c r="AE214" s="28">
        <v>12.94</v>
      </c>
      <c r="AF214" s="28" t="s">
        <v>287</v>
      </c>
      <c r="AG214">
        <f>AE214-VLOOKUP(AF214,'Bag weights'!A$2:B$6,2,FALSE)</f>
        <v>5.1099999999999994</v>
      </c>
      <c r="AH214" s="28">
        <v>10.72</v>
      </c>
      <c r="AI214" s="28" t="s">
        <v>287</v>
      </c>
      <c r="AJ214">
        <f>AH214-VLOOKUP(AI214,'Bag weights'!A$2:B$6,2,FALSE)</f>
        <v>2.8900000000000006</v>
      </c>
      <c r="AK214" s="28">
        <v>24.28</v>
      </c>
      <c r="AL214" s="28" t="s">
        <v>287</v>
      </c>
      <c r="AM214">
        <f>AK214-VLOOKUP(AL214,'Bag weights'!A$2:B$6,2,FALSE)</f>
        <v>16.450000000000003</v>
      </c>
      <c r="AN214" s="28">
        <v>5.1100000000000003</v>
      </c>
      <c r="AO214" s="28" t="s">
        <v>288</v>
      </c>
      <c r="AP214">
        <f>AN214-VLOOKUP(AO214,'Bag weights'!A$2:B$6,2,FALSE)</f>
        <v>2.62</v>
      </c>
      <c r="AS214" s="28">
        <v>0</v>
      </c>
      <c r="AT214" s="28">
        <v>4.8099999999999996</v>
      </c>
      <c r="AU214" s="28" t="s">
        <v>288</v>
      </c>
      <c r="AV214">
        <f>AT214-VLOOKUP(AU214,'Bag weights'!A$2:B$6,2,FALSE)</f>
        <v>2.3199999999999994</v>
      </c>
      <c r="AW214" t="e">
        <f t="shared" si="5"/>
        <v>#N/A</v>
      </c>
      <c r="BC214" s="92">
        <v>5.8</v>
      </c>
      <c r="BG214" s="109"/>
    </row>
    <row r="215" spans="1:59">
      <c r="A215" s="70"/>
      <c r="B215" s="70"/>
      <c r="C215" s="70">
        <v>1</v>
      </c>
      <c r="D215" s="70" t="s">
        <v>96</v>
      </c>
      <c r="E215" s="1"/>
      <c r="F215" s="1"/>
      <c r="G215" s="111" t="s">
        <v>356</v>
      </c>
      <c r="H215" s="111"/>
      <c r="I215" s="28">
        <v>0</v>
      </c>
      <c r="J215" s="111"/>
      <c r="K215" s="111"/>
      <c r="L215" t="e">
        <f>J215-VLOOKUP(K215,'Bag weights'!D$2:E$6,2,FALSE)</f>
        <v>#N/A</v>
      </c>
      <c r="M215" s="111" t="s">
        <v>356</v>
      </c>
      <c r="N215" s="112"/>
      <c r="O215" s="28">
        <v>0</v>
      </c>
      <c r="P215" s="111" t="s">
        <v>356</v>
      </c>
      <c r="Q215" s="111"/>
      <c r="R215" s="28">
        <v>0</v>
      </c>
      <c r="S215" s="28">
        <v>8.94</v>
      </c>
      <c r="T215" s="28" t="s">
        <v>287</v>
      </c>
      <c r="U215">
        <f>S215- VLOOKUP(T215,'Bag weights'!A$2:B$6,2,FALSE)</f>
        <v>1.1099999999999994</v>
      </c>
      <c r="V215" s="113" t="str">
        <f t="shared" si="6"/>
        <v>-</v>
      </c>
      <c r="W215" s="113"/>
      <c r="X215" s="28">
        <v>0</v>
      </c>
      <c r="Y215" s="113" t="str">
        <f t="shared" si="7"/>
        <v>-</v>
      </c>
      <c r="Z215" s="113"/>
      <c r="AA215" s="28">
        <v>0</v>
      </c>
      <c r="AB215" s="28">
        <v>69.37</v>
      </c>
      <c r="AC215" s="28" t="s">
        <v>284</v>
      </c>
      <c r="AD215">
        <f>AB215-VLOOKUP(AC215,'Bag weights'!A$2:B$6,2,FALSE)</f>
        <v>48.42</v>
      </c>
      <c r="AE215" s="28">
        <v>2.5099999999999998</v>
      </c>
      <c r="AF215" s="28" t="s">
        <v>288</v>
      </c>
      <c r="AG215">
        <f>AE215-VLOOKUP(AF215,'Bag weights'!A$2:B$6,2,FALSE)</f>
        <v>1.9999999999999574E-2</v>
      </c>
      <c r="AH215" s="28" t="s">
        <v>356</v>
      </c>
      <c r="AJ215" s="28">
        <v>0</v>
      </c>
      <c r="AK215" s="28">
        <v>25.06</v>
      </c>
      <c r="AL215" s="28" t="s">
        <v>287</v>
      </c>
      <c r="AM215">
        <f>AK215-VLOOKUP(AL215,'Bag weights'!A$2:B$6,2,FALSE)</f>
        <v>17.229999999999997</v>
      </c>
      <c r="AN215" s="28" t="s">
        <v>356</v>
      </c>
      <c r="AP215" s="28">
        <v>0</v>
      </c>
      <c r="AS215" s="28">
        <v>0</v>
      </c>
      <c r="AT215" s="28">
        <v>2.52</v>
      </c>
      <c r="AU215" s="28" t="s">
        <v>289</v>
      </c>
      <c r="AV215">
        <f>AT215-VLOOKUP(AU215,'Bag weights'!A$2:B$6,2,FALSE)</f>
        <v>1.03</v>
      </c>
      <c r="AW215">
        <f t="shared" si="5"/>
        <v>66.78</v>
      </c>
      <c r="BC215" s="92">
        <v>7.1</v>
      </c>
      <c r="BG215" s="108">
        <v>1.17</v>
      </c>
    </row>
    <row r="216" spans="1:59">
      <c r="A216" s="70"/>
      <c r="B216" s="70"/>
      <c r="C216" s="70">
        <v>1</v>
      </c>
      <c r="D216" s="70" t="s">
        <v>39</v>
      </c>
      <c r="E216" s="1"/>
      <c r="F216" s="1"/>
      <c r="G216" s="111" t="s">
        <v>356</v>
      </c>
      <c r="H216" s="111"/>
      <c r="I216" s="28">
        <v>0</v>
      </c>
      <c r="J216" s="111"/>
      <c r="K216" s="111"/>
      <c r="L216" t="e">
        <f>J216-VLOOKUP(K216,'Bag weights'!D$2:E$6,2,FALSE)</f>
        <v>#N/A</v>
      </c>
      <c r="M216" s="111" t="s">
        <v>356</v>
      </c>
      <c r="N216" s="112"/>
      <c r="O216" s="28">
        <v>0</v>
      </c>
      <c r="P216" s="111" t="s">
        <v>356</v>
      </c>
      <c r="Q216" s="111"/>
      <c r="R216" s="28">
        <v>0</v>
      </c>
      <c r="S216" s="28">
        <v>8.56</v>
      </c>
      <c r="T216" s="28" t="s">
        <v>287</v>
      </c>
      <c r="U216">
        <f>S216- VLOOKUP(T216,'Bag weights'!A$2:B$6,2,FALSE)</f>
        <v>0.73000000000000043</v>
      </c>
      <c r="V216" s="111" t="s">
        <v>356</v>
      </c>
      <c r="W216" s="113"/>
      <c r="X216" s="28">
        <v>0</v>
      </c>
      <c r="Y216" s="28" t="s">
        <v>356</v>
      </c>
      <c r="AA216" s="28">
        <v>0</v>
      </c>
      <c r="AB216" s="28">
        <v>73.41</v>
      </c>
      <c r="AC216" s="28" t="s">
        <v>284</v>
      </c>
      <c r="AD216">
        <f>AB216-VLOOKUP(AC216,'Bag weights'!A$2:B$6,2,FALSE)</f>
        <v>52.459999999999994</v>
      </c>
      <c r="AE216" s="28">
        <v>3.27</v>
      </c>
      <c r="AF216" s="28" t="s">
        <v>288</v>
      </c>
      <c r="AG216">
        <f>AE216-VLOOKUP(AF216,'Bag weights'!A$2:B$6,2,FALSE)</f>
        <v>0.7799999999999998</v>
      </c>
      <c r="AH216" s="28">
        <v>3.04</v>
      </c>
      <c r="AI216" s="28" t="s">
        <v>288</v>
      </c>
      <c r="AJ216">
        <f>AH216-VLOOKUP(AI216,'Bag weights'!A$2:B$6,2,FALSE)</f>
        <v>0.54999999999999982</v>
      </c>
      <c r="AK216" s="28">
        <v>10.29</v>
      </c>
      <c r="AL216" s="28" t="s">
        <v>287</v>
      </c>
      <c r="AM216">
        <f>AK216-VLOOKUP(AL216,'Bag weights'!A$2:B$6,2,FALSE)</f>
        <v>2.4599999999999991</v>
      </c>
      <c r="AN216" s="28">
        <v>8.84</v>
      </c>
      <c r="AO216" s="28" t="s">
        <v>287</v>
      </c>
      <c r="AP216">
        <f>AN216-VLOOKUP(AO216,'Bag weights'!A$2:B$6,2,FALSE)</f>
        <v>1.0099999999999998</v>
      </c>
      <c r="AQ216" s="28">
        <v>9.8800000000000008</v>
      </c>
      <c r="AR216" s="28" t="s">
        <v>287</v>
      </c>
      <c r="AS216">
        <f>AQ216-VLOOKUP(AR216,'Bag weights'!A$2:B$6,2,FALSE)</f>
        <v>2.0500000000000007</v>
      </c>
      <c r="AT216" s="28">
        <v>3.24</v>
      </c>
      <c r="AU216" s="28" t="s">
        <v>288</v>
      </c>
      <c r="AV216">
        <f>AT216-VLOOKUP(AU216,'Bag weights'!A$2:B$6,2,FALSE)</f>
        <v>0.75</v>
      </c>
      <c r="AW216">
        <f t="shared" si="5"/>
        <v>60.039999999999992</v>
      </c>
      <c r="BC216" s="92">
        <v>6.8</v>
      </c>
      <c r="BG216" s="108">
        <v>1.94</v>
      </c>
    </row>
    <row r="217" spans="1:59">
      <c r="A217" s="70"/>
      <c r="B217" s="70"/>
      <c r="C217" s="70">
        <v>1</v>
      </c>
      <c r="D217" s="70" t="s">
        <v>97</v>
      </c>
      <c r="E217" s="1"/>
      <c r="F217" s="1"/>
      <c r="G217" s="111" t="s">
        <v>356</v>
      </c>
      <c r="H217" s="111"/>
      <c r="I217" s="28">
        <v>0</v>
      </c>
      <c r="J217" s="111"/>
      <c r="K217" s="111"/>
      <c r="L217" t="e">
        <f>J217-VLOOKUP(K217,'Bag weights'!D$2:E$6,2,FALSE)</f>
        <v>#N/A</v>
      </c>
      <c r="M217" s="111" t="s">
        <v>356</v>
      </c>
      <c r="N217" s="112"/>
      <c r="O217" s="28">
        <v>0</v>
      </c>
      <c r="P217" s="111" t="s">
        <v>356</v>
      </c>
      <c r="Q217" s="111"/>
      <c r="R217" s="28">
        <v>0</v>
      </c>
      <c r="S217" s="28">
        <v>9.1999999999999993</v>
      </c>
      <c r="T217" s="28" t="s">
        <v>287</v>
      </c>
      <c r="U217">
        <f>S217- VLOOKUP(T217,'Bag weights'!A$2:B$6,2,FALSE)</f>
        <v>1.3699999999999992</v>
      </c>
      <c r="V217" s="113" t="str">
        <f t="shared" ref="V217:V232" si="8">P217</f>
        <v>-</v>
      </c>
      <c r="W217" s="113"/>
      <c r="X217" s="28">
        <v>0</v>
      </c>
      <c r="Y217" s="113" t="str">
        <f t="shared" ref="Y217:Y219" si="9">V213</f>
        <v>-</v>
      </c>
      <c r="Z217" s="113"/>
      <c r="AA217" s="28">
        <v>0</v>
      </c>
      <c r="AB217" s="28">
        <v>71.650000000000006</v>
      </c>
      <c r="AC217" s="28" t="s">
        <v>284</v>
      </c>
      <c r="AD217">
        <f>AB217-VLOOKUP(AC217,'Bag weights'!A$2:B$6,2,FALSE)</f>
        <v>50.7</v>
      </c>
      <c r="AE217" s="28" t="s">
        <v>356</v>
      </c>
      <c r="AG217" s="28">
        <v>0</v>
      </c>
      <c r="AH217" s="28" t="s">
        <v>356</v>
      </c>
      <c r="AJ217" s="28">
        <v>0</v>
      </c>
      <c r="AK217" s="28">
        <v>15.4</v>
      </c>
      <c r="AL217" s="28" t="s">
        <v>287</v>
      </c>
      <c r="AM217">
        <f>AK217-VLOOKUP(AL217,'Bag weights'!A$2:B$6,2,FALSE)</f>
        <v>7.57</v>
      </c>
      <c r="AN217" s="28" t="s">
        <v>356</v>
      </c>
      <c r="AP217" s="28">
        <v>0</v>
      </c>
      <c r="AS217" s="28">
        <v>0</v>
      </c>
      <c r="AT217" s="28">
        <v>3.98</v>
      </c>
      <c r="AU217" s="28" t="s">
        <v>288</v>
      </c>
      <c r="AV217">
        <f>AT217-VLOOKUP(AU217,'Bag weights'!A$2:B$6,2,FALSE)</f>
        <v>1.4899999999999998</v>
      </c>
      <c r="AW217">
        <f t="shared" si="5"/>
        <v>59.64</v>
      </c>
      <c r="BC217" s="92">
        <v>5.5</v>
      </c>
      <c r="BG217" s="109"/>
    </row>
    <row r="218" spans="1:59">
      <c r="A218" s="70"/>
      <c r="B218" s="70"/>
      <c r="C218" s="70">
        <v>2</v>
      </c>
      <c r="D218" s="70" t="s">
        <v>94</v>
      </c>
      <c r="E218" s="1"/>
      <c r="F218" s="1"/>
      <c r="G218" s="111" t="s">
        <v>356</v>
      </c>
      <c r="H218" s="111"/>
      <c r="I218" s="28">
        <v>0</v>
      </c>
      <c r="J218" s="111"/>
      <c r="K218" s="111"/>
      <c r="L218" t="e">
        <f>J218-VLOOKUP(K218,'Bag weights'!D$2:E$6,2,FALSE)</f>
        <v>#N/A</v>
      </c>
      <c r="M218" s="111" t="s">
        <v>356</v>
      </c>
      <c r="N218" s="112"/>
      <c r="O218" s="28">
        <v>0</v>
      </c>
      <c r="P218" s="111" t="s">
        <v>356</v>
      </c>
      <c r="Q218" s="111"/>
      <c r="R218" s="28">
        <v>0</v>
      </c>
      <c r="S218" s="28">
        <v>2.92</v>
      </c>
      <c r="T218" s="28" t="s">
        <v>288</v>
      </c>
      <c r="U218">
        <f>S218- VLOOKUP(T218,'Bag weights'!A$2:B$6,2,FALSE)</f>
        <v>0.42999999999999972</v>
      </c>
      <c r="V218" s="113" t="str">
        <f t="shared" si="8"/>
        <v>-</v>
      </c>
      <c r="W218" s="113"/>
      <c r="X218" s="28">
        <v>0</v>
      </c>
      <c r="Y218" s="113" t="str">
        <f t="shared" si="9"/>
        <v>-</v>
      </c>
      <c r="Z218" s="113"/>
      <c r="AA218" s="28">
        <v>0</v>
      </c>
      <c r="AB218" s="28">
        <v>65.7</v>
      </c>
      <c r="AC218" s="28" t="s">
        <v>284</v>
      </c>
      <c r="AD218">
        <f>AB218-VLOOKUP(AC218,'Bag weights'!A$2:B$6,2,FALSE)</f>
        <v>44.75</v>
      </c>
      <c r="AE218" s="28">
        <v>12.42</v>
      </c>
      <c r="AF218" s="28" t="s">
        <v>287</v>
      </c>
      <c r="AG218">
        <f>AE218-VLOOKUP(AF218,'Bag weights'!A$2:B$6,2,FALSE)</f>
        <v>4.59</v>
      </c>
      <c r="AH218" s="28">
        <v>2.61</v>
      </c>
      <c r="AI218" s="28" t="s">
        <v>288</v>
      </c>
      <c r="AJ218">
        <f>AH218-VLOOKUP(AI218,'Bag weights'!A$2:B$6,2,FALSE)</f>
        <v>0.11999999999999966</v>
      </c>
      <c r="AK218" s="28">
        <v>21.33</v>
      </c>
      <c r="AL218" s="28" t="s">
        <v>287</v>
      </c>
      <c r="AM218">
        <f>AK218-VLOOKUP(AL218,'Bag weights'!A$2:B$6,2,FALSE)</f>
        <v>13.499999999999998</v>
      </c>
      <c r="AN218" s="28">
        <v>0.84</v>
      </c>
      <c r="AO218" s="28" t="s">
        <v>290</v>
      </c>
      <c r="AP218" t="e">
        <f>AN218-VLOOKUP(AO218,'Bag weights'!A$2:B$6,2,FALSE)</f>
        <v>#N/A</v>
      </c>
      <c r="AS218" s="28">
        <v>0</v>
      </c>
      <c r="AT218" s="28">
        <v>3.91</v>
      </c>
      <c r="AU218" s="28" t="s">
        <v>288</v>
      </c>
      <c r="AV218">
        <f>AT218-VLOOKUP(AU218,'Bag weights'!A$2:B$6,2,FALSE)</f>
        <v>1.42</v>
      </c>
      <c r="AW218" t="e">
        <f t="shared" si="5"/>
        <v>#N/A</v>
      </c>
      <c r="BC218" s="92">
        <v>7.1</v>
      </c>
      <c r="BG218" s="108">
        <v>0.78</v>
      </c>
    </row>
    <row r="219" spans="1:59">
      <c r="A219" s="70"/>
      <c r="B219" s="70"/>
      <c r="C219" s="70">
        <v>2</v>
      </c>
      <c r="D219" s="70" t="s">
        <v>95</v>
      </c>
      <c r="E219" s="1"/>
      <c r="F219" s="1"/>
      <c r="G219" s="111" t="s">
        <v>356</v>
      </c>
      <c r="H219" s="111"/>
      <c r="I219" s="28">
        <v>0</v>
      </c>
      <c r="J219" s="111"/>
      <c r="K219" s="111"/>
      <c r="L219" t="e">
        <f>J219-VLOOKUP(K219,'Bag weights'!D$2:E$6,2,FALSE)</f>
        <v>#N/A</v>
      </c>
      <c r="M219" s="111" t="s">
        <v>356</v>
      </c>
      <c r="N219" s="112"/>
      <c r="O219" s="28">
        <v>0</v>
      </c>
      <c r="P219" s="111" t="s">
        <v>356</v>
      </c>
      <c r="Q219" s="111"/>
      <c r="R219" s="28">
        <v>0</v>
      </c>
      <c r="S219" s="28">
        <v>2.77</v>
      </c>
      <c r="T219" s="28" t="s">
        <v>288</v>
      </c>
      <c r="U219">
        <f>S219- VLOOKUP(T219,'Bag weights'!A$2:B$6,2,FALSE)</f>
        <v>0.2799999999999998</v>
      </c>
      <c r="V219" s="113" t="str">
        <f t="shared" si="8"/>
        <v>-</v>
      </c>
      <c r="W219" s="113"/>
      <c r="X219" s="28">
        <v>0</v>
      </c>
      <c r="Y219" s="113" t="str">
        <f t="shared" si="9"/>
        <v>-</v>
      </c>
      <c r="Z219" s="113"/>
      <c r="AA219" s="28">
        <v>0</v>
      </c>
      <c r="AB219" s="28">
        <v>78.87</v>
      </c>
      <c r="AC219" s="28" t="s">
        <v>284</v>
      </c>
      <c r="AD219">
        <f>AB219-VLOOKUP(AC219,'Bag weights'!A$2:B$6,2,FALSE)</f>
        <v>57.92</v>
      </c>
      <c r="AE219" s="28" t="s">
        <v>356</v>
      </c>
      <c r="AG219" s="28">
        <v>0</v>
      </c>
      <c r="AH219" s="28" t="s">
        <v>356</v>
      </c>
      <c r="AJ219" s="28">
        <v>0</v>
      </c>
      <c r="AK219" s="28">
        <v>11.62</v>
      </c>
      <c r="AL219" s="28" t="s">
        <v>287</v>
      </c>
      <c r="AM219">
        <f>AK219-VLOOKUP(AL219,'Bag weights'!A$2:B$6,2,FALSE)</f>
        <v>3.7899999999999991</v>
      </c>
      <c r="AN219" s="28">
        <v>2.5</v>
      </c>
      <c r="AO219" s="28" t="s">
        <v>288</v>
      </c>
      <c r="AP219">
        <f>AN219-VLOOKUP(AO219,'Bag weights'!A$2:B$6,2,FALSE)</f>
        <v>9.9999999999997868E-3</v>
      </c>
      <c r="AS219" s="28">
        <v>0</v>
      </c>
      <c r="AT219" s="28">
        <v>3.98</v>
      </c>
      <c r="AU219" s="28" t="s">
        <v>288</v>
      </c>
      <c r="AV219">
        <f>AT219-VLOOKUP(AU219,'Bag weights'!A$2:B$6,2,FALSE)</f>
        <v>1.4899999999999998</v>
      </c>
      <c r="AW219">
        <f t="shared" si="5"/>
        <v>62</v>
      </c>
      <c r="BC219" s="92">
        <v>8.9</v>
      </c>
      <c r="BG219" s="108">
        <v>2.1800000000000002</v>
      </c>
    </row>
    <row r="220" spans="1:59">
      <c r="A220" s="70"/>
      <c r="B220" s="70"/>
      <c r="C220" s="70">
        <v>2</v>
      </c>
      <c r="D220" s="70" t="s">
        <v>96</v>
      </c>
      <c r="E220" s="1"/>
      <c r="F220" s="1"/>
      <c r="G220" s="111" t="s">
        <v>356</v>
      </c>
      <c r="H220" s="111"/>
      <c r="I220" s="28">
        <v>0</v>
      </c>
      <c r="J220" s="111"/>
      <c r="K220" s="111"/>
      <c r="L220" t="e">
        <f>J220-VLOOKUP(K220,'Bag weights'!D$2:E$6,2,FALSE)</f>
        <v>#N/A</v>
      </c>
      <c r="M220" s="111" t="s">
        <v>356</v>
      </c>
      <c r="N220" s="112"/>
      <c r="O220" s="28">
        <v>0</v>
      </c>
      <c r="P220" s="111" t="s">
        <v>356</v>
      </c>
      <c r="Q220" s="111"/>
      <c r="R220" s="28">
        <v>0</v>
      </c>
      <c r="S220" s="28">
        <v>3.21</v>
      </c>
      <c r="T220" s="28" t="s">
        <v>288</v>
      </c>
      <c r="U220">
        <f>S220- VLOOKUP(T220,'Bag weights'!A$2:B$6,2,FALSE)</f>
        <v>0.71999999999999975</v>
      </c>
      <c r="V220" s="113" t="str">
        <f t="shared" si="8"/>
        <v>-</v>
      </c>
      <c r="W220" s="113"/>
      <c r="X220" s="28">
        <v>0</v>
      </c>
      <c r="Y220" s="28">
        <v>2.81</v>
      </c>
      <c r="Z220" s="28" t="s">
        <v>288</v>
      </c>
      <c r="AA220">
        <f>Y220-VLOOKUP(Z220,'Bag weights'!A$2:B$6,2,FALSE)</f>
        <v>0.31999999999999984</v>
      </c>
      <c r="AB220" s="28">
        <v>70.040000000000006</v>
      </c>
      <c r="AC220" s="28" t="s">
        <v>284</v>
      </c>
      <c r="AD220">
        <f>AB220-VLOOKUP(AC220,'Bag weights'!A$2:B$6,2,FALSE)</f>
        <v>49.09</v>
      </c>
      <c r="AE220" s="28">
        <v>8.4</v>
      </c>
      <c r="AF220" s="28" t="s">
        <v>287</v>
      </c>
      <c r="AG220">
        <f>AE220-VLOOKUP(AF220,'Bag weights'!A$2:B$6,2,FALSE)</f>
        <v>0.57000000000000028</v>
      </c>
      <c r="AH220" s="28" t="s">
        <v>356</v>
      </c>
      <c r="AJ220" s="28">
        <v>0</v>
      </c>
      <c r="AK220" s="28">
        <v>14.64</v>
      </c>
      <c r="AL220" s="28" t="s">
        <v>287</v>
      </c>
      <c r="AM220">
        <f>AK220-VLOOKUP(AL220,'Bag weights'!A$2:B$6,2,FALSE)</f>
        <v>6.8100000000000005</v>
      </c>
      <c r="AN220" s="28">
        <v>2.78</v>
      </c>
      <c r="AO220" s="28" t="s">
        <v>288</v>
      </c>
      <c r="AP220">
        <f>AN220-VLOOKUP(AO220,'Bag weights'!A$2:B$6,2,FALSE)</f>
        <v>0.28999999999999959</v>
      </c>
      <c r="AS220" s="28">
        <v>0</v>
      </c>
      <c r="AT220" s="28">
        <v>2.92</v>
      </c>
      <c r="AU220" s="28" t="s">
        <v>288</v>
      </c>
      <c r="AV220">
        <f>AT220-VLOOKUP(AU220,'Bag weights'!A$2:B$6,2,FALSE)</f>
        <v>0.42999999999999972</v>
      </c>
      <c r="AW220">
        <f t="shared" si="5"/>
        <v>57.800000000000004</v>
      </c>
      <c r="BC220" s="92">
        <v>10.9</v>
      </c>
      <c r="BG220" s="108">
        <v>1.66</v>
      </c>
    </row>
    <row r="221" spans="1:59">
      <c r="A221" s="70"/>
      <c r="B221" s="70"/>
      <c r="C221" s="70">
        <v>2</v>
      </c>
      <c r="D221" s="70" t="s">
        <v>39</v>
      </c>
      <c r="E221" s="1"/>
      <c r="F221" s="1"/>
      <c r="G221" s="111" t="s">
        <v>356</v>
      </c>
      <c r="H221" s="111"/>
      <c r="I221" s="28">
        <v>0</v>
      </c>
      <c r="J221" s="111"/>
      <c r="K221" s="111"/>
      <c r="L221" t="e">
        <f>J221-VLOOKUP(K221,'Bag weights'!D$2:E$6,2,FALSE)</f>
        <v>#N/A</v>
      </c>
      <c r="M221" s="111" t="s">
        <v>356</v>
      </c>
      <c r="N221" s="112"/>
      <c r="O221" s="28">
        <v>0</v>
      </c>
      <c r="P221" s="111" t="s">
        <v>356</v>
      </c>
      <c r="Q221" s="111"/>
      <c r="R221" s="28">
        <v>0</v>
      </c>
      <c r="S221" s="113" t="str">
        <f>M221</f>
        <v>-</v>
      </c>
      <c r="T221" s="113"/>
      <c r="U221" s="28">
        <v>0</v>
      </c>
      <c r="V221" s="113" t="str">
        <f t="shared" si="8"/>
        <v>-</v>
      </c>
      <c r="W221" s="113"/>
      <c r="X221" s="28">
        <v>0</v>
      </c>
      <c r="Y221" s="113" t="str">
        <f>Y219</f>
        <v>-</v>
      </c>
      <c r="Z221" s="113"/>
      <c r="AA221" s="28">
        <v>0</v>
      </c>
      <c r="AB221" s="28">
        <v>60.75</v>
      </c>
      <c r="AC221" s="28" t="s">
        <v>284</v>
      </c>
      <c r="AD221">
        <f>AB221-VLOOKUP(AC221,'Bag weights'!A$2:B$6,2,FALSE)</f>
        <v>39.799999999999997</v>
      </c>
      <c r="AE221" s="28">
        <v>3.01</v>
      </c>
      <c r="AF221" s="28" t="s">
        <v>288</v>
      </c>
      <c r="AG221">
        <f>AE221-VLOOKUP(AF221,'Bag weights'!A$2:B$6,2,FALSE)</f>
        <v>0.51999999999999957</v>
      </c>
      <c r="AH221" s="28" t="s">
        <v>356</v>
      </c>
      <c r="AJ221" s="28">
        <v>0</v>
      </c>
      <c r="AK221" s="28">
        <v>45.1</v>
      </c>
      <c r="AL221" s="28" t="s">
        <v>284</v>
      </c>
      <c r="AM221">
        <f>AK221-VLOOKUP(AL221,'Bag weights'!A$2:B$6,2,FALSE)</f>
        <v>24.150000000000002</v>
      </c>
      <c r="AN221" s="28">
        <v>2.65</v>
      </c>
      <c r="AO221" s="28" t="s">
        <v>288</v>
      </c>
      <c r="AP221">
        <f>AN221-VLOOKUP(AO221,'Bag weights'!A$2:B$6,2,FALSE)</f>
        <v>0.1599999999999997</v>
      </c>
      <c r="AS221" s="28">
        <v>0</v>
      </c>
      <c r="AT221" s="28">
        <v>3.46</v>
      </c>
      <c r="AU221" s="28" t="s">
        <v>288</v>
      </c>
      <c r="AV221">
        <f>AT221-VLOOKUP(AU221,'Bag weights'!A$2:B$6,2,FALSE)</f>
        <v>0.96999999999999975</v>
      </c>
      <c r="AW221">
        <f t="shared" si="5"/>
        <v>64.63</v>
      </c>
      <c r="BC221" s="92">
        <v>8.6999999999999993</v>
      </c>
      <c r="BG221" s="108">
        <v>2.41</v>
      </c>
    </row>
    <row r="222" spans="1:59">
      <c r="A222" s="70"/>
      <c r="B222" s="70"/>
      <c r="C222" s="70">
        <v>2</v>
      </c>
      <c r="D222" s="70" t="s">
        <v>97</v>
      </c>
      <c r="E222" s="1"/>
      <c r="F222" s="1"/>
      <c r="G222" s="111" t="s">
        <v>356</v>
      </c>
      <c r="H222" s="111"/>
      <c r="I222" s="28">
        <v>0</v>
      </c>
      <c r="J222" s="111"/>
      <c r="K222" s="111"/>
      <c r="L222" t="e">
        <f>J222-VLOOKUP(K222,'Bag weights'!D$2:E$6,2,FALSE)</f>
        <v>#N/A</v>
      </c>
      <c r="M222" s="111" t="s">
        <v>356</v>
      </c>
      <c r="N222" s="112"/>
      <c r="O222" s="28">
        <v>0</v>
      </c>
      <c r="P222" s="111" t="s">
        <v>356</v>
      </c>
      <c r="Q222" s="111"/>
      <c r="R222" s="28">
        <v>0</v>
      </c>
      <c r="S222" s="28">
        <v>4.25</v>
      </c>
      <c r="T222" s="28" t="s">
        <v>288</v>
      </c>
      <c r="U222">
        <f>S222- VLOOKUP(T222,'Bag weights'!A$2:B$6,2,FALSE)</f>
        <v>1.7599999999999998</v>
      </c>
      <c r="V222" s="113" t="str">
        <f t="shared" si="8"/>
        <v>-</v>
      </c>
      <c r="W222" s="113"/>
      <c r="X222" s="28">
        <v>0</v>
      </c>
      <c r="Y222" s="113" t="str">
        <f t="shared" ref="Y222:Y225" si="10">Y221</f>
        <v>-</v>
      </c>
      <c r="Z222" s="113"/>
      <c r="AA222" s="28">
        <v>0</v>
      </c>
      <c r="AB222" s="28">
        <v>72.3</v>
      </c>
      <c r="AC222" s="28" t="s">
        <v>284</v>
      </c>
      <c r="AD222">
        <f>AB222-VLOOKUP(AC222,'Bag weights'!A$2:B$6,2,FALSE)</f>
        <v>51.349999999999994</v>
      </c>
      <c r="AE222" s="28" t="s">
        <v>356</v>
      </c>
      <c r="AG222" s="28">
        <v>0</v>
      </c>
      <c r="AH222" s="28" t="s">
        <v>356</v>
      </c>
      <c r="AJ222" s="28">
        <v>0</v>
      </c>
      <c r="AK222" s="28">
        <v>29.78</v>
      </c>
      <c r="AL222" s="28" t="s">
        <v>287</v>
      </c>
      <c r="AM222">
        <f>AK222-VLOOKUP(AL222,'Bag weights'!A$2:B$6,2,FALSE)</f>
        <v>21.950000000000003</v>
      </c>
      <c r="AN222" s="28">
        <v>3.45</v>
      </c>
      <c r="AO222" s="28" t="s">
        <v>288</v>
      </c>
      <c r="AP222">
        <f>AN222-VLOOKUP(AO222,'Bag weights'!A$2:B$6,2,FALSE)</f>
        <v>0.96</v>
      </c>
      <c r="AS222" s="28">
        <v>0</v>
      </c>
      <c r="AT222" s="28">
        <v>4.2300000000000004</v>
      </c>
      <c r="AU222" s="28" t="s">
        <v>288</v>
      </c>
      <c r="AV222">
        <f>AT222-VLOOKUP(AU222,'Bag weights'!A$2:B$6,2,FALSE)</f>
        <v>1.7400000000000002</v>
      </c>
      <c r="AW222">
        <f t="shared" si="5"/>
        <v>76.02</v>
      </c>
      <c r="BC222" s="92">
        <v>11.6</v>
      </c>
      <c r="BG222" s="109"/>
    </row>
    <row r="223" spans="1:59">
      <c r="A223" s="70"/>
      <c r="B223" s="70"/>
      <c r="C223" s="70">
        <v>3</v>
      </c>
      <c r="D223" s="70" t="s">
        <v>94</v>
      </c>
      <c r="E223" s="1"/>
      <c r="F223" s="1"/>
      <c r="G223" s="111" t="s">
        <v>356</v>
      </c>
      <c r="H223" s="111"/>
      <c r="I223" s="28">
        <v>0</v>
      </c>
      <c r="J223" s="111"/>
      <c r="K223" s="111"/>
      <c r="L223" t="e">
        <f>J223-VLOOKUP(K223,'Bag weights'!D$2:E$6,2,FALSE)</f>
        <v>#N/A</v>
      </c>
      <c r="M223" s="111" t="s">
        <v>356</v>
      </c>
      <c r="N223" s="112"/>
      <c r="O223" s="28">
        <v>0</v>
      </c>
      <c r="P223" s="111" t="s">
        <v>356</v>
      </c>
      <c r="Q223" s="111"/>
      <c r="R223" s="28">
        <v>0</v>
      </c>
      <c r="S223" s="28">
        <v>11.91</v>
      </c>
      <c r="T223" s="28" t="s">
        <v>287</v>
      </c>
      <c r="U223">
        <f>S223- VLOOKUP(T223,'Bag weights'!A$2:B$6,2,FALSE)</f>
        <v>4.08</v>
      </c>
      <c r="V223" s="113" t="str">
        <f t="shared" si="8"/>
        <v>-</v>
      </c>
      <c r="W223" s="113"/>
      <c r="X223" s="28">
        <v>0</v>
      </c>
      <c r="Y223" s="113" t="str">
        <f t="shared" si="10"/>
        <v>-</v>
      </c>
      <c r="Z223" s="113"/>
      <c r="AA223" s="28">
        <v>0</v>
      </c>
      <c r="AB223" s="28">
        <v>42.28</v>
      </c>
      <c r="AC223" s="28" t="s">
        <v>284</v>
      </c>
      <c r="AD223">
        <f>AB223-VLOOKUP(AC223,'Bag weights'!A$2:B$6,2,FALSE)</f>
        <v>21.330000000000002</v>
      </c>
      <c r="AE223" s="28" t="s">
        <v>356</v>
      </c>
      <c r="AG223" s="28">
        <v>0</v>
      </c>
      <c r="AH223" s="28" t="s">
        <v>356</v>
      </c>
      <c r="AJ223" s="28">
        <v>0</v>
      </c>
      <c r="AK223" s="28">
        <v>44.55</v>
      </c>
      <c r="AL223" s="28" t="s">
        <v>284</v>
      </c>
      <c r="AM223">
        <f>AK223-VLOOKUP(AL223,'Bag weights'!A$2:B$6,2,FALSE)</f>
        <v>23.599999999999998</v>
      </c>
      <c r="AN223" s="28">
        <v>2.5099999999999998</v>
      </c>
      <c r="AO223" s="28" t="s">
        <v>288</v>
      </c>
      <c r="AP223">
        <f>AN223-VLOOKUP(AO223,'Bag weights'!A$2:B$6,2,FALSE)</f>
        <v>1.9999999999999574E-2</v>
      </c>
      <c r="AS223" s="28">
        <v>0</v>
      </c>
      <c r="AT223" s="28">
        <v>2.96</v>
      </c>
      <c r="AU223" s="28" t="s">
        <v>288</v>
      </c>
      <c r="AV223">
        <f>AT223-VLOOKUP(AU223,'Bag weights'!A$2:B$6,2,FALSE)</f>
        <v>0.46999999999999975</v>
      </c>
      <c r="AW223">
        <f t="shared" si="5"/>
        <v>49.03</v>
      </c>
      <c r="BC223" s="92">
        <v>9.9</v>
      </c>
      <c r="BG223" s="108">
        <v>0.6</v>
      </c>
    </row>
    <row r="224" spans="1:59">
      <c r="A224" s="70"/>
      <c r="B224" s="70"/>
      <c r="C224" s="70">
        <v>3</v>
      </c>
      <c r="D224" s="70" t="s">
        <v>95</v>
      </c>
      <c r="E224" s="1"/>
      <c r="F224" s="1"/>
      <c r="G224" s="111" t="s">
        <v>356</v>
      </c>
      <c r="H224" s="111"/>
      <c r="I224" s="28">
        <v>0</v>
      </c>
      <c r="J224" s="111"/>
      <c r="K224" s="111"/>
      <c r="L224" t="e">
        <f>J224-VLOOKUP(K224,'Bag weights'!D$2:E$6,2,FALSE)</f>
        <v>#N/A</v>
      </c>
      <c r="M224" s="111" t="s">
        <v>356</v>
      </c>
      <c r="N224" s="112"/>
      <c r="O224" s="28">
        <v>0</v>
      </c>
      <c r="P224" s="111" t="s">
        <v>356</v>
      </c>
      <c r="Q224" s="111"/>
      <c r="R224" s="28">
        <v>0</v>
      </c>
      <c r="S224" s="28">
        <v>13.02</v>
      </c>
      <c r="T224" s="28" t="s">
        <v>287</v>
      </c>
      <c r="U224">
        <f>S224- VLOOKUP(T224,'Bag weights'!A$2:B$6,2,FALSE)</f>
        <v>5.1899999999999995</v>
      </c>
      <c r="V224" s="113" t="str">
        <f t="shared" si="8"/>
        <v>-</v>
      </c>
      <c r="W224" s="113"/>
      <c r="X224" s="28">
        <v>0</v>
      </c>
      <c r="Y224" s="113" t="str">
        <f t="shared" si="10"/>
        <v>-</v>
      </c>
      <c r="Z224" s="113"/>
      <c r="AA224" s="28">
        <v>0</v>
      </c>
      <c r="AB224" s="28">
        <v>76.17</v>
      </c>
      <c r="AC224" s="28" t="s">
        <v>284</v>
      </c>
      <c r="AD224">
        <f>AB224-VLOOKUP(AC224,'Bag weights'!A$2:B$6,2,FALSE)</f>
        <v>55.22</v>
      </c>
      <c r="AE224" s="28">
        <v>2.6</v>
      </c>
      <c r="AF224" s="28" t="s">
        <v>288</v>
      </c>
      <c r="AG224">
        <f>AE224-VLOOKUP(AF224,'Bag weights'!A$2:B$6,2,FALSE)</f>
        <v>0.10999999999999988</v>
      </c>
      <c r="AH224" s="28" t="s">
        <v>356</v>
      </c>
      <c r="AJ224" s="28">
        <v>0</v>
      </c>
      <c r="AK224" s="28">
        <v>14.35</v>
      </c>
      <c r="AL224" s="28" t="s">
        <v>287</v>
      </c>
      <c r="AM224">
        <f>AK224-VLOOKUP(AL224,'Bag weights'!A$2:B$6,2,FALSE)</f>
        <v>6.52</v>
      </c>
      <c r="AN224" s="28" t="s">
        <v>356</v>
      </c>
      <c r="AP224" s="28">
        <v>0</v>
      </c>
      <c r="AS224" s="28">
        <v>0</v>
      </c>
      <c r="AT224" s="28">
        <v>2.89</v>
      </c>
      <c r="AU224" s="28" t="s">
        <v>288</v>
      </c>
      <c r="AV224">
        <f>AT224-VLOOKUP(AU224,'Bag weights'!A$2:B$6,2,FALSE)</f>
        <v>0.39999999999999991</v>
      </c>
      <c r="AW224">
        <f t="shared" si="5"/>
        <v>67.039999999999992</v>
      </c>
      <c r="BC224" s="92">
        <v>13.8</v>
      </c>
      <c r="BG224" s="108">
        <v>1.41</v>
      </c>
    </row>
    <row r="225" spans="1:59">
      <c r="A225" s="70"/>
      <c r="B225" s="70"/>
      <c r="C225" s="70">
        <v>3</v>
      </c>
      <c r="D225" s="70" t="s">
        <v>96</v>
      </c>
      <c r="E225" s="1"/>
      <c r="F225" s="1"/>
      <c r="G225" s="111" t="s">
        <v>356</v>
      </c>
      <c r="H225" s="111"/>
      <c r="I225" s="28">
        <v>0</v>
      </c>
      <c r="J225" s="111"/>
      <c r="K225" s="111"/>
      <c r="L225" t="e">
        <f>J225-VLOOKUP(K225,'Bag weights'!D$2:E$6,2,FALSE)</f>
        <v>#N/A</v>
      </c>
      <c r="M225" s="111" t="s">
        <v>356</v>
      </c>
      <c r="N225" s="112"/>
      <c r="O225" s="28">
        <v>0</v>
      </c>
      <c r="P225" s="111" t="s">
        <v>356</v>
      </c>
      <c r="Q225" s="111"/>
      <c r="R225" s="28">
        <v>0</v>
      </c>
      <c r="S225" s="28">
        <v>10.33</v>
      </c>
      <c r="T225" s="28" t="s">
        <v>287</v>
      </c>
      <c r="U225">
        <f>S225- VLOOKUP(T225,'Bag weights'!A$2:B$6,2,FALSE)</f>
        <v>2.5</v>
      </c>
      <c r="V225" s="113" t="str">
        <f t="shared" si="8"/>
        <v>-</v>
      </c>
      <c r="W225" s="113"/>
      <c r="X225" s="28">
        <v>0</v>
      </c>
      <c r="Y225" s="113" t="str">
        <f t="shared" si="10"/>
        <v>-</v>
      </c>
      <c r="Z225" s="113"/>
      <c r="AA225" s="28">
        <v>0</v>
      </c>
      <c r="AB225" s="28">
        <v>60.68</v>
      </c>
      <c r="AC225" s="28" t="s">
        <v>284</v>
      </c>
      <c r="AD225">
        <f>AB225-VLOOKUP(AC225,'Bag weights'!A$2:B$6,2,FALSE)</f>
        <v>39.730000000000004</v>
      </c>
      <c r="AE225" s="28">
        <v>4.01</v>
      </c>
      <c r="AF225" s="28" t="s">
        <v>288</v>
      </c>
      <c r="AG225">
        <f>AE225-VLOOKUP(AF225,'Bag weights'!A$2:B$6,2,FALSE)</f>
        <v>1.5199999999999996</v>
      </c>
      <c r="AH225" s="28" t="s">
        <v>356</v>
      </c>
      <c r="AJ225" s="28">
        <v>0</v>
      </c>
      <c r="AK225" s="28">
        <v>27.29</v>
      </c>
      <c r="AL225" s="28" t="s">
        <v>287</v>
      </c>
      <c r="AM225">
        <f>AK225-VLOOKUP(AL225,'Bag weights'!A$2:B$6,2,FALSE)</f>
        <v>19.46</v>
      </c>
      <c r="AN225" s="28">
        <v>2.84</v>
      </c>
      <c r="AO225" s="28" t="s">
        <v>288</v>
      </c>
      <c r="AP225">
        <f>AN225-VLOOKUP(AO225,'Bag weights'!A$2:B$6,2,FALSE)</f>
        <v>0.34999999999999964</v>
      </c>
      <c r="AS225" s="28">
        <v>0</v>
      </c>
      <c r="AT225" s="28">
        <v>4.34</v>
      </c>
      <c r="AU225" s="28" t="s">
        <v>288</v>
      </c>
      <c r="AV225">
        <f>AT225-VLOOKUP(AU225,'Bag weights'!A$2:B$6,2,FALSE)</f>
        <v>1.8499999999999996</v>
      </c>
      <c r="AW225">
        <f t="shared" si="5"/>
        <v>63.56</v>
      </c>
      <c r="BC225" s="92">
        <v>21.4</v>
      </c>
      <c r="BG225" s="108">
        <v>1.44</v>
      </c>
    </row>
    <row r="226" spans="1:59">
      <c r="A226" s="70"/>
      <c r="B226" s="70"/>
      <c r="C226" s="70">
        <v>3</v>
      </c>
      <c r="D226" s="70" t="s">
        <v>39</v>
      </c>
      <c r="E226" s="1"/>
      <c r="F226" s="1"/>
      <c r="G226" s="111" t="s">
        <v>356</v>
      </c>
      <c r="H226" s="111"/>
      <c r="I226" s="28">
        <v>0</v>
      </c>
      <c r="J226" s="111"/>
      <c r="K226" s="111"/>
      <c r="L226" t="e">
        <f>J226-VLOOKUP(K226,'Bag weights'!D$2:E$6,2,FALSE)</f>
        <v>#N/A</v>
      </c>
      <c r="M226" s="111" t="s">
        <v>356</v>
      </c>
      <c r="N226" s="112"/>
      <c r="O226" s="28">
        <v>0</v>
      </c>
      <c r="P226" s="111" t="s">
        <v>356</v>
      </c>
      <c r="Q226" s="111"/>
      <c r="R226" s="28">
        <v>0</v>
      </c>
      <c r="S226" s="28">
        <v>9.33</v>
      </c>
      <c r="T226" s="28" t="s">
        <v>287</v>
      </c>
      <c r="U226">
        <f>S226- VLOOKUP(T226,'Bag weights'!A$2:B$6,2,FALSE)</f>
        <v>1.5</v>
      </c>
      <c r="V226" s="113" t="str">
        <f t="shared" si="8"/>
        <v>-</v>
      </c>
      <c r="W226" s="113"/>
      <c r="X226" s="28">
        <v>0</v>
      </c>
      <c r="Y226" s="113" t="str">
        <f t="shared" ref="Y226:Y227" si="11">Y224</f>
        <v>-</v>
      </c>
      <c r="Z226" s="113"/>
      <c r="AA226" s="28">
        <v>0</v>
      </c>
      <c r="AB226" s="28">
        <v>69.02</v>
      </c>
      <c r="AC226" s="28" t="s">
        <v>284</v>
      </c>
      <c r="AD226">
        <f>AB226-VLOOKUP(AC226,'Bag weights'!A$2:B$6,2,FALSE)</f>
        <v>48.069999999999993</v>
      </c>
      <c r="AE226" s="28">
        <v>3.41</v>
      </c>
      <c r="AF226" s="28" t="s">
        <v>288</v>
      </c>
      <c r="AG226">
        <f>AE226-VLOOKUP(AF226,'Bag weights'!A$2:B$6,2,FALSE)</f>
        <v>0.91999999999999993</v>
      </c>
      <c r="AH226" s="28" t="s">
        <v>356</v>
      </c>
      <c r="AJ226" s="28">
        <v>0</v>
      </c>
      <c r="AK226" s="28">
        <v>23.38</v>
      </c>
      <c r="AL226" s="28" t="s">
        <v>287</v>
      </c>
      <c r="AM226">
        <f>AK226-VLOOKUP(AL226,'Bag weights'!A$2:B$6,2,FALSE)</f>
        <v>15.549999999999999</v>
      </c>
      <c r="AN226" s="28">
        <v>2.5299999999999998</v>
      </c>
      <c r="AO226" s="28" t="s">
        <v>288</v>
      </c>
      <c r="AP226">
        <f>AN226-VLOOKUP(AO226,'Bag weights'!A$2:B$6,2,FALSE)</f>
        <v>3.9999999999999591E-2</v>
      </c>
      <c r="AS226" s="28">
        <v>0</v>
      </c>
      <c r="AT226" s="28">
        <v>3.02</v>
      </c>
      <c r="AU226" s="28" t="s">
        <v>288</v>
      </c>
      <c r="AV226">
        <f>AT226-VLOOKUP(AU226,'Bag weights'!A$2:B$6,2,FALSE)</f>
        <v>0.5299999999999998</v>
      </c>
      <c r="AW226">
        <f t="shared" si="5"/>
        <v>66.079999999999984</v>
      </c>
      <c r="BC226" s="92">
        <v>7.2</v>
      </c>
      <c r="BG226" s="108">
        <v>1.0900000000000001</v>
      </c>
    </row>
    <row r="227" spans="1:59">
      <c r="A227" s="70"/>
      <c r="B227" s="70"/>
      <c r="C227" s="70">
        <v>3</v>
      </c>
      <c r="D227" s="70" t="s">
        <v>97</v>
      </c>
      <c r="E227" s="1"/>
      <c r="F227" s="1"/>
      <c r="G227" s="111" t="s">
        <v>356</v>
      </c>
      <c r="H227" s="111"/>
      <c r="I227" s="28">
        <v>0</v>
      </c>
      <c r="J227" s="111"/>
      <c r="K227" s="111"/>
      <c r="L227" t="e">
        <f>J227-VLOOKUP(K227,'Bag weights'!D$2:E$6,2,FALSE)</f>
        <v>#N/A</v>
      </c>
      <c r="M227" s="111" t="s">
        <v>356</v>
      </c>
      <c r="N227" s="112"/>
      <c r="O227" s="28">
        <v>0</v>
      </c>
      <c r="P227" s="111" t="s">
        <v>356</v>
      </c>
      <c r="Q227" s="111"/>
      <c r="R227" s="28">
        <v>0</v>
      </c>
      <c r="S227" s="28">
        <v>8.83</v>
      </c>
      <c r="T227" s="28" t="s">
        <v>287</v>
      </c>
      <c r="U227">
        <f>S227- VLOOKUP(T227,'Bag weights'!A$2:B$6,2,FALSE)</f>
        <v>1</v>
      </c>
      <c r="V227" s="113" t="str">
        <f t="shared" si="8"/>
        <v>-</v>
      </c>
      <c r="W227" s="113"/>
      <c r="X227" s="28">
        <v>0</v>
      </c>
      <c r="Y227" s="113" t="str">
        <f t="shared" si="11"/>
        <v>-</v>
      </c>
      <c r="Z227" s="113"/>
      <c r="AA227" s="28">
        <v>0</v>
      </c>
      <c r="AB227" s="28">
        <v>71.84</v>
      </c>
      <c r="AC227" s="28" t="s">
        <v>284</v>
      </c>
      <c r="AD227">
        <f>AB227-VLOOKUP(AC227,'Bag weights'!A$2:B$6,2,FALSE)</f>
        <v>50.89</v>
      </c>
      <c r="AE227" s="28" t="s">
        <v>356</v>
      </c>
      <c r="AG227" s="28">
        <v>0</v>
      </c>
      <c r="AH227" s="28" t="s">
        <v>356</v>
      </c>
      <c r="AJ227" s="28">
        <v>0</v>
      </c>
      <c r="AK227" s="28">
        <v>10.119999999999999</v>
      </c>
      <c r="AL227" s="28" t="s">
        <v>287</v>
      </c>
      <c r="AM227">
        <f>AK227-VLOOKUP(AL227,'Bag weights'!A$2:B$6,2,FALSE)</f>
        <v>2.2899999999999991</v>
      </c>
      <c r="AN227" s="28" t="s">
        <v>356</v>
      </c>
      <c r="AP227" s="28">
        <v>0</v>
      </c>
      <c r="AS227" s="28">
        <v>0</v>
      </c>
      <c r="AT227" s="28">
        <v>3.07</v>
      </c>
      <c r="AU227" s="28" t="s">
        <v>288</v>
      </c>
      <c r="AV227">
        <f>AT227-VLOOKUP(AU227,'Bag weights'!A$2:B$6,2,FALSE)</f>
        <v>0.57999999999999963</v>
      </c>
      <c r="AW227">
        <f t="shared" si="5"/>
        <v>54.18</v>
      </c>
      <c r="BC227" s="92">
        <v>7.3</v>
      </c>
      <c r="BG227" s="108">
        <v>0.77</v>
      </c>
    </row>
    <row r="228" spans="1:59">
      <c r="A228" s="70"/>
      <c r="B228" s="70"/>
      <c r="C228" s="70">
        <v>4</v>
      </c>
      <c r="D228" s="70" t="s">
        <v>94</v>
      </c>
      <c r="E228" s="1"/>
      <c r="F228" s="1"/>
      <c r="G228" s="111" t="s">
        <v>356</v>
      </c>
      <c r="H228" s="111"/>
      <c r="I228" s="28">
        <v>0</v>
      </c>
      <c r="J228" s="111"/>
      <c r="K228" s="111"/>
      <c r="L228" t="e">
        <f>J228-VLOOKUP(K228,'Bag weights'!D$2:E$6,2,FALSE)</f>
        <v>#N/A</v>
      </c>
      <c r="M228" s="111" t="s">
        <v>356</v>
      </c>
      <c r="N228" s="112"/>
      <c r="O228" s="28">
        <v>0</v>
      </c>
      <c r="P228" s="111" t="s">
        <v>356</v>
      </c>
      <c r="Q228" s="111"/>
      <c r="R228" s="28">
        <v>0</v>
      </c>
      <c r="S228" s="28">
        <v>2.78</v>
      </c>
      <c r="T228" s="28" t="s">
        <v>288</v>
      </c>
      <c r="U228">
        <f>S228- VLOOKUP(T228,'Bag weights'!A$2:B$6,2,FALSE)</f>
        <v>0.28999999999999959</v>
      </c>
      <c r="V228" s="113" t="str">
        <f t="shared" si="8"/>
        <v>-</v>
      </c>
      <c r="W228" s="113"/>
      <c r="X228" s="28">
        <v>0</v>
      </c>
      <c r="Y228" s="113" t="str">
        <f>Y225</f>
        <v>-</v>
      </c>
      <c r="Z228" s="113"/>
      <c r="AA228" s="28">
        <v>0</v>
      </c>
      <c r="AB228" s="28">
        <v>79.37</v>
      </c>
      <c r="AC228" s="28" t="s">
        <v>284</v>
      </c>
      <c r="AD228">
        <f>AB228-VLOOKUP(AC228,'Bag weights'!A$2:B$6,2,FALSE)</f>
        <v>58.42</v>
      </c>
      <c r="AE228" s="28" t="s">
        <v>356</v>
      </c>
      <c r="AG228" s="28">
        <v>0</v>
      </c>
      <c r="AH228" s="28" t="s">
        <v>356</v>
      </c>
      <c r="AJ228" s="28">
        <v>0</v>
      </c>
      <c r="AK228" s="28">
        <v>12.62</v>
      </c>
      <c r="AL228" s="28" t="s">
        <v>287</v>
      </c>
      <c r="AM228">
        <f>AK228-VLOOKUP(AL228,'Bag weights'!A$2:B$6,2,FALSE)</f>
        <v>4.7899999999999991</v>
      </c>
      <c r="AN228" s="28" t="s">
        <v>356</v>
      </c>
      <c r="AP228" s="28">
        <v>0</v>
      </c>
      <c r="AR228" s="28"/>
      <c r="AS228" s="28">
        <v>0</v>
      </c>
      <c r="AT228" s="28">
        <v>3.39</v>
      </c>
      <c r="AU228" s="28" t="s">
        <v>289</v>
      </c>
      <c r="AV228">
        <f>AT228-VLOOKUP(AU228,'Bag weights'!A$2:B$6,2,FALSE)</f>
        <v>1.9000000000000001</v>
      </c>
      <c r="AW228">
        <f t="shared" si="5"/>
        <v>63.5</v>
      </c>
      <c r="BC228" s="92">
        <v>3.9</v>
      </c>
      <c r="BG228" s="108">
        <v>0.74</v>
      </c>
    </row>
    <row r="229" spans="1:59">
      <c r="A229" s="70"/>
      <c r="B229" s="70"/>
      <c r="C229" s="70">
        <v>4</v>
      </c>
      <c r="D229" s="70" t="s">
        <v>95</v>
      </c>
      <c r="E229" s="1"/>
      <c r="F229" s="1"/>
      <c r="G229" s="111" t="s">
        <v>356</v>
      </c>
      <c r="H229" s="111"/>
      <c r="I229" s="28">
        <v>0</v>
      </c>
      <c r="J229" s="111"/>
      <c r="K229" s="111"/>
      <c r="L229" t="e">
        <f>J229-VLOOKUP(K229,'Bag weights'!D$2:E$6,2,FALSE)</f>
        <v>#N/A</v>
      </c>
      <c r="M229" s="111" t="s">
        <v>356</v>
      </c>
      <c r="N229" s="112"/>
      <c r="O229" s="28">
        <v>0</v>
      </c>
      <c r="P229" s="111" t="s">
        <v>356</v>
      </c>
      <c r="Q229" s="111"/>
      <c r="R229" s="28">
        <v>0</v>
      </c>
      <c r="S229" s="28">
        <v>0.08</v>
      </c>
      <c r="T229" s="28" t="s">
        <v>290</v>
      </c>
      <c r="U229" t="e">
        <f>S229- VLOOKUP(T229,'Bag weights'!A$2:B$6,2,FALSE)</f>
        <v>#N/A</v>
      </c>
      <c r="V229" s="113" t="str">
        <f t="shared" si="8"/>
        <v>-</v>
      </c>
      <c r="W229" s="113"/>
      <c r="X229" s="28">
        <v>0</v>
      </c>
      <c r="Y229" s="113" t="str">
        <f>Y225</f>
        <v>-</v>
      </c>
      <c r="Z229" s="113"/>
      <c r="AA229" s="28">
        <v>0</v>
      </c>
      <c r="AB229" s="28">
        <v>89.18</v>
      </c>
      <c r="AC229" s="28" t="s">
        <v>284</v>
      </c>
      <c r="AD229">
        <f>AB229-VLOOKUP(AC229,'Bag weights'!A$2:B$6,2,FALSE)</f>
        <v>68.23</v>
      </c>
      <c r="AE229" s="28">
        <v>2.56</v>
      </c>
      <c r="AF229" s="28" t="s">
        <v>288</v>
      </c>
      <c r="AG229">
        <f>AE229-VLOOKUP(AF229,'Bag weights'!A$2:B$6,2,FALSE)</f>
        <v>6.999999999999984E-2</v>
      </c>
      <c r="AH229" s="28" t="s">
        <v>356</v>
      </c>
      <c r="AJ229" s="28">
        <v>0</v>
      </c>
      <c r="AK229" s="28">
        <v>10.37</v>
      </c>
      <c r="AL229" s="28" t="s">
        <v>287</v>
      </c>
      <c r="AM229">
        <f>AK229-VLOOKUP(AL229,'Bag weights'!A$2:B$6,2,FALSE)</f>
        <v>2.5399999999999991</v>
      </c>
      <c r="AN229" s="28" t="s">
        <v>356</v>
      </c>
      <c r="AP229" s="28">
        <v>0</v>
      </c>
      <c r="AS229" s="28">
        <v>0</v>
      </c>
      <c r="AT229" s="28">
        <v>1.83</v>
      </c>
      <c r="AU229" s="28" t="s">
        <v>289</v>
      </c>
      <c r="AV229">
        <f>AT229-VLOOKUP(AU229,'Bag weights'!A$2:B$6,2,FALSE)</f>
        <v>0.34000000000000008</v>
      </c>
      <c r="AW229" t="e">
        <f t="shared" si="5"/>
        <v>#N/A</v>
      </c>
      <c r="BC229" s="92">
        <v>7.2</v>
      </c>
      <c r="BG229" s="109"/>
    </row>
    <row r="230" spans="1:59">
      <c r="A230" s="70"/>
      <c r="B230" s="70"/>
      <c r="C230" s="70">
        <v>4</v>
      </c>
      <c r="D230" s="70" t="s">
        <v>96</v>
      </c>
      <c r="E230" s="1"/>
      <c r="F230" s="1"/>
      <c r="G230" s="111" t="s">
        <v>356</v>
      </c>
      <c r="H230" s="111"/>
      <c r="I230" s="28">
        <v>0</v>
      </c>
      <c r="J230" s="111"/>
      <c r="K230" s="111"/>
      <c r="L230" t="e">
        <f>J230-VLOOKUP(K230,'Bag weights'!D$2:E$6,2,FALSE)</f>
        <v>#N/A</v>
      </c>
      <c r="M230" s="111" t="s">
        <v>356</v>
      </c>
      <c r="N230" s="112"/>
      <c r="O230" s="28">
        <v>0</v>
      </c>
      <c r="P230" s="111" t="s">
        <v>356</v>
      </c>
      <c r="Q230" s="111"/>
      <c r="R230" s="28">
        <v>0</v>
      </c>
      <c r="S230" s="28">
        <v>3.35</v>
      </c>
      <c r="T230" s="28" t="s">
        <v>288</v>
      </c>
      <c r="U230">
        <f>S230- VLOOKUP(T230,'Bag weights'!A$2:B$6,2,FALSE)</f>
        <v>0.85999999999999988</v>
      </c>
      <c r="V230" s="113" t="str">
        <f t="shared" si="8"/>
        <v>-</v>
      </c>
      <c r="W230" s="113"/>
      <c r="X230" s="28">
        <v>0</v>
      </c>
      <c r="Y230" s="113" t="str">
        <f t="shared" ref="Y230:Y231" si="12">Y225</f>
        <v>-</v>
      </c>
      <c r="Z230" s="113"/>
      <c r="AA230" s="28">
        <v>0</v>
      </c>
      <c r="AB230" s="28">
        <v>80.09</v>
      </c>
      <c r="AC230" s="28" t="s">
        <v>284</v>
      </c>
      <c r="AD230">
        <f>AB230-VLOOKUP(AC230,'Bag weights'!A$2:B$6,2,FALSE)</f>
        <v>59.14</v>
      </c>
      <c r="AE230" s="28" t="s">
        <v>356</v>
      </c>
      <c r="AG230" s="28">
        <v>0</v>
      </c>
      <c r="AH230" s="28" t="s">
        <v>356</v>
      </c>
      <c r="AJ230" s="28">
        <v>0</v>
      </c>
      <c r="AK230" s="28">
        <v>4.08</v>
      </c>
      <c r="AL230" s="28" t="s">
        <v>288</v>
      </c>
      <c r="AM230">
        <f>AK230-VLOOKUP(AL230,'Bag weights'!A$2:B$6,2,FALSE)</f>
        <v>1.5899999999999999</v>
      </c>
      <c r="AN230" s="28">
        <v>2.84</v>
      </c>
      <c r="AO230" s="28" t="s">
        <v>288</v>
      </c>
      <c r="AP230">
        <f>AN230-VLOOKUP(AO230,'Bag weights'!A$2:B$6,2,FALSE)</f>
        <v>0.34999999999999964</v>
      </c>
      <c r="AS230" s="28">
        <v>0</v>
      </c>
      <c r="AT230" s="28">
        <v>3.78</v>
      </c>
      <c r="AU230" s="28" t="s">
        <v>288</v>
      </c>
      <c r="AV230">
        <f>AT230-VLOOKUP(AU230,'Bag weights'!A$2:B$6,2,FALSE)</f>
        <v>1.2899999999999996</v>
      </c>
      <c r="AW230">
        <f t="shared" si="5"/>
        <v>61.94</v>
      </c>
      <c r="BC230" s="92">
        <v>6.1</v>
      </c>
      <c r="BG230" s="108">
        <v>0.93</v>
      </c>
    </row>
    <row r="231" spans="1:59">
      <c r="A231" s="70"/>
      <c r="B231" s="70"/>
      <c r="C231" s="70">
        <v>4</v>
      </c>
      <c r="D231" s="70" t="s">
        <v>39</v>
      </c>
      <c r="E231" s="1"/>
      <c r="F231" s="1"/>
      <c r="G231" s="111" t="s">
        <v>356</v>
      </c>
      <c r="H231" s="111"/>
      <c r="I231" s="28">
        <v>0</v>
      </c>
      <c r="J231" s="111"/>
      <c r="K231" s="111"/>
      <c r="L231" t="e">
        <f>J231-VLOOKUP(K231,'Bag weights'!D$2:E$6,2,FALSE)</f>
        <v>#N/A</v>
      </c>
      <c r="M231" s="111" t="s">
        <v>356</v>
      </c>
      <c r="N231" s="112"/>
      <c r="O231" s="28">
        <v>0</v>
      </c>
      <c r="P231" s="111" t="s">
        <v>356</v>
      </c>
      <c r="Q231" s="111"/>
      <c r="R231" s="28">
        <v>0</v>
      </c>
      <c r="S231" s="28">
        <v>9.9700000000000006</v>
      </c>
      <c r="T231" s="28" t="s">
        <v>287</v>
      </c>
      <c r="U231">
        <f>S231- VLOOKUP(T231,'Bag weights'!A$2:B$6,2,FALSE)</f>
        <v>2.1400000000000006</v>
      </c>
      <c r="V231" s="113" t="str">
        <f t="shared" si="8"/>
        <v>-</v>
      </c>
      <c r="W231" s="113"/>
      <c r="X231" s="28">
        <v>0</v>
      </c>
      <c r="Y231" s="113" t="str">
        <f t="shared" si="12"/>
        <v>-</v>
      </c>
      <c r="Z231" s="113"/>
      <c r="AA231" s="28">
        <v>0</v>
      </c>
      <c r="AB231" s="28">
        <v>67.430000000000007</v>
      </c>
      <c r="AC231" s="28" t="s">
        <v>284</v>
      </c>
      <c r="AD231">
        <f>AB231-VLOOKUP(AC231,'Bag weights'!A$2:B$6,2,FALSE)</f>
        <v>46.480000000000004</v>
      </c>
      <c r="AE231" s="28" t="s">
        <v>356</v>
      </c>
      <c r="AG231" s="28">
        <v>0</v>
      </c>
      <c r="AH231" s="28" t="s">
        <v>356</v>
      </c>
      <c r="AJ231" s="28">
        <v>0</v>
      </c>
      <c r="AK231" s="28">
        <v>12.77</v>
      </c>
      <c r="AL231" s="28" t="s">
        <v>287</v>
      </c>
      <c r="AM231">
        <f>AK231-VLOOKUP(AL231,'Bag weights'!A$2:B$6,2,FALSE)</f>
        <v>4.9399999999999995</v>
      </c>
      <c r="AN231" s="28" t="s">
        <v>356</v>
      </c>
      <c r="AP231" s="28">
        <v>0</v>
      </c>
      <c r="AS231" s="28">
        <v>0</v>
      </c>
      <c r="AT231" s="28">
        <v>3.62</v>
      </c>
      <c r="AU231" s="28" t="s">
        <v>288</v>
      </c>
      <c r="AV231">
        <f>AT231-VLOOKUP(AU231,'Bag weights'!A$2:B$6,2,FALSE)</f>
        <v>1.1299999999999999</v>
      </c>
      <c r="AW231">
        <f t="shared" si="5"/>
        <v>53.56</v>
      </c>
      <c r="BC231" s="92">
        <v>5.2</v>
      </c>
      <c r="BG231" s="108">
        <v>1.35</v>
      </c>
    </row>
    <row r="232" spans="1:59">
      <c r="A232" s="70"/>
      <c r="B232" s="70"/>
      <c r="C232" s="70">
        <v>4</v>
      </c>
      <c r="D232" s="70" t="s">
        <v>97</v>
      </c>
      <c r="E232" s="1"/>
      <c r="F232" s="1"/>
      <c r="G232" s="111" t="s">
        <v>356</v>
      </c>
      <c r="H232" s="111"/>
      <c r="I232" s="28">
        <v>0</v>
      </c>
      <c r="J232" s="111"/>
      <c r="K232" s="111"/>
      <c r="L232" t="e">
        <f>J232-VLOOKUP(K232,'Bag weights'!D$2:E$6,2,FALSE)</f>
        <v>#N/A</v>
      </c>
      <c r="M232" s="111" t="s">
        <v>356</v>
      </c>
      <c r="N232" s="112"/>
      <c r="O232" s="28">
        <v>0</v>
      </c>
      <c r="P232" s="111" t="s">
        <v>356</v>
      </c>
      <c r="Q232" s="111"/>
      <c r="R232" s="28">
        <v>0</v>
      </c>
      <c r="S232" s="28">
        <v>9.84</v>
      </c>
      <c r="T232" s="28" t="s">
        <v>287</v>
      </c>
      <c r="U232">
        <f>S232- VLOOKUP(T232,'Bag weights'!A$2:B$6,2,FALSE)</f>
        <v>2.0099999999999998</v>
      </c>
      <c r="V232" s="113" t="str">
        <f t="shared" si="8"/>
        <v>-</v>
      </c>
      <c r="W232" s="113"/>
      <c r="X232" s="28">
        <v>0</v>
      </c>
      <c r="Y232" s="113" t="str">
        <f>Y231</f>
        <v>-</v>
      </c>
      <c r="Z232" s="113"/>
      <c r="AA232" s="28">
        <v>0</v>
      </c>
      <c r="AB232" s="28">
        <v>67.87</v>
      </c>
      <c r="AC232" s="28" t="s">
        <v>284</v>
      </c>
      <c r="AD232">
        <f>AB232-VLOOKUP(AC232,'Bag weights'!A$2:B$6,2,FALSE)</f>
        <v>46.92</v>
      </c>
      <c r="AE232" s="28" t="s">
        <v>356</v>
      </c>
      <c r="AG232" s="28">
        <v>0</v>
      </c>
      <c r="AH232" s="28" t="s">
        <v>356</v>
      </c>
      <c r="AJ232" s="28">
        <v>0</v>
      </c>
      <c r="AK232" s="28">
        <v>15.76</v>
      </c>
      <c r="AL232" s="28" t="s">
        <v>287</v>
      </c>
      <c r="AM232">
        <f>AK232-VLOOKUP(AL232,'Bag weights'!A$2:B$6,2,FALSE)</f>
        <v>7.93</v>
      </c>
      <c r="AN232" s="28">
        <v>2.69</v>
      </c>
      <c r="AO232" s="28" t="s">
        <v>288</v>
      </c>
      <c r="AP232">
        <f>AN232-VLOOKUP(AO232,'Bag weights'!A$2:B$6,2,FALSE)</f>
        <v>0.19999999999999973</v>
      </c>
      <c r="AS232" s="28">
        <v>0</v>
      </c>
      <c r="AT232" s="28">
        <v>3.31</v>
      </c>
      <c r="AU232" s="28" t="s">
        <v>288</v>
      </c>
      <c r="AV232">
        <f>AT232-VLOOKUP(AU232,'Bag weights'!A$2:B$6,2,FALSE)</f>
        <v>0.81999999999999984</v>
      </c>
      <c r="AW232">
        <f t="shared" si="5"/>
        <v>57.059999999999995</v>
      </c>
      <c r="BC232" s="92">
        <v>11.3</v>
      </c>
      <c r="BG232" s="108">
        <v>0.96</v>
      </c>
    </row>
    <row r="233" spans="1:59">
      <c r="A233" s="1"/>
      <c r="B233" s="1"/>
      <c r="C233" s="1"/>
      <c r="D233" s="1"/>
      <c r="E233" s="1"/>
      <c r="F233" s="1"/>
      <c r="N233" s="95"/>
    </row>
    <row r="234" spans="1:59">
      <c r="A234" s="13" t="s">
        <v>319</v>
      </c>
      <c r="B234" s="13" t="s">
        <v>289</v>
      </c>
      <c r="C234" s="13" t="s">
        <v>288</v>
      </c>
      <c r="D234" s="13" t="s">
        <v>320</v>
      </c>
      <c r="E234" s="13"/>
      <c r="F234" s="13"/>
      <c r="N234" s="95"/>
    </row>
    <row r="235" spans="1:59">
      <c r="A235" s="1"/>
      <c r="B235" s="13" t="s">
        <v>357</v>
      </c>
      <c r="C235" s="13">
        <v>2.4900000000000002</v>
      </c>
      <c r="D235" s="13">
        <v>7.83</v>
      </c>
      <c r="E235" s="13"/>
      <c r="F235" s="13"/>
      <c r="N235" s="95"/>
    </row>
    <row r="236" spans="1:59">
      <c r="A236" s="1"/>
      <c r="B236" s="1"/>
      <c r="C236" s="1"/>
      <c r="D236" s="1"/>
      <c r="E236" s="1"/>
      <c r="F236" s="1"/>
      <c r="N236" s="95"/>
    </row>
    <row r="237" spans="1:59">
      <c r="A237" s="1"/>
      <c r="B237" s="1"/>
      <c r="C237" s="13" t="s">
        <v>323</v>
      </c>
      <c r="D237" s="13" t="s">
        <v>293</v>
      </c>
      <c r="E237" s="13"/>
      <c r="F237" s="13"/>
      <c r="N237" s="95"/>
    </row>
    <row r="238" spans="1:59">
      <c r="A238" s="1"/>
      <c r="B238" s="1"/>
      <c r="C238" s="13" t="s">
        <v>358</v>
      </c>
      <c r="D238" s="13">
        <v>20.95</v>
      </c>
      <c r="E238" s="13"/>
      <c r="F238" s="13"/>
      <c r="N238" s="95"/>
    </row>
    <row r="239" spans="1:59">
      <c r="A239" s="1"/>
      <c r="B239" s="1"/>
      <c r="C239" s="13" t="s">
        <v>359</v>
      </c>
      <c r="D239" s="13"/>
      <c r="E239" s="13"/>
      <c r="F239" s="13"/>
      <c r="N239" s="95"/>
    </row>
    <row r="240" spans="1:59">
      <c r="A240" s="1"/>
      <c r="B240" s="1"/>
      <c r="C240" s="13" t="s">
        <v>360</v>
      </c>
      <c r="D240" s="13">
        <v>7.83</v>
      </c>
      <c r="E240" s="13"/>
      <c r="F240" s="13"/>
      <c r="N240" s="95"/>
    </row>
    <row r="241" spans="1:14">
      <c r="A241" s="1"/>
      <c r="B241" s="1"/>
      <c r="C241" s="13" t="s">
        <v>361</v>
      </c>
      <c r="D241" s="13">
        <v>2.4900000000000002</v>
      </c>
      <c r="E241" s="13"/>
      <c r="F241" s="13"/>
      <c r="N241" s="95"/>
    </row>
    <row r="242" spans="1:14">
      <c r="A242" s="1"/>
      <c r="B242" s="1"/>
      <c r="C242" s="13" t="s">
        <v>362</v>
      </c>
      <c r="D242" s="13">
        <v>1.45</v>
      </c>
      <c r="E242" s="13"/>
      <c r="F242" s="13"/>
      <c r="N242" s="95"/>
    </row>
    <row r="243" spans="1:14" ht="15" customHeight="1">
      <c r="N243" s="95"/>
    </row>
    <row r="244" spans="1:14" ht="15" customHeight="1">
      <c r="N244" s="95"/>
    </row>
    <row r="245" spans="1:14" ht="15" customHeight="1">
      <c r="N245" s="95"/>
    </row>
    <row r="246" spans="1:14" ht="15" customHeight="1">
      <c r="N246" s="95"/>
    </row>
    <row r="247" spans="1:14" ht="15" customHeight="1">
      <c r="N247" s="95"/>
    </row>
    <row r="248" spans="1:14" ht="15" customHeight="1">
      <c r="N248" s="95"/>
    </row>
    <row r="249" spans="1:14" ht="15" customHeight="1">
      <c r="N249" s="95"/>
    </row>
    <row r="250" spans="1:14" ht="15" customHeight="1">
      <c r="N250" s="95"/>
    </row>
    <row r="251" spans="1:14" ht="15" customHeight="1">
      <c r="N251" s="95"/>
    </row>
    <row r="252" spans="1:14" ht="15" customHeight="1">
      <c r="N252" s="95"/>
    </row>
    <row r="253" spans="1:14" ht="15" customHeight="1">
      <c r="N253" s="95"/>
    </row>
    <row r="254" spans="1:14" ht="15" customHeight="1">
      <c r="N254" s="95"/>
    </row>
    <row r="255" spans="1:14" ht="15" customHeight="1">
      <c r="N255" s="95"/>
    </row>
    <row r="256" spans="1:14" ht="15" customHeight="1">
      <c r="N256" s="95"/>
    </row>
    <row r="257" spans="14:14" ht="15" customHeight="1">
      <c r="N257" s="95"/>
    </row>
    <row r="258" spans="14:14" ht="15" customHeight="1">
      <c r="N258" s="95"/>
    </row>
    <row r="259" spans="14:14" ht="15" customHeight="1">
      <c r="N259" s="95"/>
    </row>
    <row r="260" spans="14:14" ht="15" customHeight="1">
      <c r="N260" s="95"/>
    </row>
    <row r="261" spans="14:14" ht="15" customHeight="1">
      <c r="N261" s="95"/>
    </row>
    <row r="262" spans="14:14" ht="15" customHeight="1">
      <c r="N262" s="95"/>
    </row>
    <row r="263" spans="14:14" ht="15" customHeight="1">
      <c r="N263" s="95"/>
    </row>
    <row r="264" spans="14:14" ht="15" customHeight="1">
      <c r="N264" s="95"/>
    </row>
    <row r="265" spans="14:14" ht="15" customHeight="1">
      <c r="N265" s="95"/>
    </row>
    <row r="266" spans="14:14" ht="15" customHeight="1">
      <c r="N266" s="95"/>
    </row>
    <row r="267" spans="14:14" ht="15" customHeight="1">
      <c r="N267" s="95"/>
    </row>
    <row r="268" spans="14:14" ht="15" customHeight="1">
      <c r="N268" s="95"/>
    </row>
    <row r="269" spans="14:14" ht="15" customHeight="1">
      <c r="N269" s="95"/>
    </row>
    <row r="270" spans="14:14" ht="15" customHeight="1">
      <c r="N270" s="95"/>
    </row>
    <row r="271" spans="14:14" ht="15" customHeight="1">
      <c r="N271" s="95"/>
    </row>
    <row r="272" spans="14:14" ht="15" customHeight="1">
      <c r="N272" s="95"/>
    </row>
    <row r="273" spans="14:14" ht="15" customHeight="1">
      <c r="N273" s="95"/>
    </row>
    <row r="274" spans="14:14" ht="15" customHeight="1">
      <c r="N274" s="95"/>
    </row>
    <row r="275" spans="14:14" ht="15" customHeight="1">
      <c r="N275" s="95"/>
    </row>
    <row r="276" spans="14:14" ht="15" customHeight="1">
      <c r="N276" s="95"/>
    </row>
    <row r="277" spans="14:14" ht="15" customHeight="1">
      <c r="N277" s="95"/>
    </row>
    <row r="278" spans="14:14" ht="15" customHeight="1">
      <c r="N278" s="95"/>
    </row>
    <row r="279" spans="14:14" ht="15" customHeight="1">
      <c r="N279" s="95"/>
    </row>
    <row r="280" spans="14:14" ht="15" customHeight="1">
      <c r="N280" s="95"/>
    </row>
    <row r="281" spans="14:14" ht="15" customHeight="1">
      <c r="N281" s="95"/>
    </row>
    <row r="282" spans="14:14" ht="15" customHeight="1">
      <c r="N282" s="95"/>
    </row>
    <row r="283" spans="14:14" ht="15" customHeight="1">
      <c r="N283" s="95"/>
    </row>
    <row r="284" spans="14:14" ht="15" customHeight="1">
      <c r="N284" s="95"/>
    </row>
    <row r="285" spans="14:14" ht="15" customHeight="1">
      <c r="N285" s="95"/>
    </row>
    <row r="286" spans="14:14" ht="15" customHeight="1">
      <c r="N286" s="95"/>
    </row>
    <row r="287" spans="14:14" ht="15" customHeight="1">
      <c r="N287" s="95"/>
    </row>
    <row r="288" spans="14:14" ht="15" customHeight="1">
      <c r="N288" s="95"/>
    </row>
    <row r="289" spans="14:14" ht="15" customHeight="1">
      <c r="N289" s="95"/>
    </row>
    <row r="290" spans="14:14" ht="15" customHeight="1">
      <c r="N290" s="95"/>
    </row>
    <row r="291" spans="14:14" ht="15" customHeight="1">
      <c r="N291" s="95"/>
    </row>
    <row r="292" spans="14:14" ht="15" customHeight="1">
      <c r="N292" s="95"/>
    </row>
    <row r="293" spans="14:14" ht="15" customHeight="1">
      <c r="N293" s="95"/>
    </row>
    <row r="294" spans="14:14" ht="15" customHeight="1">
      <c r="N294" s="95"/>
    </row>
    <row r="295" spans="14:14" ht="15" customHeight="1">
      <c r="N295" s="95"/>
    </row>
    <row r="296" spans="14:14" ht="15" customHeight="1">
      <c r="N296" s="95"/>
    </row>
    <row r="297" spans="14:14" ht="15" customHeight="1">
      <c r="N297" s="95"/>
    </row>
    <row r="298" spans="14:14" ht="15" customHeight="1">
      <c r="N298" s="95"/>
    </row>
    <row r="299" spans="14:14" ht="15" customHeight="1">
      <c r="N299" s="95"/>
    </row>
    <row r="300" spans="14:14" ht="15" customHeight="1">
      <c r="N300" s="95"/>
    </row>
    <row r="301" spans="14:14" ht="15" customHeight="1">
      <c r="N301" s="95"/>
    </row>
    <row r="302" spans="14:14" ht="15" customHeight="1">
      <c r="N302" s="95"/>
    </row>
    <row r="303" spans="14:14" ht="15" customHeight="1">
      <c r="N303" s="95"/>
    </row>
    <row r="304" spans="14:14" ht="15" customHeight="1">
      <c r="N304" s="95"/>
    </row>
    <row r="305" spans="14:14" ht="15" customHeight="1">
      <c r="N305" s="95"/>
    </row>
    <row r="306" spans="14:14" ht="15" customHeight="1">
      <c r="N306" s="95"/>
    </row>
    <row r="307" spans="14:14" ht="15" customHeight="1">
      <c r="N307" s="95"/>
    </row>
    <row r="308" spans="14:14" ht="15" customHeight="1">
      <c r="N308" s="95"/>
    </row>
    <row r="309" spans="14:14" ht="15" customHeight="1">
      <c r="N309" s="95"/>
    </row>
    <row r="310" spans="14:14" ht="15" customHeight="1">
      <c r="N310" s="95"/>
    </row>
    <row r="311" spans="14:14" ht="15" customHeight="1">
      <c r="N311" s="95"/>
    </row>
    <row r="312" spans="14:14" ht="15" customHeight="1">
      <c r="N312" s="95"/>
    </row>
    <row r="313" spans="14:14" ht="15" customHeight="1">
      <c r="N313" s="95"/>
    </row>
    <row r="314" spans="14:14" ht="15" customHeight="1">
      <c r="N314" s="95"/>
    </row>
    <row r="315" spans="14:14" ht="15" customHeight="1">
      <c r="N315" s="95"/>
    </row>
    <row r="316" spans="14:14" ht="15" customHeight="1">
      <c r="N316" s="95"/>
    </row>
    <row r="317" spans="14:14" ht="15" customHeight="1">
      <c r="N317" s="95"/>
    </row>
    <row r="318" spans="14:14" ht="15" customHeight="1">
      <c r="N318" s="95"/>
    </row>
    <row r="319" spans="14:14" ht="15" customHeight="1">
      <c r="N319" s="95"/>
    </row>
    <row r="320" spans="14:14" ht="15" customHeight="1">
      <c r="N320" s="95"/>
    </row>
    <row r="321" spans="14:14" ht="15" customHeight="1">
      <c r="N321" s="95"/>
    </row>
    <row r="322" spans="14:14" ht="15" customHeight="1">
      <c r="N322" s="95"/>
    </row>
    <row r="323" spans="14:14" ht="15" customHeight="1">
      <c r="N323" s="95"/>
    </row>
    <row r="324" spans="14:14" ht="15" customHeight="1">
      <c r="N324" s="95"/>
    </row>
    <row r="325" spans="14:14" ht="15" customHeight="1">
      <c r="N325" s="95"/>
    </row>
    <row r="326" spans="14:14" ht="15" customHeight="1">
      <c r="N326" s="95"/>
    </row>
    <row r="327" spans="14:14" ht="15" customHeight="1">
      <c r="N327" s="95"/>
    </row>
    <row r="328" spans="14:14" ht="15" customHeight="1">
      <c r="N328" s="95"/>
    </row>
    <row r="329" spans="14:14" ht="15" customHeight="1">
      <c r="N329" s="95"/>
    </row>
    <row r="330" spans="14:14" ht="15" customHeight="1">
      <c r="N330" s="95"/>
    </row>
    <row r="331" spans="14:14" ht="15" customHeight="1">
      <c r="N331" s="95"/>
    </row>
    <row r="332" spans="14:14" ht="15" customHeight="1">
      <c r="N332" s="95"/>
    </row>
    <row r="333" spans="14:14" ht="15" customHeight="1">
      <c r="N333" s="95"/>
    </row>
    <row r="334" spans="14:14" ht="15" customHeight="1">
      <c r="N334" s="95"/>
    </row>
    <row r="335" spans="14:14" ht="15" customHeight="1">
      <c r="N335" s="95"/>
    </row>
    <row r="336" spans="14:14" ht="15" customHeight="1">
      <c r="N336" s="95"/>
    </row>
    <row r="337" spans="14:14" ht="15" customHeight="1">
      <c r="N337" s="95"/>
    </row>
    <row r="338" spans="14:14" ht="15" customHeight="1">
      <c r="N338" s="95"/>
    </row>
    <row r="339" spans="14:14" ht="15" customHeight="1">
      <c r="N339" s="95"/>
    </row>
    <row r="340" spans="14:14" ht="15" customHeight="1">
      <c r="N340" s="95"/>
    </row>
    <row r="341" spans="14:14" ht="15" customHeight="1">
      <c r="N341" s="95"/>
    </row>
    <row r="342" spans="14:14" ht="15" customHeight="1">
      <c r="N342" s="95"/>
    </row>
    <row r="343" spans="14:14" ht="15" customHeight="1">
      <c r="N343" s="95"/>
    </row>
    <row r="344" spans="14:14" ht="15" customHeight="1">
      <c r="N344" s="95"/>
    </row>
    <row r="345" spans="14:14" ht="15" customHeight="1">
      <c r="N345" s="95"/>
    </row>
    <row r="346" spans="14:14" ht="15" customHeight="1">
      <c r="N346" s="95"/>
    </row>
    <row r="347" spans="14:14" ht="15" customHeight="1">
      <c r="N347" s="95"/>
    </row>
    <row r="348" spans="14:14" ht="15" customHeight="1">
      <c r="N348" s="95"/>
    </row>
    <row r="349" spans="14:14" ht="15" customHeight="1">
      <c r="N349" s="95"/>
    </row>
    <row r="350" spans="14:14" ht="15" customHeight="1">
      <c r="N350" s="95"/>
    </row>
    <row r="351" spans="14:14" ht="15" customHeight="1">
      <c r="N351" s="95"/>
    </row>
    <row r="352" spans="14:14" ht="15" customHeight="1">
      <c r="N352" s="95"/>
    </row>
    <row r="353" spans="14:14" ht="15" customHeight="1">
      <c r="N353" s="95"/>
    </row>
    <row r="354" spans="14:14" ht="15" customHeight="1">
      <c r="N354" s="95"/>
    </row>
    <row r="355" spans="14:14" ht="15" customHeight="1">
      <c r="N355" s="95"/>
    </row>
    <row r="356" spans="14:14" ht="15" customHeight="1">
      <c r="N356" s="95"/>
    </row>
    <row r="357" spans="14:14" ht="15" customHeight="1">
      <c r="N357" s="95"/>
    </row>
    <row r="358" spans="14:14" ht="15" customHeight="1">
      <c r="N358" s="95"/>
    </row>
    <row r="359" spans="14:14" ht="15" customHeight="1">
      <c r="N359" s="95"/>
    </row>
    <row r="360" spans="14:14" ht="15" customHeight="1">
      <c r="N360" s="95"/>
    </row>
    <row r="361" spans="14:14" ht="15" customHeight="1">
      <c r="N361" s="95"/>
    </row>
    <row r="362" spans="14:14" ht="15" customHeight="1">
      <c r="N362" s="95"/>
    </row>
    <row r="363" spans="14:14" ht="15" customHeight="1">
      <c r="N363" s="95"/>
    </row>
    <row r="364" spans="14:14" ht="15" customHeight="1">
      <c r="N364" s="95"/>
    </row>
    <row r="365" spans="14:14" ht="15" customHeight="1">
      <c r="N365" s="95"/>
    </row>
    <row r="366" spans="14:14" ht="15" customHeight="1">
      <c r="N366" s="95"/>
    </row>
    <row r="367" spans="14:14" ht="15" customHeight="1">
      <c r="N367" s="95"/>
    </row>
    <row r="368" spans="14:14" ht="15" customHeight="1">
      <c r="N368" s="95"/>
    </row>
    <row r="369" spans="14:14" ht="15" customHeight="1">
      <c r="N369" s="95"/>
    </row>
    <row r="370" spans="14:14" ht="15" customHeight="1">
      <c r="N370" s="95"/>
    </row>
    <row r="371" spans="14:14" ht="15" customHeight="1">
      <c r="N371" s="95"/>
    </row>
    <row r="372" spans="14:14" ht="15" customHeight="1">
      <c r="N372" s="95"/>
    </row>
    <row r="373" spans="14:14" ht="15" customHeight="1">
      <c r="N373" s="95"/>
    </row>
    <row r="374" spans="14:14" ht="15" customHeight="1">
      <c r="N374" s="95"/>
    </row>
    <row r="375" spans="14:14" ht="15" customHeight="1">
      <c r="N375" s="95"/>
    </row>
    <row r="376" spans="14:14" ht="15" customHeight="1">
      <c r="N376" s="95"/>
    </row>
    <row r="377" spans="14:14" ht="15" customHeight="1">
      <c r="N377" s="95"/>
    </row>
    <row r="378" spans="14:14" ht="15" customHeight="1">
      <c r="N378" s="95"/>
    </row>
    <row r="379" spans="14:14" ht="15" customHeight="1">
      <c r="N379" s="95"/>
    </row>
    <row r="380" spans="14:14" ht="15" customHeight="1">
      <c r="N380" s="95"/>
    </row>
    <row r="381" spans="14:14" ht="15" customHeight="1">
      <c r="N381" s="95"/>
    </row>
    <row r="382" spans="14:14" ht="15" customHeight="1">
      <c r="N382" s="95"/>
    </row>
    <row r="383" spans="14:14" ht="15" customHeight="1">
      <c r="N383" s="95"/>
    </row>
    <row r="384" spans="14:14" ht="15" customHeight="1">
      <c r="N384" s="95"/>
    </row>
    <row r="385" spans="14:14" ht="15" customHeight="1">
      <c r="N385" s="95"/>
    </row>
    <row r="386" spans="14:14" ht="15" customHeight="1">
      <c r="N386" s="95"/>
    </row>
    <row r="387" spans="14:14" ht="15" customHeight="1">
      <c r="N387" s="95"/>
    </row>
    <row r="388" spans="14:14" ht="15" customHeight="1">
      <c r="N388" s="95"/>
    </row>
    <row r="389" spans="14:14" ht="15" customHeight="1">
      <c r="N389" s="95"/>
    </row>
    <row r="390" spans="14:14" ht="15" customHeight="1">
      <c r="N390" s="95"/>
    </row>
    <row r="391" spans="14:14" ht="15" customHeight="1">
      <c r="N391" s="95"/>
    </row>
    <row r="392" spans="14:14" ht="15" customHeight="1">
      <c r="N392" s="95"/>
    </row>
    <row r="393" spans="14:14" ht="15" customHeight="1">
      <c r="N393" s="95"/>
    </row>
    <row r="394" spans="14:14" ht="15" customHeight="1">
      <c r="N394" s="95"/>
    </row>
    <row r="395" spans="14:14" ht="15" customHeight="1">
      <c r="N395" s="95"/>
    </row>
    <row r="396" spans="14:14" ht="15" customHeight="1">
      <c r="N396" s="95"/>
    </row>
    <row r="397" spans="14:14" ht="15" customHeight="1">
      <c r="N397" s="95"/>
    </row>
    <row r="398" spans="14:14" ht="15" customHeight="1">
      <c r="N398" s="95"/>
    </row>
    <row r="399" spans="14:14" ht="15" customHeight="1">
      <c r="N399" s="95"/>
    </row>
    <row r="400" spans="14:14" ht="15" customHeight="1">
      <c r="N400" s="95"/>
    </row>
    <row r="401" spans="14:14" ht="15" customHeight="1">
      <c r="N401" s="95"/>
    </row>
    <row r="402" spans="14:14" ht="15" customHeight="1">
      <c r="N402" s="95"/>
    </row>
    <row r="403" spans="14:14" ht="15" customHeight="1">
      <c r="N403" s="95"/>
    </row>
    <row r="404" spans="14:14" ht="15" customHeight="1">
      <c r="N404" s="95"/>
    </row>
    <row r="405" spans="14:14" ht="15" customHeight="1">
      <c r="N405" s="95"/>
    </row>
    <row r="406" spans="14:14" ht="15" customHeight="1">
      <c r="N406" s="95"/>
    </row>
    <row r="407" spans="14:14" ht="15" customHeight="1">
      <c r="N407" s="95"/>
    </row>
    <row r="408" spans="14:14" ht="15" customHeight="1">
      <c r="N408" s="95"/>
    </row>
    <row r="409" spans="14:14" ht="15" customHeight="1">
      <c r="N409" s="95"/>
    </row>
    <row r="410" spans="14:14" ht="15" customHeight="1">
      <c r="N410" s="95"/>
    </row>
    <row r="411" spans="14:14" ht="15" customHeight="1">
      <c r="N411" s="95"/>
    </row>
    <row r="412" spans="14:14" ht="15" customHeight="1">
      <c r="N412" s="95"/>
    </row>
    <row r="413" spans="14:14" ht="15" customHeight="1">
      <c r="N413" s="95"/>
    </row>
    <row r="414" spans="14:14" ht="15" customHeight="1">
      <c r="N414" s="95"/>
    </row>
    <row r="415" spans="14:14" ht="15" customHeight="1">
      <c r="N415" s="95"/>
    </row>
    <row r="416" spans="14:14" ht="15" customHeight="1">
      <c r="N416" s="95"/>
    </row>
    <row r="417" spans="14:14" ht="15" customHeight="1">
      <c r="N417" s="95"/>
    </row>
    <row r="418" spans="14:14" ht="15" customHeight="1">
      <c r="N418" s="95"/>
    </row>
    <row r="419" spans="14:14" ht="15" customHeight="1">
      <c r="N419" s="95"/>
    </row>
    <row r="420" spans="14:14" ht="15" customHeight="1">
      <c r="N420" s="95"/>
    </row>
    <row r="421" spans="14:14" ht="15" customHeight="1">
      <c r="N421" s="95"/>
    </row>
    <row r="422" spans="14:14" ht="15" customHeight="1">
      <c r="N422" s="95"/>
    </row>
    <row r="423" spans="14:14" ht="15" customHeight="1">
      <c r="N423" s="95"/>
    </row>
    <row r="424" spans="14:14" ht="15" customHeight="1">
      <c r="N424" s="95"/>
    </row>
    <row r="425" spans="14:14" ht="15" customHeight="1">
      <c r="N425" s="95"/>
    </row>
    <row r="426" spans="14:14" ht="15" customHeight="1">
      <c r="N426" s="95"/>
    </row>
    <row r="427" spans="14:14" ht="15" customHeight="1">
      <c r="N427" s="95"/>
    </row>
    <row r="428" spans="14:14" ht="15" customHeight="1">
      <c r="N428" s="95"/>
    </row>
    <row r="429" spans="14:14" ht="15" customHeight="1">
      <c r="N429" s="95"/>
    </row>
    <row r="430" spans="14:14" ht="15" customHeight="1">
      <c r="N430" s="95"/>
    </row>
    <row r="431" spans="14:14" ht="15" customHeight="1">
      <c r="N431" s="95"/>
    </row>
    <row r="432" spans="14:14" ht="15" customHeight="1">
      <c r="N432" s="95"/>
    </row>
    <row r="433" spans="14:14" ht="15" customHeight="1">
      <c r="N433" s="95"/>
    </row>
    <row r="434" spans="14:14" ht="15" customHeight="1">
      <c r="N434" s="95"/>
    </row>
    <row r="435" spans="14:14" ht="15" customHeight="1">
      <c r="N435" s="95"/>
    </row>
    <row r="436" spans="14:14" ht="15" customHeight="1">
      <c r="N436" s="95"/>
    </row>
    <row r="437" spans="14:14" ht="15" customHeight="1">
      <c r="N437" s="95"/>
    </row>
    <row r="438" spans="14:14" ht="15" customHeight="1">
      <c r="N438" s="95"/>
    </row>
    <row r="439" spans="14:14" ht="15" customHeight="1">
      <c r="N439" s="95"/>
    </row>
    <row r="440" spans="14:14" ht="15" customHeight="1">
      <c r="N440" s="95"/>
    </row>
    <row r="441" spans="14:14" ht="15" customHeight="1">
      <c r="N441" s="95"/>
    </row>
    <row r="442" spans="14:14" ht="15" customHeight="1">
      <c r="N442" s="95"/>
    </row>
    <row r="443" spans="14:14" ht="15" customHeight="1">
      <c r="N443" s="95"/>
    </row>
    <row r="444" spans="14:14" ht="15" customHeight="1">
      <c r="N444" s="95"/>
    </row>
    <row r="445" spans="14:14" ht="15" customHeight="1">
      <c r="N445" s="95"/>
    </row>
    <row r="446" spans="14:14" ht="15" customHeight="1">
      <c r="N446" s="95"/>
    </row>
    <row r="447" spans="14:14" ht="15" customHeight="1">
      <c r="N447" s="95"/>
    </row>
    <row r="448" spans="14:14" ht="15" customHeight="1">
      <c r="N448" s="95"/>
    </row>
    <row r="449" spans="14:14" ht="15" customHeight="1">
      <c r="N449" s="95"/>
    </row>
    <row r="450" spans="14:14" ht="15" customHeight="1">
      <c r="N450" s="95"/>
    </row>
    <row r="451" spans="14:14" ht="15" customHeight="1">
      <c r="N451" s="95"/>
    </row>
    <row r="452" spans="14:14" ht="15" customHeight="1">
      <c r="N452" s="95"/>
    </row>
    <row r="453" spans="14:14" ht="15" customHeight="1">
      <c r="N453" s="95"/>
    </row>
    <row r="454" spans="14:14" ht="15" customHeight="1">
      <c r="N454" s="95"/>
    </row>
    <row r="455" spans="14:14" ht="15" customHeight="1">
      <c r="N455" s="95"/>
    </row>
    <row r="456" spans="14:14" ht="15" customHeight="1">
      <c r="N456" s="95"/>
    </row>
    <row r="457" spans="14:14" ht="15" customHeight="1">
      <c r="N457" s="95"/>
    </row>
    <row r="458" spans="14:14" ht="15" customHeight="1">
      <c r="N458" s="95"/>
    </row>
    <row r="459" spans="14:14" ht="15" customHeight="1">
      <c r="N459" s="95"/>
    </row>
    <row r="460" spans="14:14" ht="15" customHeight="1">
      <c r="N460" s="95"/>
    </row>
    <row r="461" spans="14:14" ht="15" customHeight="1">
      <c r="N461" s="95"/>
    </row>
    <row r="462" spans="14:14" ht="15" customHeight="1">
      <c r="N462" s="95"/>
    </row>
    <row r="463" spans="14:14" ht="15" customHeight="1">
      <c r="N463" s="95"/>
    </row>
    <row r="464" spans="14:14" ht="15" customHeight="1">
      <c r="N464" s="95"/>
    </row>
    <row r="465" spans="14:14" ht="15" customHeight="1">
      <c r="N465" s="95"/>
    </row>
    <row r="466" spans="14:14" ht="15" customHeight="1">
      <c r="N466" s="95"/>
    </row>
    <row r="467" spans="14:14" ht="15" customHeight="1">
      <c r="N467" s="95"/>
    </row>
    <row r="468" spans="14:14" ht="15" customHeight="1">
      <c r="N468" s="95"/>
    </row>
    <row r="469" spans="14:14" ht="15" customHeight="1">
      <c r="N469" s="95"/>
    </row>
    <row r="470" spans="14:14" ht="15" customHeight="1">
      <c r="N470" s="95"/>
    </row>
    <row r="471" spans="14:14" ht="15" customHeight="1">
      <c r="N471" s="95"/>
    </row>
    <row r="472" spans="14:14" ht="15" customHeight="1">
      <c r="N472" s="95"/>
    </row>
    <row r="473" spans="14:14" ht="15" customHeight="1">
      <c r="N473" s="95"/>
    </row>
    <row r="474" spans="14:14" ht="15" customHeight="1">
      <c r="N474" s="95"/>
    </row>
    <row r="475" spans="14:14" ht="15" customHeight="1">
      <c r="N475" s="95"/>
    </row>
    <row r="476" spans="14:14" ht="15" customHeight="1">
      <c r="N476" s="95"/>
    </row>
    <row r="477" spans="14:14" ht="15" customHeight="1">
      <c r="N477" s="95"/>
    </row>
    <row r="478" spans="14:14" ht="15" customHeight="1">
      <c r="N478" s="95"/>
    </row>
    <row r="479" spans="14:14" ht="15" customHeight="1">
      <c r="N479" s="95"/>
    </row>
    <row r="480" spans="14:14" ht="15" customHeight="1">
      <c r="N480" s="95"/>
    </row>
    <row r="481" spans="14:14" ht="15" customHeight="1">
      <c r="N481" s="95"/>
    </row>
    <row r="482" spans="14:14" ht="15" customHeight="1">
      <c r="N482" s="95"/>
    </row>
    <row r="483" spans="14:14" ht="15" customHeight="1">
      <c r="N483" s="95"/>
    </row>
    <row r="484" spans="14:14" ht="15" customHeight="1">
      <c r="N484" s="95"/>
    </row>
    <row r="485" spans="14:14" ht="15" customHeight="1">
      <c r="N485" s="95"/>
    </row>
    <row r="486" spans="14:14" ht="15" customHeight="1">
      <c r="N486" s="95"/>
    </row>
    <row r="487" spans="14:14" ht="15" customHeight="1">
      <c r="N487" s="95"/>
    </row>
    <row r="488" spans="14:14" ht="15" customHeight="1">
      <c r="N488" s="95"/>
    </row>
    <row r="489" spans="14:14" ht="15" customHeight="1">
      <c r="N489" s="95"/>
    </row>
    <row r="490" spans="14:14" ht="15" customHeight="1">
      <c r="N490" s="95"/>
    </row>
    <row r="491" spans="14:14" ht="15" customHeight="1">
      <c r="N491" s="95"/>
    </row>
    <row r="492" spans="14:14" ht="15" customHeight="1">
      <c r="N492" s="95"/>
    </row>
    <row r="493" spans="14:14" ht="15" customHeight="1">
      <c r="N493" s="95"/>
    </row>
    <row r="494" spans="14:14" ht="15" customHeight="1">
      <c r="N494" s="95"/>
    </row>
    <row r="495" spans="14:14" ht="15" customHeight="1">
      <c r="N495" s="95"/>
    </row>
    <row r="496" spans="14:14" ht="15" customHeight="1">
      <c r="N496" s="95"/>
    </row>
    <row r="497" spans="14:14" ht="15" customHeight="1">
      <c r="N497" s="95"/>
    </row>
    <row r="498" spans="14:14" ht="15" customHeight="1">
      <c r="N498" s="95"/>
    </row>
    <row r="499" spans="14:14" ht="15" customHeight="1">
      <c r="N499" s="95"/>
    </row>
    <row r="500" spans="14:14" ht="15" customHeight="1">
      <c r="N500" s="95"/>
    </row>
    <row r="501" spans="14:14" ht="15" customHeight="1">
      <c r="N501" s="95"/>
    </row>
    <row r="502" spans="14:14" ht="15" customHeight="1">
      <c r="N502" s="95"/>
    </row>
    <row r="503" spans="14:14" ht="15" customHeight="1">
      <c r="N503" s="95"/>
    </row>
    <row r="504" spans="14:14" ht="15" customHeight="1">
      <c r="N504" s="95"/>
    </row>
    <row r="505" spans="14:14" ht="15" customHeight="1">
      <c r="N505" s="95"/>
    </row>
    <row r="506" spans="14:14" ht="15" customHeight="1">
      <c r="N506" s="95"/>
    </row>
    <row r="507" spans="14:14" ht="15" customHeight="1">
      <c r="N507" s="95"/>
    </row>
    <row r="508" spans="14:14" ht="15" customHeight="1">
      <c r="N508" s="95"/>
    </row>
    <row r="509" spans="14:14" ht="15" customHeight="1">
      <c r="N509" s="95"/>
    </row>
    <row r="510" spans="14:14" ht="15" customHeight="1">
      <c r="N510" s="95"/>
    </row>
    <row r="511" spans="14:14" ht="15" customHeight="1">
      <c r="N511" s="95"/>
    </row>
    <row r="512" spans="14:14" ht="15" customHeight="1">
      <c r="N512" s="95"/>
    </row>
    <row r="513" spans="14:14" ht="15" customHeight="1">
      <c r="N513" s="95"/>
    </row>
    <row r="514" spans="14:14" ht="15" customHeight="1">
      <c r="N514" s="95"/>
    </row>
    <row r="515" spans="14:14" ht="15" customHeight="1">
      <c r="N515" s="95"/>
    </row>
    <row r="516" spans="14:14" ht="15" customHeight="1">
      <c r="N516" s="95"/>
    </row>
    <row r="517" spans="14:14" ht="15" customHeight="1">
      <c r="N517" s="95"/>
    </row>
    <row r="518" spans="14:14" ht="15" customHeight="1">
      <c r="N518" s="95"/>
    </row>
    <row r="519" spans="14:14" ht="15" customHeight="1">
      <c r="N519" s="95"/>
    </row>
    <row r="520" spans="14:14" ht="15" customHeight="1">
      <c r="N520" s="95"/>
    </row>
    <row r="521" spans="14:14" ht="15" customHeight="1">
      <c r="N521" s="95"/>
    </row>
    <row r="522" spans="14:14" ht="15" customHeight="1">
      <c r="N522" s="95"/>
    </row>
    <row r="523" spans="14:14" ht="15" customHeight="1">
      <c r="N523" s="95"/>
    </row>
    <row r="524" spans="14:14" ht="15" customHeight="1">
      <c r="N524" s="95"/>
    </row>
    <row r="525" spans="14:14" ht="15" customHeight="1">
      <c r="N525" s="95"/>
    </row>
    <row r="526" spans="14:14" ht="15" customHeight="1">
      <c r="N526" s="95"/>
    </row>
    <row r="527" spans="14:14" ht="15" customHeight="1">
      <c r="N527" s="95"/>
    </row>
    <row r="528" spans="14:14" ht="15" customHeight="1">
      <c r="N528" s="95"/>
    </row>
    <row r="529" spans="14:14" ht="15" customHeight="1">
      <c r="N529" s="95"/>
    </row>
    <row r="530" spans="14:14" ht="15" customHeight="1">
      <c r="N530" s="95"/>
    </row>
    <row r="531" spans="14:14" ht="15" customHeight="1">
      <c r="N531" s="95"/>
    </row>
    <row r="532" spans="14:14" ht="15" customHeight="1">
      <c r="N532" s="95"/>
    </row>
    <row r="533" spans="14:14" ht="15" customHeight="1">
      <c r="N533" s="95"/>
    </row>
    <row r="534" spans="14:14" ht="15" customHeight="1">
      <c r="N534" s="95"/>
    </row>
    <row r="535" spans="14:14" ht="15" customHeight="1">
      <c r="N535" s="95"/>
    </row>
    <row r="536" spans="14:14" ht="15" customHeight="1">
      <c r="N536" s="95"/>
    </row>
    <row r="537" spans="14:14" ht="15" customHeight="1">
      <c r="N537" s="95"/>
    </row>
    <row r="538" spans="14:14" ht="15" customHeight="1">
      <c r="N538" s="95"/>
    </row>
    <row r="539" spans="14:14" ht="15" customHeight="1">
      <c r="N539" s="95"/>
    </row>
    <row r="540" spans="14:14" ht="15" customHeight="1">
      <c r="N540" s="95"/>
    </row>
    <row r="541" spans="14:14" ht="15" customHeight="1">
      <c r="N541" s="95"/>
    </row>
    <row r="542" spans="14:14" ht="15" customHeight="1">
      <c r="N542" s="95"/>
    </row>
    <row r="543" spans="14:14" ht="15" customHeight="1">
      <c r="N543" s="95"/>
    </row>
    <row r="544" spans="14:14" ht="15" customHeight="1">
      <c r="N544" s="95"/>
    </row>
    <row r="545" spans="14:14" ht="15" customHeight="1">
      <c r="N545" s="95"/>
    </row>
    <row r="546" spans="14:14" ht="15" customHeight="1">
      <c r="N546" s="95"/>
    </row>
    <row r="547" spans="14:14" ht="15" customHeight="1">
      <c r="N547" s="95"/>
    </row>
    <row r="548" spans="14:14" ht="15" customHeight="1">
      <c r="N548" s="95"/>
    </row>
    <row r="549" spans="14:14" ht="15" customHeight="1">
      <c r="N549" s="95"/>
    </row>
    <row r="550" spans="14:14" ht="15" customHeight="1">
      <c r="N550" s="95"/>
    </row>
    <row r="551" spans="14:14" ht="15" customHeight="1">
      <c r="N551" s="95"/>
    </row>
    <row r="552" spans="14:14" ht="15" customHeight="1">
      <c r="N552" s="95"/>
    </row>
    <row r="553" spans="14:14" ht="15" customHeight="1">
      <c r="N553" s="95"/>
    </row>
    <row r="554" spans="14:14" ht="15" customHeight="1">
      <c r="N554" s="95"/>
    </row>
    <row r="555" spans="14:14" ht="15" customHeight="1">
      <c r="N555" s="95"/>
    </row>
    <row r="556" spans="14:14" ht="15" customHeight="1">
      <c r="N556" s="95"/>
    </row>
    <row r="557" spans="14:14" ht="15" customHeight="1">
      <c r="N557" s="95"/>
    </row>
    <row r="558" spans="14:14" ht="15" customHeight="1">
      <c r="N558" s="95"/>
    </row>
    <row r="559" spans="14:14" ht="15" customHeight="1">
      <c r="N559" s="95"/>
    </row>
    <row r="560" spans="14:14" ht="15" customHeight="1">
      <c r="N560" s="95"/>
    </row>
    <row r="561" spans="14:14" ht="15" customHeight="1">
      <c r="N561" s="95"/>
    </row>
    <row r="562" spans="14:14" ht="15" customHeight="1">
      <c r="N562" s="95"/>
    </row>
    <row r="563" spans="14:14" ht="15" customHeight="1">
      <c r="N563" s="95"/>
    </row>
    <row r="564" spans="14:14" ht="15" customHeight="1">
      <c r="N564" s="95"/>
    </row>
    <row r="565" spans="14:14" ht="15" customHeight="1">
      <c r="N565" s="95"/>
    </row>
    <row r="566" spans="14:14" ht="15" customHeight="1">
      <c r="N566" s="95"/>
    </row>
    <row r="567" spans="14:14" ht="15" customHeight="1">
      <c r="N567" s="95"/>
    </row>
    <row r="568" spans="14:14" ht="15" customHeight="1">
      <c r="N568" s="95"/>
    </row>
    <row r="569" spans="14:14" ht="15" customHeight="1">
      <c r="N569" s="95"/>
    </row>
    <row r="570" spans="14:14" ht="15" customHeight="1">
      <c r="N570" s="95"/>
    </row>
    <row r="571" spans="14:14" ht="15" customHeight="1">
      <c r="N571" s="95"/>
    </row>
    <row r="572" spans="14:14" ht="15" customHeight="1">
      <c r="N572" s="95"/>
    </row>
    <row r="573" spans="14:14" ht="15" customHeight="1">
      <c r="N573" s="95"/>
    </row>
    <row r="574" spans="14:14" ht="15" customHeight="1">
      <c r="N574" s="95"/>
    </row>
    <row r="575" spans="14:14" ht="15" customHeight="1">
      <c r="N575" s="95"/>
    </row>
    <row r="576" spans="14:14" ht="15" customHeight="1">
      <c r="N576" s="95"/>
    </row>
    <row r="577" spans="14:14" ht="15" customHeight="1">
      <c r="N577" s="95"/>
    </row>
    <row r="578" spans="14:14" ht="15" customHeight="1">
      <c r="N578" s="95"/>
    </row>
    <row r="579" spans="14:14" ht="15" customHeight="1">
      <c r="N579" s="95"/>
    </row>
    <row r="580" spans="14:14" ht="15" customHeight="1">
      <c r="N580" s="95"/>
    </row>
    <row r="581" spans="14:14" ht="15" customHeight="1">
      <c r="N581" s="95"/>
    </row>
    <row r="582" spans="14:14" ht="15" customHeight="1">
      <c r="N582" s="95"/>
    </row>
    <row r="583" spans="14:14" ht="15" customHeight="1">
      <c r="N583" s="95"/>
    </row>
    <row r="584" spans="14:14" ht="15" customHeight="1">
      <c r="N584" s="95"/>
    </row>
    <row r="585" spans="14:14" ht="15" customHeight="1">
      <c r="N585" s="95"/>
    </row>
    <row r="586" spans="14:14" ht="15" customHeight="1">
      <c r="N586" s="95"/>
    </row>
    <row r="587" spans="14:14" ht="15" customHeight="1">
      <c r="N587" s="95"/>
    </row>
    <row r="588" spans="14:14" ht="15" customHeight="1">
      <c r="N588" s="95"/>
    </row>
    <row r="589" spans="14:14" ht="15" customHeight="1">
      <c r="N589" s="95"/>
    </row>
    <row r="590" spans="14:14" ht="15" customHeight="1">
      <c r="N590" s="95"/>
    </row>
    <row r="591" spans="14:14" ht="15" customHeight="1">
      <c r="N591" s="95"/>
    </row>
    <row r="592" spans="14:14" ht="15" customHeight="1">
      <c r="N592" s="95"/>
    </row>
    <row r="593" spans="14:14" ht="15" customHeight="1">
      <c r="N593" s="95"/>
    </row>
    <row r="594" spans="14:14" ht="15" customHeight="1">
      <c r="N594" s="95"/>
    </row>
    <row r="595" spans="14:14" ht="15" customHeight="1">
      <c r="N595" s="95"/>
    </row>
    <row r="596" spans="14:14" ht="15" customHeight="1">
      <c r="N596" s="95"/>
    </row>
    <row r="597" spans="14:14" ht="15" customHeight="1">
      <c r="N597" s="95"/>
    </row>
    <row r="598" spans="14:14" ht="15" customHeight="1">
      <c r="N598" s="95"/>
    </row>
    <row r="599" spans="14:14" ht="15" customHeight="1">
      <c r="N599" s="95"/>
    </row>
    <row r="600" spans="14:14" ht="15" customHeight="1">
      <c r="N600" s="95"/>
    </row>
    <row r="601" spans="14:14" ht="15" customHeight="1">
      <c r="N601" s="95"/>
    </row>
    <row r="602" spans="14:14" ht="15" customHeight="1">
      <c r="N602" s="95"/>
    </row>
    <row r="603" spans="14:14" ht="15" customHeight="1">
      <c r="N603" s="95"/>
    </row>
    <row r="604" spans="14:14" ht="15" customHeight="1">
      <c r="N604" s="95"/>
    </row>
    <row r="605" spans="14:14" ht="15" customHeight="1">
      <c r="N605" s="95"/>
    </row>
    <row r="606" spans="14:14" ht="15" customHeight="1">
      <c r="N606" s="95"/>
    </row>
    <row r="607" spans="14:14" ht="15" customHeight="1">
      <c r="N607" s="95"/>
    </row>
    <row r="608" spans="14:14" ht="15" customHeight="1">
      <c r="N608" s="95"/>
    </row>
    <row r="609" spans="14:14" ht="15" customHeight="1">
      <c r="N609" s="95"/>
    </row>
    <row r="610" spans="14:14" ht="15" customHeight="1">
      <c r="N610" s="95"/>
    </row>
    <row r="611" spans="14:14" ht="15" customHeight="1">
      <c r="N611" s="95"/>
    </row>
    <row r="612" spans="14:14" ht="15" customHeight="1">
      <c r="N612" s="95"/>
    </row>
    <row r="613" spans="14:14" ht="15" customHeight="1">
      <c r="N613" s="95"/>
    </row>
    <row r="614" spans="14:14" ht="15" customHeight="1">
      <c r="N614" s="95"/>
    </row>
    <row r="615" spans="14:14" ht="15" customHeight="1">
      <c r="N615" s="95"/>
    </row>
    <row r="616" spans="14:14" ht="15" customHeight="1">
      <c r="N616" s="95"/>
    </row>
    <row r="617" spans="14:14" ht="15" customHeight="1">
      <c r="N617" s="95"/>
    </row>
    <row r="618" spans="14:14" ht="15" customHeight="1">
      <c r="N618" s="95"/>
    </row>
    <row r="619" spans="14:14" ht="15" customHeight="1">
      <c r="N619" s="95"/>
    </row>
    <row r="620" spans="14:14" ht="15" customHeight="1">
      <c r="N620" s="95"/>
    </row>
    <row r="621" spans="14:14" ht="15" customHeight="1">
      <c r="N621" s="95"/>
    </row>
    <row r="622" spans="14:14" ht="15" customHeight="1">
      <c r="N622" s="95"/>
    </row>
    <row r="623" spans="14:14" ht="15" customHeight="1">
      <c r="N623" s="95"/>
    </row>
    <row r="624" spans="14:14" ht="15" customHeight="1">
      <c r="N624" s="95"/>
    </row>
    <row r="625" spans="14:14" ht="15" customHeight="1">
      <c r="N625" s="95"/>
    </row>
    <row r="626" spans="14:14" ht="15" customHeight="1">
      <c r="N626" s="95"/>
    </row>
    <row r="627" spans="14:14" ht="15" customHeight="1">
      <c r="N627" s="95"/>
    </row>
    <row r="628" spans="14:14" ht="15" customHeight="1">
      <c r="N628" s="95"/>
    </row>
    <row r="629" spans="14:14" ht="15" customHeight="1">
      <c r="N629" s="95"/>
    </row>
    <row r="630" spans="14:14" ht="15" customHeight="1">
      <c r="N630" s="95"/>
    </row>
    <row r="631" spans="14:14" ht="15" customHeight="1">
      <c r="N631" s="95"/>
    </row>
    <row r="632" spans="14:14" ht="15" customHeight="1">
      <c r="N632" s="95"/>
    </row>
    <row r="633" spans="14:14" ht="15" customHeight="1">
      <c r="N633" s="95"/>
    </row>
    <row r="634" spans="14:14" ht="15" customHeight="1">
      <c r="N634" s="95"/>
    </row>
    <row r="635" spans="14:14" ht="15" customHeight="1">
      <c r="N635" s="95"/>
    </row>
    <row r="636" spans="14:14" ht="15" customHeight="1">
      <c r="N636" s="95"/>
    </row>
    <row r="637" spans="14:14" ht="15" customHeight="1">
      <c r="N637" s="95"/>
    </row>
    <row r="638" spans="14:14" ht="15" customHeight="1">
      <c r="N638" s="95"/>
    </row>
    <row r="639" spans="14:14" ht="15" customHeight="1">
      <c r="N639" s="95"/>
    </row>
    <row r="640" spans="14:14" ht="15" customHeight="1">
      <c r="N640" s="95"/>
    </row>
    <row r="641" spans="14:14" ht="15" customHeight="1">
      <c r="N641" s="95"/>
    </row>
    <row r="642" spans="14:14" ht="15" customHeight="1">
      <c r="N642" s="95"/>
    </row>
    <row r="643" spans="14:14" ht="15" customHeight="1">
      <c r="N643" s="95"/>
    </row>
    <row r="644" spans="14:14" ht="15" customHeight="1">
      <c r="N644" s="95"/>
    </row>
    <row r="645" spans="14:14" ht="15" customHeight="1">
      <c r="N645" s="95"/>
    </row>
    <row r="646" spans="14:14" ht="15" customHeight="1">
      <c r="N646" s="95"/>
    </row>
    <row r="647" spans="14:14" ht="15" customHeight="1">
      <c r="N647" s="95"/>
    </row>
    <row r="648" spans="14:14" ht="15" customHeight="1">
      <c r="N648" s="95"/>
    </row>
    <row r="649" spans="14:14" ht="15" customHeight="1">
      <c r="N649" s="95"/>
    </row>
    <row r="650" spans="14:14" ht="15" customHeight="1">
      <c r="N650" s="95"/>
    </row>
    <row r="651" spans="14:14" ht="15" customHeight="1">
      <c r="N651" s="95"/>
    </row>
    <row r="652" spans="14:14" ht="15" customHeight="1">
      <c r="N652" s="95"/>
    </row>
    <row r="653" spans="14:14" ht="15" customHeight="1">
      <c r="N653" s="95"/>
    </row>
    <row r="654" spans="14:14" ht="15" customHeight="1">
      <c r="N654" s="95"/>
    </row>
    <row r="655" spans="14:14" ht="15" customHeight="1">
      <c r="N655" s="95"/>
    </row>
    <row r="656" spans="14:14" ht="15" customHeight="1">
      <c r="N656" s="95"/>
    </row>
    <row r="657" spans="14:14" ht="15" customHeight="1">
      <c r="N657" s="95"/>
    </row>
    <row r="658" spans="14:14" ht="15" customHeight="1">
      <c r="N658" s="95"/>
    </row>
    <row r="659" spans="14:14" ht="15" customHeight="1">
      <c r="N659" s="95"/>
    </row>
    <row r="660" spans="14:14" ht="15" customHeight="1">
      <c r="N660" s="95"/>
    </row>
    <row r="661" spans="14:14" ht="15" customHeight="1">
      <c r="N661" s="95"/>
    </row>
    <row r="662" spans="14:14" ht="15" customHeight="1">
      <c r="N662" s="95"/>
    </row>
    <row r="663" spans="14:14" ht="15" customHeight="1">
      <c r="N663" s="95"/>
    </row>
    <row r="664" spans="14:14" ht="15" customHeight="1">
      <c r="N664" s="95"/>
    </row>
    <row r="665" spans="14:14" ht="15" customHeight="1">
      <c r="N665" s="95"/>
    </row>
    <row r="666" spans="14:14" ht="15" customHeight="1">
      <c r="N666" s="95"/>
    </row>
    <row r="667" spans="14:14" ht="15" customHeight="1">
      <c r="N667" s="95"/>
    </row>
    <row r="668" spans="14:14" ht="15" customHeight="1">
      <c r="N668" s="95"/>
    </row>
    <row r="669" spans="14:14" ht="15" customHeight="1">
      <c r="N669" s="95"/>
    </row>
    <row r="670" spans="14:14" ht="15" customHeight="1">
      <c r="N670" s="95"/>
    </row>
    <row r="671" spans="14:14" ht="15" customHeight="1">
      <c r="N671" s="95"/>
    </row>
    <row r="672" spans="14:14" ht="15" customHeight="1">
      <c r="N672" s="95"/>
    </row>
    <row r="673" spans="14:14" ht="15" customHeight="1">
      <c r="N673" s="95"/>
    </row>
    <row r="674" spans="14:14" ht="15" customHeight="1">
      <c r="N674" s="95"/>
    </row>
    <row r="675" spans="14:14" ht="15" customHeight="1">
      <c r="N675" s="95"/>
    </row>
    <row r="676" spans="14:14" ht="15" customHeight="1">
      <c r="N676" s="95"/>
    </row>
    <row r="677" spans="14:14" ht="15" customHeight="1">
      <c r="N677" s="95"/>
    </row>
    <row r="678" spans="14:14" ht="15" customHeight="1">
      <c r="N678" s="95"/>
    </row>
    <row r="679" spans="14:14" ht="15" customHeight="1">
      <c r="N679" s="95"/>
    </row>
    <row r="680" spans="14:14" ht="15" customHeight="1">
      <c r="N680" s="95"/>
    </row>
    <row r="681" spans="14:14" ht="15" customHeight="1">
      <c r="N681" s="95"/>
    </row>
    <row r="682" spans="14:14" ht="15" customHeight="1">
      <c r="N682" s="95"/>
    </row>
    <row r="683" spans="14:14" ht="15" customHeight="1">
      <c r="N683" s="95"/>
    </row>
    <row r="684" spans="14:14" ht="15" customHeight="1">
      <c r="N684" s="95"/>
    </row>
    <row r="685" spans="14:14" ht="15" customHeight="1">
      <c r="N685" s="95"/>
    </row>
    <row r="686" spans="14:14" ht="15" customHeight="1">
      <c r="N686" s="95"/>
    </row>
    <row r="687" spans="14:14" ht="15" customHeight="1">
      <c r="N687" s="95"/>
    </row>
    <row r="688" spans="14:14" ht="15" customHeight="1">
      <c r="N688" s="95"/>
    </row>
    <row r="689" spans="14:14" ht="15" customHeight="1">
      <c r="N689" s="95"/>
    </row>
    <row r="690" spans="14:14" ht="15" customHeight="1">
      <c r="N690" s="95"/>
    </row>
    <row r="691" spans="14:14" ht="15" customHeight="1">
      <c r="N691" s="95"/>
    </row>
    <row r="692" spans="14:14" ht="15" customHeight="1">
      <c r="N692" s="95"/>
    </row>
    <row r="693" spans="14:14" ht="15" customHeight="1">
      <c r="N693" s="95"/>
    </row>
    <row r="694" spans="14:14" ht="15" customHeight="1">
      <c r="N694" s="95"/>
    </row>
    <row r="695" spans="14:14" ht="15" customHeight="1">
      <c r="N695" s="95"/>
    </row>
    <row r="696" spans="14:14" ht="15" customHeight="1">
      <c r="N696" s="95"/>
    </row>
    <row r="697" spans="14:14" ht="15" customHeight="1">
      <c r="N697" s="95"/>
    </row>
    <row r="698" spans="14:14" ht="15" customHeight="1">
      <c r="N698" s="95"/>
    </row>
    <row r="699" spans="14:14" ht="15" customHeight="1">
      <c r="N699" s="95"/>
    </row>
    <row r="700" spans="14:14" ht="15" customHeight="1">
      <c r="N700" s="95"/>
    </row>
    <row r="701" spans="14:14" ht="15" customHeight="1">
      <c r="N701" s="95"/>
    </row>
    <row r="702" spans="14:14" ht="15" customHeight="1">
      <c r="N702" s="95"/>
    </row>
    <row r="703" spans="14:14" ht="15" customHeight="1">
      <c r="N703" s="95"/>
    </row>
    <row r="704" spans="14:14" ht="15" customHeight="1">
      <c r="N704" s="95"/>
    </row>
    <row r="705" spans="14:14" ht="15" customHeight="1">
      <c r="N705" s="95"/>
    </row>
    <row r="706" spans="14:14" ht="15" customHeight="1">
      <c r="N706" s="95"/>
    </row>
    <row r="707" spans="14:14" ht="15" customHeight="1">
      <c r="N707" s="95"/>
    </row>
    <row r="708" spans="14:14" ht="15" customHeight="1">
      <c r="N708" s="95"/>
    </row>
    <row r="709" spans="14:14" ht="15" customHeight="1">
      <c r="N709" s="95"/>
    </row>
    <row r="710" spans="14:14" ht="15" customHeight="1">
      <c r="N710" s="95"/>
    </row>
    <row r="711" spans="14:14" ht="15" customHeight="1">
      <c r="N711" s="95"/>
    </row>
    <row r="712" spans="14:14" ht="15" customHeight="1">
      <c r="N712" s="95"/>
    </row>
    <row r="713" spans="14:14" ht="15" customHeight="1">
      <c r="N713" s="95"/>
    </row>
    <row r="714" spans="14:14" ht="15" customHeight="1">
      <c r="N714" s="95"/>
    </row>
    <row r="715" spans="14:14" ht="15" customHeight="1">
      <c r="N715" s="95"/>
    </row>
    <row r="716" spans="14:14" ht="15" customHeight="1">
      <c r="N716" s="95"/>
    </row>
    <row r="717" spans="14:14" ht="15" customHeight="1">
      <c r="N717" s="95"/>
    </row>
    <row r="718" spans="14:14" ht="15" customHeight="1">
      <c r="N718" s="95"/>
    </row>
    <row r="719" spans="14:14" ht="15" customHeight="1">
      <c r="N719" s="95"/>
    </row>
    <row r="720" spans="14:14" ht="15" customHeight="1">
      <c r="N720" s="95"/>
    </row>
    <row r="721" spans="14:14" ht="15" customHeight="1">
      <c r="N721" s="95"/>
    </row>
    <row r="722" spans="14:14" ht="15" customHeight="1">
      <c r="N722" s="95"/>
    </row>
    <row r="723" spans="14:14" ht="15" customHeight="1">
      <c r="N723" s="95"/>
    </row>
    <row r="724" spans="14:14" ht="15" customHeight="1">
      <c r="N724" s="95"/>
    </row>
    <row r="725" spans="14:14" ht="15" customHeight="1">
      <c r="N725" s="95"/>
    </row>
    <row r="726" spans="14:14" ht="15" customHeight="1">
      <c r="N726" s="95"/>
    </row>
    <row r="727" spans="14:14" ht="15" customHeight="1">
      <c r="N727" s="95"/>
    </row>
    <row r="728" spans="14:14" ht="15" customHeight="1">
      <c r="N728" s="95"/>
    </row>
    <row r="729" spans="14:14" ht="15" customHeight="1">
      <c r="N729" s="95"/>
    </row>
    <row r="730" spans="14:14" ht="15" customHeight="1">
      <c r="N730" s="95"/>
    </row>
    <row r="731" spans="14:14" ht="15" customHeight="1">
      <c r="N731" s="95"/>
    </row>
    <row r="732" spans="14:14" ht="15" customHeight="1">
      <c r="N732" s="95"/>
    </row>
    <row r="733" spans="14:14" ht="15" customHeight="1">
      <c r="N733" s="95"/>
    </row>
    <row r="734" spans="14:14" ht="15" customHeight="1">
      <c r="N734" s="95"/>
    </row>
    <row r="735" spans="14:14" ht="15" customHeight="1">
      <c r="N735" s="95"/>
    </row>
    <row r="736" spans="14:14" ht="15" customHeight="1">
      <c r="N736" s="95"/>
    </row>
    <row r="737" spans="14:14" ht="15" customHeight="1">
      <c r="N737" s="95"/>
    </row>
    <row r="738" spans="14:14" ht="15" customHeight="1">
      <c r="N738" s="95"/>
    </row>
    <row r="739" spans="14:14" ht="15" customHeight="1">
      <c r="N739" s="95"/>
    </row>
    <row r="740" spans="14:14" ht="15" customHeight="1">
      <c r="N740" s="95"/>
    </row>
    <row r="741" spans="14:14" ht="15" customHeight="1">
      <c r="N741" s="95"/>
    </row>
    <row r="742" spans="14:14" ht="15" customHeight="1">
      <c r="N742" s="95"/>
    </row>
    <row r="743" spans="14:14" ht="15" customHeight="1">
      <c r="N743" s="95"/>
    </row>
    <row r="744" spans="14:14" ht="15" customHeight="1">
      <c r="N744" s="95"/>
    </row>
    <row r="745" spans="14:14" ht="15" customHeight="1">
      <c r="N745" s="95"/>
    </row>
    <row r="746" spans="14:14" ht="15" customHeight="1">
      <c r="N746" s="95"/>
    </row>
    <row r="747" spans="14:14" ht="15" customHeight="1">
      <c r="N747" s="95"/>
    </row>
    <row r="748" spans="14:14" ht="15" customHeight="1">
      <c r="N748" s="95"/>
    </row>
    <row r="749" spans="14:14" ht="15" customHeight="1">
      <c r="N749" s="95"/>
    </row>
    <row r="750" spans="14:14" ht="15" customHeight="1">
      <c r="N750" s="95"/>
    </row>
    <row r="751" spans="14:14" ht="15" customHeight="1">
      <c r="N751" s="95"/>
    </row>
    <row r="752" spans="14:14" ht="15" customHeight="1">
      <c r="N752" s="95"/>
    </row>
    <row r="753" spans="14:14" ht="15" customHeight="1">
      <c r="N753" s="95"/>
    </row>
    <row r="754" spans="14:14" ht="15" customHeight="1">
      <c r="N754" s="95"/>
    </row>
    <row r="755" spans="14:14" ht="15" customHeight="1">
      <c r="N755" s="95"/>
    </row>
    <row r="756" spans="14:14" ht="15" customHeight="1">
      <c r="N756" s="95"/>
    </row>
    <row r="757" spans="14:14" ht="15" customHeight="1">
      <c r="N757" s="95"/>
    </row>
    <row r="758" spans="14:14" ht="15" customHeight="1">
      <c r="N758" s="95"/>
    </row>
    <row r="759" spans="14:14" ht="15" customHeight="1">
      <c r="N759" s="95"/>
    </row>
    <row r="760" spans="14:14" ht="15" customHeight="1">
      <c r="N760" s="95"/>
    </row>
    <row r="761" spans="14:14" ht="15" customHeight="1">
      <c r="N761" s="95"/>
    </row>
    <row r="762" spans="14:14" ht="15" customHeight="1">
      <c r="N762" s="95"/>
    </row>
    <row r="763" spans="14:14" ht="15" customHeight="1">
      <c r="N763" s="95"/>
    </row>
    <row r="764" spans="14:14" ht="15" customHeight="1">
      <c r="N764" s="95"/>
    </row>
    <row r="765" spans="14:14" ht="15" customHeight="1">
      <c r="N765" s="95"/>
    </row>
    <row r="766" spans="14:14" ht="15" customHeight="1">
      <c r="N766" s="95"/>
    </row>
    <row r="767" spans="14:14" ht="15" customHeight="1">
      <c r="N767" s="95"/>
    </row>
    <row r="768" spans="14:14" ht="15" customHeight="1">
      <c r="N768" s="95"/>
    </row>
    <row r="769" spans="14:14" ht="15" customHeight="1">
      <c r="N769" s="95"/>
    </row>
    <row r="770" spans="14:14" ht="15" customHeight="1">
      <c r="N770" s="95"/>
    </row>
    <row r="771" spans="14:14" ht="15" customHeight="1">
      <c r="N771" s="95"/>
    </row>
    <row r="772" spans="14:14" ht="15" customHeight="1">
      <c r="N772" s="95"/>
    </row>
    <row r="773" spans="14:14" ht="15" customHeight="1">
      <c r="N773" s="95"/>
    </row>
    <row r="774" spans="14:14" ht="15" customHeight="1">
      <c r="N774" s="95"/>
    </row>
    <row r="775" spans="14:14" ht="15" customHeight="1">
      <c r="N775" s="95"/>
    </row>
    <row r="776" spans="14:14" ht="15" customHeight="1">
      <c r="N776" s="95"/>
    </row>
    <row r="777" spans="14:14" ht="15" customHeight="1">
      <c r="N777" s="95"/>
    </row>
    <row r="778" spans="14:14" ht="15" customHeight="1">
      <c r="N778" s="95"/>
    </row>
    <row r="779" spans="14:14" ht="15" customHeight="1">
      <c r="N779" s="95"/>
    </row>
    <row r="780" spans="14:14" ht="15" customHeight="1">
      <c r="N780" s="95"/>
    </row>
    <row r="781" spans="14:14" ht="15" customHeight="1">
      <c r="N781" s="95"/>
    </row>
    <row r="782" spans="14:14" ht="15" customHeight="1">
      <c r="N782" s="95"/>
    </row>
    <row r="783" spans="14:14" ht="15" customHeight="1">
      <c r="N783" s="95"/>
    </row>
    <row r="784" spans="14:14" ht="15" customHeight="1">
      <c r="N784" s="95"/>
    </row>
    <row r="785" spans="14:14" ht="15" customHeight="1">
      <c r="N785" s="95"/>
    </row>
    <row r="786" spans="14:14" ht="15" customHeight="1">
      <c r="N786" s="95"/>
    </row>
    <row r="787" spans="14:14" ht="15" customHeight="1">
      <c r="N787" s="95"/>
    </row>
    <row r="788" spans="14:14" ht="15" customHeight="1">
      <c r="N788" s="95"/>
    </row>
    <row r="789" spans="14:14" ht="15" customHeight="1">
      <c r="N789" s="95"/>
    </row>
    <row r="790" spans="14:14" ht="15" customHeight="1">
      <c r="N790" s="95"/>
    </row>
    <row r="791" spans="14:14" ht="15" customHeight="1">
      <c r="N791" s="95"/>
    </row>
    <row r="792" spans="14:14" ht="15" customHeight="1">
      <c r="N792" s="95"/>
    </row>
    <row r="793" spans="14:14" ht="15" customHeight="1">
      <c r="N793" s="95"/>
    </row>
    <row r="794" spans="14:14" ht="15" customHeight="1">
      <c r="N794" s="95"/>
    </row>
    <row r="795" spans="14:14" ht="15" customHeight="1">
      <c r="N795" s="95"/>
    </row>
    <row r="796" spans="14:14" ht="15" customHeight="1">
      <c r="N796" s="95"/>
    </row>
    <row r="797" spans="14:14" ht="15" customHeight="1">
      <c r="N797" s="95"/>
    </row>
    <row r="798" spans="14:14" ht="15" customHeight="1">
      <c r="N798" s="95"/>
    </row>
    <row r="799" spans="14:14" ht="15" customHeight="1">
      <c r="N799" s="95"/>
    </row>
    <row r="800" spans="14:14" ht="15" customHeight="1">
      <c r="N800" s="95"/>
    </row>
    <row r="801" spans="14:14" ht="15" customHeight="1">
      <c r="N801" s="95"/>
    </row>
    <row r="802" spans="14:14" ht="15" customHeight="1">
      <c r="N802" s="95"/>
    </row>
    <row r="803" spans="14:14" ht="15" customHeight="1">
      <c r="N803" s="95"/>
    </row>
    <row r="804" spans="14:14" ht="15" customHeight="1">
      <c r="N804" s="95"/>
    </row>
    <row r="805" spans="14:14" ht="15" customHeight="1">
      <c r="N805" s="95"/>
    </row>
    <row r="806" spans="14:14" ht="15" customHeight="1">
      <c r="N806" s="95"/>
    </row>
    <row r="807" spans="14:14" ht="15" customHeight="1">
      <c r="N807" s="95"/>
    </row>
    <row r="808" spans="14:14" ht="15" customHeight="1">
      <c r="N808" s="95"/>
    </row>
    <row r="809" spans="14:14" ht="15" customHeight="1">
      <c r="N809" s="95"/>
    </row>
    <row r="810" spans="14:14" ht="15" customHeight="1">
      <c r="N810" s="95"/>
    </row>
    <row r="811" spans="14:14" ht="15" customHeight="1">
      <c r="N811" s="95"/>
    </row>
    <row r="812" spans="14:14" ht="15" customHeight="1">
      <c r="N812" s="95"/>
    </row>
    <row r="813" spans="14:14" ht="15" customHeight="1">
      <c r="N813" s="95"/>
    </row>
    <row r="814" spans="14:14" ht="15" customHeight="1">
      <c r="N814" s="95"/>
    </row>
    <row r="815" spans="14:14" ht="15" customHeight="1">
      <c r="N815" s="95"/>
    </row>
    <row r="816" spans="14:14" ht="15" customHeight="1">
      <c r="N816" s="95"/>
    </row>
    <row r="817" spans="14:14" ht="15" customHeight="1">
      <c r="N817" s="95"/>
    </row>
    <row r="818" spans="14:14" ht="15" customHeight="1">
      <c r="N818" s="95"/>
    </row>
    <row r="819" spans="14:14" ht="15" customHeight="1">
      <c r="N819" s="95"/>
    </row>
    <row r="820" spans="14:14" ht="15" customHeight="1">
      <c r="N820" s="95"/>
    </row>
    <row r="821" spans="14:14" ht="15" customHeight="1">
      <c r="N821" s="95"/>
    </row>
    <row r="822" spans="14:14" ht="15" customHeight="1">
      <c r="N822" s="95"/>
    </row>
    <row r="823" spans="14:14" ht="15" customHeight="1">
      <c r="N823" s="95"/>
    </row>
    <row r="824" spans="14:14" ht="15" customHeight="1">
      <c r="N824" s="95"/>
    </row>
    <row r="825" spans="14:14" ht="15" customHeight="1">
      <c r="N825" s="95"/>
    </row>
    <row r="826" spans="14:14" ht="15" customHeight="1">
      <c r="N826" s="95"/>
    </row>
    <row r="827" spans="14:14" ht="15" customHeight="1">
      <c r="N827" s="95"/>
    </row>
    <row r="828" spans="14:14" ht="15" customHeight="1">
      <c r="N828" s="95"/>
    </row>
    <row r="829" spans="14:14" ht="15" customHeight="1">
      <c r="N829" s="95"/>
    </row>
    <row r="830" spans="14:14" ht="15" customHeight="1">
      <c r="N830" s="95"/>
    </row>
    <row r="831" spans="14:14" ht="15" customHeight="1">
      <c r="N831" s="95"/>
    </row>
    <row r="832" spans="14:14" ht="15" customHeight="1">
      <c r="N832" s="95"/>
    </row>
    <row r="833" spans="14:14" ht="15" customHeight="1">
      <c r="N833" s="95"/>
    </row>
    <row r="834" spans="14:14" ht="15" customHeight="1">
      <c r="N834" s="95"/>
    </row>
    <row r="835" spans="14:14" ht="15" customHeight="1">
      <c r="N835" s="95"/>
    </row>
    <row r="836" spans="14:14" ht="15" customHeight="1">
      <c r="N836" s="95"/>
    </row>
    <row r="837" spans="14:14" ht="15" customHeight="1">
      <c r="N837" s="95"/>
    </row>
    <row r="838" spans="14:14" ht="15" customHeight="1">
      <c r="N838" s="95"/>
    </row>
    <row r="839" spans="14:14" ht="15" customHeight="1">
      <c r="N839" s="95"/>
    </row>
    <row r="840" spans="14:14" ht="15" customHeight="1">
      <c r="N840" s="95"/>
    </row>
    <row r="841" spans="14:14" ht="15" customHeight="1">
      <c r="N841" s="95"/>
    </row>
    <row r="842" spans="14:14" ht="15" customHeight="1">
      <c r="N842" s="95"/>
    </row>
    <row r="843" spans="14:14" ht="15" customHeight="1">
      <c r="N843" s="95"/>
    </row>
    <row r="844" spans="14:14" ht="15" customHeight="1">
      <c r="N844" s="95"/>
    </row>
    <row r="845" spans="14:14" ht="15" customHeight="1">
      <c r="N845" s="95"/>
    </row>
    <row r="846" spans="14:14" ht="15" customHeight="1">
      <c r="N846" s="95"/>
    </row>
    <row r="847" spans="14:14" ht="15" customHeight="1">
      <c r="N847" s="95"/>
    </row>
    <row r="848" spans="14:14" ht="15" customHeight="1">
      <c r="N848" s="95"/>
    </row>
    <row r="849" spans="14:14" ht="15" customHeight="1">
      <c r="N849" s="95"/>
    </row>
    <row r="850" spans="14:14" ht="15" customHeight="1">
      <c r="N850" s="95"/>
    </row>
    <row r="851" spans="14:14" ht="15" customHeight="1">
      <c r="N851" s="95"/>
    </row>
    <row r="852" spans="14:14" ht="15" customHeight="1">
      <c r="N852" s="95"/>
    </row>
    <row r="853" spans="14:14" ht="15" customHeight="1">
      <c r="N853" s="95"/>
    </row>
    <row r="854" spans="14:14" ht="15" customHeight="1">
      <c r="N854" s="95"/>
    </row>
    <row r="855" spans="14:14" ht="15" customHeight="1">
      <c r="N855" s="95"/>
    </row>
    <row r="856" spans="14:14" ht="15" customHeight="1">
      <c r="N856" s="95"/>
    </row>
    <row r="857" spans="14:14" ht="15" customHeight="1">
      <c r="N857" s="95"/>
    </row>
    <row r="858" spans="14:14" ht="15" customHeight="1">
      <c r="N858" s="95"/>
    </row>
    <row r="859" spans="14:14" ht="15" customHeight="1">
      <c r="N859" s="95"/>
    </row>
    <row r="860" spans="14:14" ht="15" customHeight="1">
      <c r="N860" s="95"/>
    </row>
    <row r="861" spans="14:14" ht="15" customHeight="1">
      <c r="N861" s="95"/>
    </row>
    <row r="862" spans="14:14" ht="15" customHeight="1">
      <c r="N862" s="95"/>
    </row>
    <row r="863" spans="14:14" ht="15" customHeight="1">
      <c r="N863" s="95"/>
    </row>
    <row r="864" spans="14:14" ht="15" customHeight="1">
      <c r="N864" s="95"/>
    </row>
    <row r="865" spans="14:14" ht="15" customHeight="1">
      <c r="N865" s="95"/>
    </row>
    <row r="866" spans="14:14" ht="15" customHeight="1">
      <c r="N866" s="95"/>
    </row>
    <row r="867" spans="14:14" ht="15" customHeight="1">
      <c r="N867" s="95"/>
    </row>
    <row r="868" spans="14:14" ht="15" customHeight="1">
      <c r="N868" s="95"/>
    </row>
    <row r="869" spans="14:14" ht="15" customHeight="1">
      <c r="N869" s="95"/>
    </row>
    <row r="870" spans="14:14" ht="15" customHeight="1">
      <c r="N870" s="95"/>
    </row>
    <row r="871" spans="14:14" ht="15" customHeight="1">
      <c r="N871" s="95"/>
    </row>
    <row r="872" spans="14:14" ht="15" customHeight="1">
      <c r="N872" s="95"/>
    </row>
    <row r="873" spans="14:14" ht="15" customHeight="1">
      <c r="N873" s="95"/>
    </row>
    <row r="874" spans="14:14" ht="15" customHeight="1">
      <c r="N874" s="95"/>
    </row>
    <row r="875" spans="14:14" ht="15" customHeight="1">
      <c r="N875" s="95"/>
    </row>
    <row r="876" spans="14:14" ht="15" customHeight="1">
      <c r="N876" s="95"/>
    </row>
    <row r="877" spans="14:14" ht="15" customHeight="1">
      <c r="N877" s="95"/>
    </row>
    <row r="878" spans="14:14" ht="15" customHeight="1">
      <c r="N878" s="95"/>
    </row>
    <row r="879" spans="14:14" ht="15" customHeight="1">
      <c r="N879" s="95"/>
    </row>
    <row r="880" spans="14:14" ht="15" customHeight="1">
      <c r="N880" s="95"/>
    </row>
    <row r="881" spans="14:14" ht="15" customHeight="1">
      <c r="N881" s="95"/>
    </row>
    <row r="882" spans="14:14" ht="15" customHeight="1">
      <c r="N882" s="95"/>
    </row>
    <row r="883" spans="14:14" ht="15" customHeight="1">
      <c r="N883" s="95"/>
    </row>
    <row r="884" spans="14:14" ht="15" customHeight="1">
      <c r="N884" s="95"/>
    </row>
    <row r="885" spans="14:14" ht="15" customHeight="1">
      <c r="N885" s="95"/>
    </row>
    <row r="886" spans="14:14" ht="15" customHeight="1">
      <c r="N886" s="95"/>
    </row>
    <row r="887" spans="14:14" ht="15" customHeight="1">
      <c r="N887" s="95"/>
    </row>
    <row r="888" spans="14:14" ht="15" customHeight="1">
      <c r="N888" s="95"/>
    </row>
    <row r="889" spans="14:14" ht="15" customHeight="1">
      <c r="N889" s="95"/>
    </row>
    <row r="890" spans="14:14" ht="15" customHeight="1">
      <c r="N890" s="95"/>
    </row>
    <row r="891" spans="14:14" ht="15" customHeight="1">
      <c r="N891" s="95"/>
    </row>
    <row r="892" spans="14:14" ht="15" customHeight="1">
      <c r="N892" s="95"/>
    </row>
    <row r="893" spans="14:14" ht="15" customHeight="1">
      <c r="N893" s="95"/>
    </row>
    <row r="894" spans="14:14" ht="15" customHeight="1">
      <c r="N894" s="95"/>
    </row>
    <row r="895" spans="14:14" ht="15" customHeight="1">
      <c r="N895" s="95"/>
    </row>
    <row r="896" spans="14:14" ht="15" customHeight="1">
      <c r="N896" s="95"/>
    </row>
    <row r="897" spans="14:14" ht="15" customHeight="1">
      <c r="N897" s="95"/>
    </row>
    <row r="898" spans="14:14" ht="15" customHeight="1">
      <c r="N898" s="95"/>
    </row>
    <row r="899" spans="14:14" ht="15" customHeight="1">
      <c r="N899" s="95"/>
    </row>
    <row r="900" spans="14:14" ht="15" customHeight="1">
      <c r="N900" s="95"/>
    </row>
    <row r="901" spans="14:14" ht="15" customHeight="1">
      <c r="N901" s="95"/>
    </row>
    <row r="902" spans="14:14" ht="15" customHeight="1">
      <c r="N902" s="95"/>
    </row>
    <row r="903" spans="14:14" ht="15" customHeight="1">
      <c r="N903" s="95"/>
    </row>
    <row r="904" spans="14:14" ht="15" customHeight="1">
      <c r="N904" s="95"/>
    </row>
    <row r="905" spans="14:14" ht="15" customHeight="1">
      <c r="N905" s="95"/>
    </row>
    <row r="906" spans="14:14" ht="15" customHeight="1">
      <c r="N906" s="95"/>
    </row>
    <row r="907" spans="14:14" ht="15" customHeight="1">
      <c r="N907" s="95"/>
    </row>
    <row r="908" spans="14:14" ht="15" customHeight="1">
      <c r="N908" s="95"/>
    </row>
    <row r="909" spans="14:14" ht="15" customHeight="1">
      <c r="N909" s="95"/>
    </row>
    <row r="910" spans="14:14" ht="15" customHeight="1">
      <c r="N910" s="95"/>
    </row>
    <row r="911" spans="14:14" ht="15" customHeight="1">
      <c r="N911" s="95"/>
    </row>
    <row r="912" spans="14:14" ht="15" customHeight="1">
      <c r="N912" s="95"/>
    </row>
    <row r="913" spans="14:14" ht="15" customHeight="1">
      <c r="N913" s="95"/>
    </row>
    <row r="914" spans="14:14" ht="15" customHeight="1">
      <c r="N914" s="95"/>
    </row>
    <row r="915" spans="14:14" ht="15" customHeight="1">
      <c r="N915" s="95"/>
    </row>
    <row r="916" spans="14:14" ht="15" customHeight="1">
      <c r="N916" s="95"/>
    </row>
    <row r="917" spans="14:14" ht="15" customHeight="1">
      <c r="N917" s="95"/>
    </row>
    <row r="918" spans="14:14" ht="15" customHeight="1">
      <c r="N918" s="95"/>
    </row>
    <row r="919" spans="14:14" ht="15" customHeight="1">
      <c r="N919" s="95"/>
    </row>
    <row r="920" spans="14:14" ht="15" customHeight="1">
      <c r="N920" s="95"/>
    </row>
    <row r="921" spans="14:14" ht="15" customHeight="1">
      <c r="N921" s="95"/>
    </row>
    <row r="922" spans="14:14" ht="15" customHeight="1">
      <c r="N922" s="95"/>
    </row>
    <row r="923" spans="14:14" ht="15" customHeight="1">
      <c r="N923" s="95"/>
    </row>
    <row r="924" spans="14:14" ht="15" customHeight="1">
      <c r="N924" s="95"/>
    </row>
    <row r="925" spans="14:14" ht="15" customHeight="1">
      <c r="N925" s="95"/>
    </row>
    <row r="926" spans="14:14" ht="15" customHeight="1">
      <c r="N926" s="95"/>
    </row>
    <row r="927" spans="14:14" ht="15" customHeight="1">
      <c r="N927" s="95"/>
    </row>
    <row r="928" spans="14:14" ht="15" customHeight="1">
      <c r="N928" s="95"/>
    </row>
    <row r="929" spans="14:14" ht="15" customHeight="1">
      <c r="N929" s="95"/>
    </row>
    <row r="930" spans="14:14" ht="15" customHeight="1">
      <c r="N930" s="95"/>
    </row>
    <row r="931" spans="14:14" ht="15" customHeight="1">
      <c r="N931" s="95"/>
    </row>
    <row r="932" spans="14:14" ht="15" customHeight="1">
      <c r="N932" s="95"/>
    </row>
    <row r="933" spans="14:14" ht="15" customHeight="1">
      <c r="N933" s="95"/>
    </row>
    <row r="934" spans="14:14" ht="15" customHeight="1">
      <c r="N934" s="95"/>
    </row>
    <row r="935" spans="14:14" ht="15" customHeight="1">
      <c r="N935" s="95"/>
    </row>
    <row r="936" spans="14:14" ht="15" customHeight="1">
      <c r="N936" s="95"/>
    </row>
    <row r="937" spans="14:14" ht="15" customHeight="1">
      <c r="N937" s="95"/>
    </row>
    <row r="938" spans="14:14" ht="15" customHeight="1">
      <c r="N938" s="95"/>
    </row>
    <row r="939" spans="14:14" ht="15" customHeight="1">
      <c r="N939" s="95"/>
    </row>
    <row r="940" spans="14:14" ht="15" customHeight="1">
      <c r="N940" s="95"/>
    </row>
    <row r="941" spans="14:14" ht="15" customHeight="1">
      <c r="N941" s="95"/>
    </row>
    <row r="942" spans="14:14" ht="15" customHeight="1">
      <c r="N942" s="95"/>
    </row>
    <row r="943" spans="14:14" ht="15" customHeight="1">
      <c r="N943" s="95"/>
    </row>
    <row r="944" spans="14:14" ht="15" customHeight="1">
      <c r="N944" s="95"/>
    </row>
    <row r="945" spans="14:14" ht="15" customHeight="1">
      <c r="N945" s="95"/>
    </row>
    <row r="946" spans="14:14" ht="15" customHeight="1">
      <c r="N946" s="95"/>
    </row>
    <row r="947" spans="14:14" ht="15" customHeight="1">
      <c r="N947" s="95"/>
    </row>
    <row r="948" spans="14:14" ht="15" customHeight="1">
      <c r="N948" s="95"/>
    </row>
    <row r="949" spans="14:14" ht="15" customHeight="1">
      <c r="N949" s="95"/>
    </row>
    <row r="950" spans="14:14" ht="15" customHeight="1">
      <c r="N950" s="95"/>
    </row>
    <row r="951" spans="14:14" ht="15" customHeight="1">
      <c r="N951" s="95"/>
    </row>
    <row r="952" spans="14:14" ht="15" customHeight="1">
      <c r="N952" s="95"/>
    </row>
    <row r="953" spans="14:14" ht="15" customHeight="1">
      <c r="N953" s="95"/>
    </row>
    <row r="954" spans="14:14" ht="15" customHeight="1">
      <c r="N954" s="95"/>
    </row>
    <row r="955" spans="14:14" ht="15" customHeight="1">
      <c r="N955" s="95"/>
    </row>
    <row r="956" spans="14:14" ht="15" customHeight="1">
      <c r="N956" s="95"/>
    </row>
    <row r="957" spans="14:14" ht="15" customHeight="1">
      <c r="N957" s="95"/>
    </row>
    <row r="958" spans="14:14" ht="15" customHeight="1">
      <c r="N958" s="95"/>
    </row>
    <row r="959" spans="14:14" ht="15" customHeight="1">
      <c r="N959" s="95"/>
    </row>
    <row r="960" spans="14:14" ht="15" customHeight="1">
      <c r="N960" s="95"/>
    </row>
    <row r="961" spans="14:14" ht="15" customHeight="1">
      <c r="N961" s="95"/>
    </row>
    <row r="962" spans="14:14" ht="15" customHeight="1">
      <c r="N962" s="95"/>
    </row>
    <row r="963" spans="14:14" ht="15" customHeight="1">
      <c r="N963" s="95"/>
    </row>
    <row r="964" spans="14:14" ht="15" customHeight="1">
      <c r="N964" s="95"/>
    </row>
    <row r="965" spans="14:14" ht="15" customHeight="1">
      <c r="N965" s="95"/>
    </row>
    <row r="966" spans="14:14" ht="15" customHeight="1">
      <c r="N966" s="95"/>
    </row>
    <row r="967" spans="14:14" ht="15" customHeight="1">
      <c r="N967" s="95"/>
    </row>
    <row r="968" spans="14:14" ht="15" customHeight="1">
      <c r="N968" s="95"/>
    </row>
    <row r="969" spans="14:14" ht="15" customHeight="1">
      <c r="N969" s="95"/>
    </row>
    <row r="970" spans="14:14" ht="15" customHeight="1">
      <c r="N970" s="95"/>
    </row>
    <row r="971" spans="14:14" ht="15" customHeight="1">
      <c r="N971" s="95"/>
    </row>
    <row r="972" spans="14:14" ht="15" customHeight="1">
      <c r="N972" s="95"/>
    </row>
    <row r="973" spans="14:14" ht="15" customHeight="1">
      <c r="N973" s="95"/>
    </row>
    <row r="974" spans="14:14" ht="15" customHeight="1">
      <c r="N974" s="95"/>
    </row>
    <row r="975" spans="14:14" ht="15" customHeight="1">
      <c r="N975" s="95"/>
    </row>
    <row r="976" spans="14:14" ht="15" customHeight="1">
      <c r="N976" s="95"/>
    </row>
    <row r="977" spans="14:14" ht="15" customHeight="1">
      <c r="N977" s="95"/>
    </row>
    <row r="978" spans="14:14" ht="15" customHeight="1">
      <c r="N978" s="95"/>
    </row>
    <row r="979" spans="14:14" ht="15" customHeight="1">
      <c r="N979" s="95"/>
    </row>
    <row r="980" spans="14:14" ht="15" customHeight="1">
      <c r="N980" s="95"/>
    </row>
    <row r="981" spans="14:14" ht="15" customHeight="1">
      <c r="N981" s="95"/>
    </row>
    <row r="982" spans="14:14" ht="15" customHeight="1">
      <c r="N982" s="95"/>
    </row>
    <row r="983" spans="14:14" ht="15" customHeight="1">
      <c r="N983" s="95"/>
    </row>
    <row r="984" spans="14:14" ht="15" customHeight="1">
      <c r="N984" s="95"/>
    </row>
    <row r="985" spans="14:14" ht="15" customHeight="1">
      <c r="N985" s="95"/>
    </row>
    <row r="986" spans="14:14" ht="15" customHeight="1">
      <c r="N986" s="95"/>
    </row>
    <row r="987" spans="14:14" ht="15" customHeight="1">
      <c r="N987" s="95"/>
    </row>
    <row r="988" spans="14:14" ht="15" customHeight="1">
      <c r="N988" s="95"/>
    </row>
    <row r="989" spans="14:14" ht="15" customHeight="1">
      <c r="N989" s="95"/>
    </row>
    <row r="990" spans="14:14" ht="15" customHeight="1">
      <c r="N990" s="95"/>
    </row>
    <row r="991" spans="14:14" ht="15" customHeight="1">
      <c r="N991" s="95"/>
    </row>
    <row r="992" spans="14:14" ht="15" customHeight="1">
      <c r="N992" s="95"/>
    </row>
    <row r="993" spans="14:14" ht="15" customHeight="1">
      <c r="N993" s="95"/>
    </row>
    <row r="994" spans="14:14" ht="15" customHeight="1">
      <c r="N994" s="95"/>
    </row>
    <row r="995" spans="14:14" ht="15" customHeight="1">
      <c r="N995" s="95"/>
    </row>
    <row r="996" spans="14:14" ht="15" customHeight="1">
      <c r="N996" s="95"/>
    </row>
    <row r="997" spans="14:14" ht="15" customHeight="1">
      <c r="N997" s="95"/>
    </row>
    <row r="998" spans="14:14" ht="15" customHeight="1">
      <c r="N998" s="95"/>
    </row>
    <row r="999" spans="14:14" ht="15" customHeight="1">
      <c r="N999" s="95"/>
    </row>
    <row r="1000" spans="14:14" ht="15" customHeight="1">
      <c r="N1000" s="95"/>
    </row>
    <row r="1001" spans="14:14" ht="15" customHeight="1">
      <c r="N1001" s="95"/>
    </row>
    <row r="1002" spans="14:14" ht="15" customHeight="1">
      <c r="N1002" s="95"/>
    </row>
    <row r="1003" spans="14:14" ht="15" customHeight="1">
      <c r="N1003" s="95"/>
    </row>
    <row r="1004" spans="14:14" ht="15" customHeight="1">
      <c r="N1004" s="95"/>
    </row>
    <row r="1005" spans="14:14" ht="15" customHeight="1">
      <c r="N1005" s="95"/>
    </row>
    <row r="1006" spans="14:14" ht="15" customHeight="1">
      <c r="N1006" s="95"/>
    </row>
    <row r="1007" spans="14:14" ht="15" customHeight="1">
      <c r="N1007" s="95"/>
    </row>
    <row r="1008" spans="14:14" ht="15" customHeight="1">
      <c r="N1008" s="95"/>
    </row>
    <row r="1009" spans="14:14" ht="15" customHeight="1">
      <c r="N1009" s="95"/>
    </row>
    <row r="1010" spans="14:14" ht="15" customHeight="1">
      <c r="N1010" s="95"/>
    </row>
    <row r="1011" spans="14:14" ht="15" customHeight="1">
      <c r="N1011" s="95"/>
    </row>
  </sheetData>
  <mergeCells count="5">
    <mergeCell ref="Y1:AM1"/>
    <mergeCell ref="BB1:BE1"/>
    <mergeCell ref="G1:X1"/>
    <mergeCell ref="BF1:BI1"/>
    <mergeCell ref="A65:B67"/>
  </mergeCells>
  <conditionalFormatting sqref="AN1:AX1">
    <cfRule type="notContainsBlanks" dxfId="0" priority="1">
      <formula>LEN(TRIM(AN1))&gt;0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heetViews>
  <sheetFormatPr defaultColWidth="17.28515625" defaultRowHeight="15" customHeight="1"/>
  <sheetData>
    <row r="1" spans="1:2" ht="15" customHeight="1">
      <c r="A1" s="28" t="s">
        <v>249</v>
      </c>
      <c r="B1" s="28" t="s">
        <v>285</v>
      </c>
    </row>
    <row r="2" spans="1:2" ht="15" customHeight="1">
      <c r="A2" s="28" t="s">
        <v>284</v>
      </c>
      <c r="B2" s="28">
        <v>20.95</v>
      </c>
    </row>
    <row r="3" spans="1:2" ht="15" customHeight="1">
      <c r="A3" s="28" t="s">
        <v>286</v>
      </c>
      <c r="B3" s="88">
        <v>15.4</v>
      </c>
    </row>
    <row r="4" spans="1:2" ht="15" customHeight="1">
      <c r="A4" s="28" t="s">
        <v>287</v>
      </c>
      <c r="B4" s="88">
        <v>7.83</v>
      </c>
    </row>
    <row r="5" spans="1:2" ht="15" customHeight="1">
      <c r="A5" s="89" t="s">
        <v>288</v>
      </c>
      <c r="B5" s="88">
        <v>2.4900000000000002</v>
      </c>
    </row>
    <row r="6" spans="1:2" ht="15" customHeight="1">
      <c r="A6" s="28" t="s">
        <v>289</v>
      </c>
      <c r="B6" s="28">
        <v>1.49</v>
      </c>
    </row>
    <row r="7" spans="1:2" ht="15" customHeight="1">
      <c r="A7" s="90" t="s">
        <v>290</v>
      </c>
      <c r="B7" s="88">
        <v>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6"/>
  <sheetViews>
    <sheetView workbookViewId="0"/>
  </sheetViews>
  <sheetFormatPr defaultColWidth="17.28515625" defaultRowHeight="15" customHeight="1"/>
  <cols>
    <col min="1" max="1" width="7.5703125" customWidth="1"/>
    <col min="2" max="2" width="6.7109375" customWidth="1"/>
    <col min="3" max="3" width="5.5703125" customWidth="1"/>
    <col min="4" max="4" width="9.42578125" customWidth="1"/>
    <col min="5" max="5" width="10.7109375" customWidth="1"/>
    <col min="6" max="6" width="8.28515625" customWidth="1"/>
    <col min="7" max="7" width="7.28515625" customWidth="1"/>
    <col min="8" max="8" width="7.140625" customWidth="1"/>
    <col min="9" max="9" width="6.28515625" customWidth="1"/>
    <col min="10" max="10" width="9.28515625" customWidth="1"/>
    <col min="11" max="11" width="10.85546875" customWidth="1"/>
  </cols>
  <sheetData>
    <row r="1" spans="1:11">
      <c r="A1" s="93" t="s">
        <v>3</v>
      </c>
      <c r="B1" s="93" t="s">
        <v>5</v>
      </c>
      <c r="C1" s="93" t="s">
        <v>6</v>
      </c>
      <c r="D1" s="93" t="s">
        <v>7</v>
      </c>
      <c r="E1" s="94" t="s">
        <v>293</v>
      </c>
      <c r="F1" s="96"/>
      <c r="G1" s="93" t="s">
        <v>3</v>
      </c>
      <c r="H1" s="93" t="s">
        <v>5</v>
      </c>
      <c r="I1" s="93" t="s">
        <v>6</v>
      </c>
      <c r="J1" s="93" t="s">
        <v>7</v>
      </c>
      <c r="K1" s="94" t="s">
        <v>293</v>
      </c>
    </row>
    <row r="2" spans="1:11">
      <c r="A2" s="70" t="s">
        <v>37</v>
      </c>
      <c r="B2" s="70" t="s">
        <v>39</v>
      </c>
      <c r="C2" s="70">
        <v>1</v>
      </c>
      <c r="D2" s="70" t="s">
        <v>94</v>
      </c>
      <c r="G2" s="70" t="s">
        <v>37</v>
      </c>
      <c r="H2" s="70" t="s">
        <v>85</v>
      </c>
      <c r="I2" s="70">
        <v>1</v>
      </c>
      <c r="J2" s="70" t="s">
        <v>94</v>
      </c>
    </row>
    <row r="3" spans="1:11">
      <c r="A3" s="75" t="s">
        <v>291</v>
      </c>
      <c r="B3" s="70"/>
      <c r="C3" s="70">
        <v>1</v>
      </c>
      <c r="D3" s="70" t="s">
        <v>95</v>
      </c>
      <c r="G3" s="75" t="s">
        <v>291</v>
      </c>
      <c r="H3" s="70"/>
      <c r="I3" s="70">
        <v>1</v>
      </c>
      <c r="J3" s="70" t="s">
        <v>95</v>
      </c>
    </row>
    <row r="4" spans="1:11">
      <c r="A4" s="70"/>
      <c r="B4" s="70"/>
      <c r="C4" s="70">
        <v>1</v>
      </c>
      <c r="D4" s="70" t="s">
        <v>96</v>
      </c>
      <c r="G4" s="70"/>
      <c r="H4" s="70"/>
      <c r="I4" s="70">
        <v>1</v>
      </c>
      <c r="J4" s="70" t="s">
        <v>96</v>
      </c>
    </row>
    <row r="5" spans="1:11">
      <c r="A5" s="70"/>
      <c r="B5" s="70"/>
      <c r="C5" s="70">
        <v>1</v>
      </c>
      <c r="D5" s="70" t="s">
        <v>39</v>
      </c>
      <c r="G5" s="70"/>
      <c r="H5" s="70"/>
      <c r="I5" s="70">
        <v>1</v>
      </c>
      <c r="J5" s="70" t="s">
        <v>39</v>
      </c>
    </row>
    <row r="6" spans="1:11">
      <c r="A6" s="70"/>
      <c r="B6" s="70"/>
      <c r="C6" s="70">
        <v>1</v>
      </c>
      <c r="D6" s="70" t="s">
        <v>97</v>
      </c>
      <c r="G6" s="70"/>
      <c r="H6" s="70"/>
      <c r="I6" s="70">
        <v>1</v>
      </c>
      <c r="J6" s="70" t="s">
        <v>97</v>
      </c>
    </row>
    <row r="7" spans="1:11">
      <c r="A7" s="70"/>
      <c r="B7" s="70"/>
      <c r="C7" s="70">
        <v>2</v>
      </c>
      <c r="D7" s="70" t="s">
        <v>94</v>
      </c>
      <c r="G7" s="70"/>
      <c r="H7" s="70"/>
      <c r="I7" s="70">
        <v>2</v>
      </c>
      <c r="J7" s="70" t="s">
        <v>94</v>
      </c>
    </row>
    <row r="8" spans="1:11">
      <c r="A8" s="70"/>
      <c r="B8" s="70"/>
      <c r="C8" s="70">
        <v>2</v>
      </c>
      <c r="D8" s="70" t="s">
        <v>95</v>
      </c>
      <c r="G8" s="70"/>
      <c r="H8" s="70"/>
      <c r="I8" s="70">
        <v>2</v>
      </c>
      <c r="J8" s="70" t="s">
        <v>95</v>
      </c>
    </row>
    <row r="9" spans="1:11">
      <c r="A9" s="70"/>
      <c r="B9" s="70"/>
      <c r="C9" s="70">
        <v>2</v>
      </c>
      <c r="D9" s="70" t="s">
        <v>96</v>
      </c>
      <c r="G9" s="70"/>
      <c r="H9" s="70"/>
      <c r="I9" s="70">
        <v>2</v>
      </c>
      <c r="J9" s="70" t="s">
        <v>96</v>
      </c>
    </row>
    <row r="10" spans="1:11">
      <c r="A10" s="70"/>
      <c r="B10" s="70"/>
      <c r="C10" s="70">
        <v>2</v>
      </c>
      <c r="D10" s="70" t="s">
        <v>39</v>
      </c>
      <c r="G10" s="70"/>
      <c r="H10" s="70"/>
      <c r="I10" s="70">
        <v>2</v>
      </c>
      <c r="J10" s="70" t="s">
        <v>39</v>
      </c>
    </row>
    <row r="11" spans="1:11">
      <c r="A11" s="70"/>
      <c r="B11" s="70"/>
      <c r="C11" s="70">
        <v>2</v>
      </c>
      <c r="D11" s="70" t="s">
        <v>97</v>
      </c>
      <c r="G11" s="70"/>
      <c r="H11" s="70"/>
      <c r="I11" s="70">
        <v>2</v>
      </c>
      <c r="J11" s="70" t="s">
        <v>97</v>
      </c>
    </row>
    <row r="12" spans="1:11">
      <c r="A12" s="70"/>
      <c r="B12" s="70"/>
      <c r="C12" s="70">
        <v>3</v>
      </c>
      <c r="D12" s="70" t="s">
        <v>94</v>
      </c>
      <c r="G12" s="70"/>
      <c r="H12" s="70"/>
      <c r="I12" s="70">
        <v>3</v>
      </c>
      <c r="J12" s="70" t="s">
        <v>94</v>
      </c>
    </row>
    <row r="13" spans="1:11">
      <c r="A13" s="70"/>
      <c r="B13" s="70"/>
      <c r="C13" s="70">
        <v>3</v>
      </c>
      <c r="D13" s="70" t="s">
        <v>95</v>
      </c>
      <c r="G13" s="70"/>
      <c r="H13" s="70"/>
      <c r="I13" s="70">
        <v>3</v>
      </c>
      <c r="J13" s="70" t="s">
        <v>95</v>
      </c>
    </row>
    <row r="14" spans="1:11">
      <c r="A14" s="70"/>
      <c r="B14" s="70"/>
      <c r="C14" s="70">
        <v>3</v>
      </c>
      <c r="D14" s="70" t="s">
        <v>96</v>
      </c>
      <c r="G14" s="70"/>
      <c r="H14" s="70"/>
      <c r="I14" s="70">
        <v>3</v>
      </c>
      <c r="J14" s="70" t="s">
        <v>96</v>
      </c>
    </row>
    <row r="15" spans="1:11">
      <c r="A15" s="70"/>
      <c r="B15" s="70"/>
      <c r="C15" s="70">
        <v>3</v>
      </c>
      <c r="D15" s="70" t="s">
        <v>39</v>
      </c>
      <c r="G15" s="70"/>
      <c r="H15" s="70"/>
      <c r="I15" s="70">
        <v>3</v>
      </c>
      <c r="J15" s="70" t="s">
        <v>39</v>
      </c>
    </row>
    <row r="16" spans="1:11">
      <c r="A16" s="70"/>
      <c r="B16" s="70"/>
      <c r="C16" s="70">
        <v>3</v>
      </c>
      <c r="D16" s="70" t="s">
        <v>97</v>
      </c>
      <c r="G16" s="70"/>
      <c r="H16" s="70"/>
      <c r="I16" s="70">
        <v>3</v>
      </c>
      <c r="J16" s="70" t="s">
        <v>97</v>
      </c>
    </row>
    <row r="17" spans="1:10">
      <c r="A17" s="70"/>
      <c r="B17" s="70"/>
      <c r="C17" s="70">
        <v>4</v>
      </c>
      <c r="D17" s="70" t="s">
        <v>94</v>
      </c>
      <c r="G17" s="70"/>
      <c r="H17" s="70"/>
      <c r="I17" s="70">
        <v>4</v>
      </c>
      <c r="J17" s="70" t="s">
        <v>94</v>
      </c>
    </row>
    <row r="18" spans="1:10">
      <c r="A18" s="70"/>
      <c r="B18" s="70"/>
      <c r="C18" s="70">
        <v>4</v>
      </c>
      <c r="D18" s="70" t="s">
        <v>95</v>
      </c>
      <c r="G18" s="70"/>
      <c r="H18" s="70"/>
      <c r="I18" s="70">
        <v>4</v>
      </c>
      <c r="J18" s="70" t="s">
        <v>95</v>
      </c>
    </row>
    <row r="19" spans="1:10">
      <c r="A19" s="70"/>
      <c r="B19" s="70"/>
      <c r="C19" s="70">
        <v>4</v>
      </c>
      <c r="D19" s="70" t="s">
        <v>96</v>
      </c>
      <c r="G19" s="70"/>
      <c r="H19" s="70"/>
      <c r="I19" s="70">
        <v>4</v>
      </c>
      <c r="J19" s="70" t="s">
        <v>96</v>
      </c>
    </row>
    <row r="20" spans="1:10">
      <c r="A20" s="70"/>
      <c r="B20" s="70"/>
      <c r="C20" s="70">
        <v>4</v>
      </c>
      <c r="D20" s="70" t="s">
        <v>39</v>
      </c>
      <c r="G20" s="70"/>
      <c r="H20" s="70"/>
      <c r="I20" s="70">
        <v>4</v>
      </c>
      <c r="J20" s="70" t="s">
        <v>39</v>
      </c>
    </row>
    <row r="21" spans="1:10">
      <c r="A21" s="70"/>
      <c r="B21" s="70"/>
      <c r="C21" s="70">
        <v>4</v>
      </c>
      <c r="D21" s="70" t="s">
        <v>97</v>
      </c>
      <c r="G21" s="70"/>
      <c r="H21" s="70"/>
      <c r="I21" s="70">
        <v>4</v>
      </c>
      <c r="J21" s="70" t="s">
        <v>97</v>
      </c>
    </row>
    <row r="22" spans="1:10">
      <c r="A22" s="70" t="s">
        <v>37</v>
      </c>
      <c r="B22" s="70" t="s">
        <v>77</v>
      </c>
      <c r="C22" s="70">
        <v>1</v>
      </c>
      <c r="D22" s="70" t="s">
        <v>94</v>
      </c>
      <c r="G22" s="70" t="s">
        <v>37</v>
      </c>
      <c r="H22" s="70" t="s">
        <v>98</v>
      </c>
      <c r="I22" s="70">
        <v>1</v>
      </c>
      <c r="J22" s="70" t="s">
        <v>94</v>
      </c>
    </row>
    <row r="23" spans="1:10">
      <c r="A23" s="75" t="s">
        <v>291</v>
      </c>
      <c r="B23" s="70"/>
      <c r="C23" s="70">
        <v>1</v>
      </c>
      <c r="D23" s="70" t="s">
        <v>95</v>
      </c>
      <c r="G23" s="75" t="s">
        <v>291</v>
      </c>
      <c r="H23" s="70"/>
      <c r="I23" s="70">
        <v>1</v>
      </c>
      <c r="J23" s="70" t="s">
        <v>95</v>
      </c>
    </row>
    <row r="24" spans="1:10">
      <c r="A24" s="70"/>
      <c r="B24" s="70"/>
      <c r="C24" s="70">
        <v>1</v>
      </c>
      <c r="D24" s="70" t="s">
        <v>96</v>
      </c>
      <c r="G24" s="70"/>
      <c r="H24" s="70"/>
      <c r="I24" s="70">
        <v>1</v>
      </c>
      <c r="J24" s="70" t="s">
        <v>96</v>
      </c>
    </row>
    <row r="25" spans="1:10">
      <c r="A25" s="70"/>
      <c r="B25" s="70"/>
      <c r="C25" s="70">
        <v>1</v>
      </c>
      <c r="D25" s="70" t="s">
        <v>39</v>
      </c>
      <c r="G25" s="70"/>
      <c r="H25" s="70"/>
      <c r="I25" s="70">
        <v>1</v>
      </c>
      <c r="J25" s="70" t="s">
        <v>39</v>
      </c>
    </row>
    <row r="26" spans="1:10">
      <c r="A26" s="70"/>
      <c r="B26" s="70"/>
      <c r="C26" s="70">
        <v>1</v>
      </c>
      <c r="D26" s="70" t="s">
        <v>97</v>
      </c>
      <c r="G26" s="70"/>
      <c r="H26" s="70"/>
      <c r="I26" s="70">
        <v>1</v>
      </c>
      <c r="J26" s="70" t="s">
        <v>97</v>
      </c>
    </row>
    <row r="27" spans="1:10">
      <c r="A27" s="70"/>
      <c r="B27" s="70"/>
      <c r="C27" s="70">
        <v>2</v>
      </c>
      <c r="D27" s="70" t="s">
        <v>94</v>
      </c>
      <c r="G27" s="70"/>
      <c r="H27" s="70"/>
      <c r="I27" s="70">
        <v>2</v>
      </c>
      <c r="J27" s="70" t="s">
        <v>94</v>
      </c>
    </row>
    <row r="28" spans="1:10">
      <c r="A28" s="70"/>
      <c r="B28" s="70"/>
      <c r="C28" s="70">
        <v>2</v>
      </c>
      <c r="D28" s="70" t="s">
        <v>95</v>
      </c>
      <c r="G28" s="70"/>
      <c r="H28" s="70"/>
      <c r="I28" s="70">
        <v>2</v>
      </c>
      <c r="J28" s="70" t="s">
        <v>95</v>
      </c>
    </row>
    <row r="29" spans="1:10">
      <c r="A29" s="70"/>
      <c r="B29" s="70"/>
      <c r="C29" s="70">
        <v>2</v>
      </c>
      <c r="D29" s="70" t="s">
        <v>96</v>
      </c>
      <c r="G29" s="70"/>
      <c r="H29" s="70"/>
      <c r="I29" s="70">
        <v>2</v>
      </c>
      <c r="J29" s="70" t="s">
        <v>96</v>
      </c>
    </row>
    <row r="30" spans="1:10">
      <c r="A30" s="70"/>
      <c r="B30" s="70"/>
      <c r="C30" s="70">
        <v>2</v>
      </c>
      <c r="D30" s="70" t="s">
        <v>39</v>
      </c>
      <c r="G30" s="70"/>
      <c r="H30" s="70"/>
      <c r="I30" s="70">
        <v>2</v>
      </c>
      <c r="J30" s="70" t="s">
        <v>39</v>
      </c>
    </row>
    <row r="31" spans="1:10">
      <c r="A31" s="70"/>
      <c r="B31" s="70"/>
      <c r="C31" s="70">
        <v>2</v>
      </c>
      <c r="D31" s="70" t="s">
        <v>97</v>
      </c>
      <c r="G31" s="70"/>
      <c r="H31" s="70"/>
      <c r="I31" s="70">
        <v>2</v>
      </c>
      <c r="J31" s="70" t="s">
        <v>97</v>
      </c>
    </row>
    <row r="32" spans="1:10">
      <c r="A32" s="70"/>
      <c r="B32" s="70"/>
      <c r="C32" s="70">
        <v>3</v>
      </c>
      <c r="D32" s="70" t="s">
        <v>94</v>
      </c>
      <c r="G32" s="70"/>
      <c r="H32" s="70"/>
      <c r="I32" s="70">
        <v>3</v>
      </c>
      <c r="J32" s="70" t="s">
        <v>94</v>
      </c>
    </row>
    <row r="33" spans="1:11">
      <c r="A33" s="70"/>
      <c r="B33" s="70"/>
      <c r="C33" s="70">
        <v>3</v>
      </c>
      <c r="D33" s="70" t="s">
        <v>95</v>
      </c>
      <c r="G33" s="70"/>
      <c r="H33" s="70"/>
      <c r="I33" s="70">
        <v>3</v>
      </c>
      <c r="J33" s="70" t="s">
        <v>95</v>
      </c>
    </row>
    <row r="34" spans="1:11">
      <c r="A34" s="70"/>
      <c r="B34" s="70"/>
      <c r="C34" s="70">
        <v>3</v>
      </c>
      <c r="D34" s="70" t="s">
        <v>96</v>
      </c>
      <c r="G34" s="70"/>
      <c r="H34" s="70"/>
      <c r="I34" s="70">
        <v>3</v>
      </c>
      <c r="J34" s="70" t="s">
        <v>96</v>
      </c>
    </row>
    <row r="35" spans="1:11">
      <c r="A35" s="70"/>
      <c r="B35" s="70"/>
      <c r="C35" s="70">
        <v>3</v>
      </c>
      <c r="D35" s="70" t="s">
        <v>39</v>
      </c>
      <c r="G35" s="70"/>
      <c r="H35" s="70"/>
      <c r="I35" s="70">
        <v>3</v>
      </c>
      <c r="J35" s="70" t="s">
        <v>39</v>
      </c>
    </row>
    <row r="36" spans="1:11">
      <c r="A36" s="70"/>
      <c r="B36" s="70"/>
      <c r="C36" s="70">
        <v>3</v>
      </c>
      <c r="D36" s="70" t="s">
        <v>97</v>
      </c>
      <c r="G36" s="70"/>
      <c r="H36" s="70"/>
      <c r="I36" s="70">
        <v>3</v>
      </c>
      <c r="J36" s="70" t="s">
        <v>97</v>
      </c>
    </row>
    <row r="37" spans="1:11">
      <c r="A37" s="70"/>
      <c r="B37" s="70"/>
      <c r="C37" s="70">
        <v>4</v>
      </c>
      <c r="D37" s="70" t="s">
        <v>94</v>
      </c>
      <c r="G37" s="70"/>
      <c r="H37" s="70"/>
      <c r="I37" s="70">
        <v>4</v>
      </c>
      <c r="J37" s="70" t="s">
        <v>94</v>
      </c>
    </row>
    <row r="38" spans="1:11">
      <c r="A38" s="70"/>
      <c r="B38" s="70"/>
      <c r="C38" s="70">
        <v>4</v>
      </c>
      <c r="D38" s="70" t="s">
        <v>95</v>
      </c>
      <c r="G38" s="70"/>
      <c r="H38" s="70"/>
      <c r="I38" s="70">
        <v>4</v>
      </c>
      <c r="J38" s="70" t="s">
        <v>95</v>
      </c>
    </row>
    <row r="39" spans="1:11">
      <c r="A39" s="70"/>
      <c r="B39" s="70"/>
      <c r="C39" s="70">
        <v>4</v>
      </c>
      <c r="D39" s="70" t="s">
        <v>96</v>
      </c>
      <c r="G39" s="70"/>
      <c r="H39" s="70"/>
      <c r="I39" s="70">
        <v>4</v>
      </c>
      <c r="J39" s="70" t="s">
        <v>96</v>
      </c>
    </row>
    <row r="40" spans="1:11">
      <c r="A40" s="70"/>
      <c r="B40" s="70"/>
      <c r="C40" s="70">
        <v>4</v>
      </c>
      <c r="D40" s="70" t="s">
        <v>39</v>
      </c>
      <c r="G40" s="70"/>
      <c r="H40" s="70"/>
      <c r="I40" s="70">
        <v>4</v>
      </c>
      <c r="J40" s="70" t="s">
        <v>39</v>
      </c>
    </row>
    <row r="41" spans="1:11">
      <c r="A41" s="70"/>
      <c r="B41" s="70"/>
      <c r="C41" s="70">
        <v>4</v>
      </c>
      <c r="D41" s="70" t="s">
        <v>97</v>
      </c>
      <c r="G41" s="70"/>
      <c r="H41" s="70"/>
      <c r="I41" s="70">
        <v>4</v>
      </c>
      <c r="J41" s="70" t="s">
        <v>97</v>
      </c>
    </row>
    <row r="42" spans="1:11">
      <c r="A42" s="70"/>
      <c r="B42" s="70"/>
      <c r="C42" s="70"/>
      <c r="D42" s="70"/>
    </row>
    <row r="43" spans="1:11">
      <c r="A43" s="93" t="s">
        <v>3</v>
      </c>
      <c r="B43" s="93" t="s">
        <v>5</v>
      </c>
      <c r="C43" s="93" t="s">
        <v>6</v>
      </c>
      <c r="D43" s="93" t="s">
        <v>7</v>
      </c>
      <c r="E43" s="94" t="s">
        <v>293</v>
      </c>
      <c r="F43" s="96"/>
      <c r="G43" s="93" t="s">
        <v>3</v>
      </c>
      <c r="H43" s="93" t="s">
        <v>5</v>
      </c>
      <c r="I43" s="93" t="s">
        <v>6</v>
      </c>
      <c r="J43" s="93" t="s">
        <v>7</v>
      </c>
      <c r="K43" s="94" t="s">
        <v>293</v>
      </c>
    </row>
    <row r="44" spans="1:11">
      <c r="A44" s="70" t="s">
        <v>37</v>
      </c>
      <c r="B44" s="70" t="s">
        <v>99</v>
      </c>
      <c r="C44" s="70">
        <v>1</v>
      </c>
      <c r="D44" s="70" t="s">
        <v>94</v>
      </c>
      <c r="G44" s="70" t="s">
        <v>37</v>
      </c>
      <c r="H44" s="70" t="s">
        <v>102</v>
      </c>
      <c r="I44" s="70">
        <v>1</v>
      </c>
      <c r="J44" s="70" t="s">
        <v>94</v>
      </c>
    </row>
    <row r="45" spans="1:11">
      <c r="A45" s="70"/>
      <c r="B45" s="70"/>
      <c r="C45" s="70">
        <v>1</v>
      </c>
      <c r="D45" s="70" t="s">
        <v>95</v>
      </c>
      <c r="G45" s="75" t="s">
        <v>294</v>
      </c>
      <c r="H45" s="70"/>
      <c r="I45" s="70">
        <v>1</v>
      </c>
      <c r="J45" s="70" t="s">
        <v>95</v>
      </c>
    </row>
    <row r="46" spans="1:11">
      <c r="A46" s="70"/>
      <c r="B46" s="70"/>
      <c r="C46" s="70">
        <v>1</v>
      </c>
      <c r="D46" s="70" t="s">
        <v>96</v>
      </c>
      <c r="G46" s="70"/>
      <c r="H46" s="70"/>
      <c r="I46" s="70">
        <v>1</v>
      </c>
      <c r="J46" s="70" t="s">
        <v>96</v>
      </c>
    </row>
    <row r="47" spans="1:11">
      <c r="A47" s="70"/>
      <c r="B47" s="70"/>
      <c r="C47" s="70">
        <v>1</v>
      </c>
      <c r="D47" s="70" t="s">
        <v>39</v>
      </c>
      <c r="G47" s="70"/>
      <c r="H47" s="70"/>
      <c r="I47" s="70">
        <v>1</v>
      </c>
      <c r="J47" s="70" t="s">
        <v>39</v>
      </c>
    </row>
    <row r="48" spans="1:11">
      <c r="A48" s="70"/>
      <c r="B48" s="70"/>
      <c r="C48" s="70">
        <v>1</v>
      </c>
      <c r="D48" s="70" t="s">
        <v>97</v>
      </c>
      <c r="G48" s="70"/>
      <c r="H48" s="70"/>
      <c r="I48" s="70">
        <v>1</v>
      </c>
      <c r="J48" s="70" t="s">
        <v>97</v>
      </c>
    </row>
    <row r="49" spans="1:10">
      <c r="A49" s="70"/>
      <c r="B49" s="70"/>
      <c r="C49" s="70">
        <v>2</v>
      </c>
      <c r="D49" s="70" t="s">
        <v>94</v>
      </c>
      <c r="G49" s="70"/>
      <c r="H49" s="70"/>
      <c r="I49" s="70">
        <v>2</v>
      </c>
      <c r="J49" s="70" t="s">
        <v>94</v>
      </c>
    </row>
    <row r="50" spans="1:10">
      <c r="A50" s="70"/>
      <c r="B50" s="70"/>
      <c r="C50" s="70">
        <v>2</v>
      </c>
      <c r="D50" s="70" t="s">
        <v>95</v>
      </c>
      <c r="G50" s="70"/>
      <c r="H50" s="70"/>
      <c r="I50" s="70">
        <v>2</v>
      </c>
      <c r="J50" s="70" t="s">
        <v>95</v>
      </c>
    </row>
    <row r="51" spans="1:10">
      <c r="A51" s="70"/>
      <c r="B51" s="70"/>
      <c r="C51" s="70">
        <v>2</v>
      </c>
      <c r="D51" s="70" t="s">
        <v>96</v>
      </c>
      <c r="G51" s="70"/>
      <c r="H51" s="70"/>
      <c r="I51" s="70">
        <v>2</v>
      </c>
      <c r="J51" s="70" t="s">
        <v>96</v>
      </c>
    </row>
    <row r="52" spans="1:10">
      <c r="A52" s="70"/>
      <c r="B52" s="70"/>
      <c r="C52" s="70">
        <v>2</v>
      </c>
      <c r="D52" s="70" t="s">
        <v>39</v>
      </c>
      <c r="G52" s="70"/>
      <c r="H52" s="70"/>
      <c r="I52" s="70">
        <v>2</v>
      </c>
      <c r="J52" s="70" t="s">
        <v>39</v>
      </c>
    </row>
    <row r="53" spans="1:10">
      <c r="A53" s="70"/>
      <c r="B53" s="70"/>
      <c r="C53" s="70">
        <v>2</v>
      </c>
      <c r="D53" s="70" t="s">
        <v>97</v>
      </c>
      <c r="G53" s="70"/>
      <c r="H53" s="70"/>
      <c r="I53" s="70">
        <v>2</v>
      </c>
      <c r="J53" s="70" t="s">
        <v>97</v>
      </c>
    </row>
    <row r="54" spans="1:10">
      <c r="A54" s="70"/>
      <c r="B54" s="70"/>
      <c r="C54" s="70">
        <v>3</v>
      </c>
      <c r="D54" s="70" t="s">
        <v>94</v>
      </c>
      <c r="G54" s="70"/>
      <c r="H54" s="70"/>
      <c r="I54" s="70">
        <v>3</v>
      </c>
      <c r="J54" s="70" t="s">
        <v>94</v>
      </c>
    </row>
    <row r="55" spans="1:10">
      <c r="A55" s="70"/>
      <c r="B55" s="70"/>
      <c r="C55" s="70">
        <v>3</v>
      </c>
      <c r="D55" s="70" t="s">
        <v>95</v>
      </c>
      <c r="G55" s="70"/>
      <c r="H55" s="70"/>
      <c r="I55" s="70">
        <v>3</v>
      </c>
      <c r="J55" s="70" t="s">
        <v>95</v>
      </c>
    </row>
    <row r="56" spans="1:10">
      <c r="A56" s="70"/>
      <c r="B56" s="70"/>
      <c r="C56" s="70">
        <v>3</v>
      </c>
      <c r="D56" s="70" t="s">
        <v>96</v>
      </c>
      <c r="G56" s="70"/>
      <c r="H56" s="70"/>
      <c r="I56" s="70">
        <v>3</v>
      </c>
      <c r="J56" s="70" t="s">
        <v>96</v>
      </c>
    </row>
    <row r="57" spans="1:10">
      <c r="A57" s="70"/>
      <c r="B57" s="70"/>
      <c r="C57" s="70">
        <v>3</v>
      </c>
      <c r="D57" s="70" t="s">
        <v>39</v>
      </c>
      <c r="G57" s="70"/>
      <c r="H57" s="70"/>
      <c r="I57" s="70">
        <v>3</v>
      </c>
      <c r="J57" s="70" t="s">
        <v>39</v>
      </c>
    </row>
    <row r="58" spans="1:10">
      <c r="A58" s="70"/>
      <c r="B58" s="70"/>
      <c r="C58" s="70">
        <v>3</v>
      </c>
      <c r="D58" s="70" t="s">
        <v>97</v>
      </c>
      <c r="G58" s="70"/>
      <c r="H58" s="70"/>
      <c r="I58" s="70">
        <v>3</v>
      </c>
      <c r="J58" s="70" t="s">
        <v>97</v>
      </c>
    </row>
    <row r="59" spans="1:10">
      <c r="A59" s="70"/>
      <c r="B59" s="70"/>
      <c r="C59" s="70">
        <v>4</v>
      </c>
      <c r="D59" s="70" t="s">
        <v>94</v>
      </c>
      <c r="G59" s="70"/>
      <c r="H59" s="70"/>
      <c r="I59" s="70">
        <v>4</v>
      </c>
      <c r="J59" s="70" t="s">
        <v>94</v>
      </c>
    </row>
    <row r="60" spans="1:10">
      <c r="A60" s="70"/>
      <c r="B60" s="70"/>
      <c r="C60" s="70">
        <v>4</v>
      </c>
      <c r="D60" s="70" t="s">
        <v>95</v>
      </c>
      <c r="G60" s="70"/>
      <c r="H60" s="70"/>
      <c r="I60" s="70">
        <v>4</v>
      </c>
      <c r="J60" s="70" t="s">
        <v>95</v>
      </c>
    </row>
    <row r="61" spans="1:10">
      <c r="A61" s="70"/>
      <c r="B61" s="70"/>
      <c r="C61" s="70">
        <v>4</v>
      </c>
      <c r="D61" s="70" t="s">
        <v>96</v>
      </c>
      <c r="G61" s="70"/>
      <c r="H61" s="70"/>
      <c r="I61" s="70">
        <v>4</v>
      </c>
      <c r="J61" s="70" t="s">
        <v>96</v>
      </c>
    </row>
    <row r="62" spans="1:10">
      <c r="A62" s="70"/>
      <c r="B62" s="70"/>
      <c r="C62" s="70">
        <v>4</v>
      </c>
      <c r="D62" s="70" t="s">
        <v>39</v>
      </c>
      <c r="G62" s="70"/>
      <c r="H62" s="70"/>
      <c r="I62" s="70">
        <v>4</v>
      </c>
      <c r="J62" s="70" t="s">
        <v>39</v>
      </c>
    </row>
    <row r="63" spans="1:10">
      <c r="A63" s="70"/>
      <c r="B63" s="70"/>
      <c r="C63" s="70">
        <v>4</v>
      </c>
      <c r="D63" s="70" t="s">
        <v>97</v>
      </c>
      <c r="G63" s="70"/>
      <c r="H63" s="70"/>
      <c r="I63" s="70">
        <v>4</v>
      </c>
      <c r="J63" s="70" t="s">
        <v>97</v>
      </c>
    </row>
    <row r="64" spans="1:10">
      <c r="A64" s="70" t="s">
        <v>37</v>
      </c>
      <c r="B64" s="70" t="s">
        <v>101</v>
      </c>
      <c r="C64" s="70">
        <v>1</v>
      </c>
      <c r="D64" s="70" t="s">
        <v>94</v>
      </c>
    </row>
    <row r="65" spans="1:4">
      <c r="A65" s="75" t="s">
        <v>295</v>
      </c>
      <c r="B65" s="70"/>
      <c r="C65" s="70">
        <v>1</v>
      </c>
      <c r="D65" s="70" t="s">
        <v>95</v>
      </c>
    </row>
    <row r="66" spans="1:4">
      <c r="A66" s="70"/>
      <c r="B66" s="70"/>
      <c r="C66" s="70">
        <v>1</v>
      </c>
      <c r="D66" s="70" t="s">
        <v>96</v>
      </c>
    </row>
    <row r="67" spans="1:4">
      <c r="A67" s="70"/>
      <c r="B67" s="70"/>
      <c r="C67" s="70">
        <v>1</v>
      </c>
      <c r="D67" s="70" t="s">
        <v>39</v>
      </c>
    </row>
    <row r="68" spans="1:4">
      <c r="A68" s="70"/>
      <c r="B68" s="70"/>
      <c r="C68" s="70">
        <v>1</v>
      </c>
      <c r="D68" s="70" t="s">
        <v>97</v>
      </c>
    </row>
    <row r="69" spans="1:4">
      <c r="A69" s="70"/>
      <c r="B69" s="70"/>
      <c r="C69" s="70">
        <v>2</v>
      </c>
      <c r="D69" s="70" t="s">
        <v>94</v>
      </c>
    </row>
    <row r="70" spans="1:4">
      <c r="A70" s="70"/>
      <c r="B70" s="70"/>
      <c r="C70" s="70">
        <v>2</v>
      </c>
      <c r="D70" s="70" t="s">
        <v>95</v>
      </c>
    </row>
    <row r="71" spans="1:4">
      <c r="A71" s="70"/>
      <c r="B71" s="70"/>
      <c r="C71" s="70">
        <v>2</v>
      </c>
      <c r="D71" s="70" t="s">
        <v>96</v>
      </c>
    </row>
    <row r="72" spans="1:4">
      <c r="A72" s="70"/>
      <c r="B72" s="70"/>
      <c r="C72" s="70">
        <v>2</v>
      </c>
      <c r="D72" s="70" t="s">
        <v>39</v>
      </c>
    </row>
    <row r="73" spans="1:4">
      <c r="A73" s="70"/>
      <c r="B73" s="70"/>
      <c r="C73" s="70">
        <v>2</v>
      </c>
      <c r="D73" s="70" t="s">
        <v>97</v>
      </c>
    </row>
    <row r="74" spans="1:4">
      <c r="A74" s="70"/>
      <c r="B74" s="70"/>
      <c r="C74" s="70">
        <v>3</v>
      </c>
      <c r="D74" s="70" t="s">
        <v>94</v>
      </c>
    </row>
    <row r="75" spans="1:4">
      <c r="A75" s="70"/>
      <c r="B75" s="70"/>
      <c r="C75" s="70">
        <v>3</v>
      </c>
      <c r="D75" s="70" t="s">
        <v>95</v>
      </c>
    </row>
    <row r="76" spans="1:4">
      <c r="A76" s="70"/>
      <c r="B76" s="70"/>
      <c r="C76" s="70">
        <v>3</v>
      </c>
      <c r="D76" s="70" t="s">
        <v>96</v>
      </c>
    </row>
    <row r="77" spans="1:4">
      <c r="A77" s="70"/>
      <c r="B77" s="70"/>
      <c r="C77" s="70">
        <v>3</v>
      </c>
      <c r="D77" s="70" t="s">
        <v>39</v>
      </c>
    </row>
    <row r="78" spans="1:4">
      <c r="A78" s="70"/>
      <c r="B78" s="70"/>
      <c r="C78" s="70">
        <v>3</v>
      </c>
      <c r="D78" s="70" t="s">
        <v>97</v>
      </c>
    </row>
    <row r="79" spans="1:4">
      <c r="A79" s="70"/>
      <c r="B79" s="70"/>
      <c r="C79" s="70">
        <v>4</v>
      </c>
      <c r="D79" s="70" t="s">
        <v>94</v>
      </c>
    </row>
    <row r="80" spans="1:4">
      <c r="A80" s="70"/>
      <c r="B80" s="70"/>
      <c r="C80" s="70">
        <v>4</v>
      </c>
      <c r="D80" s="70" t="s">
        <v>95</v>
      </c>
    </row>
    <row r="81" spans="1:11">
      <c r="A81" s="70"/>
      <c r="B81" s="70"/>
      <c r="C81" s="70">
        <v>4</v>
      </c>
      <c r="D81" s="70" t="s">
        <v>96</v>
      </c>
    </row>
    <row r="82" spans="1:11">
      <c r="A82" s="70"/>
      <c r="B82" s="70"/>
      <c r="C82" s="70">
        <v>4</v>
      </c>
      <c r="D82" s="70" t="s">
        <v>39</v>
      </c>
    </row>
    <row r="83" spans="1:11">
      <c r="A83" s="70"/>
      <c r="B83" s="70"/>
      <c r="C83" s="70">
        <v>4</v>
      </c>
      <c r="D83" s="70" t="s">
        <v>97</v>
      </c>
    </row>
    <row r="85" spans="1:11">
      <c r="A85" s="93" t="s">
        <v>3</v>
      </c>
      <c r="B85" s="93" t="s">
        <v>5</v>
      </c>
      <c r="C85" s="93" t="s">
        <v>6</v>
      </c>
      <c r="D85" s="93" t="s">
        <v>7</v>
      </c>
      <c r="E85" s="94" t="s">
        <v>293</v>
      </c>
      <c r="F85" s="96"/>
      <c r="G85" s="93" t="s">
        <v>3</v>
      </c>
      <c r="H85" s="93" t="s">
        <v>5</v>
      </c>
      <c r="I85" s="93" t="s">
        <v>6</v>
      </c>
      <c r="J85" s="93" t="s">
        <v>7</v>
      </c>
      <c r="K85" s="94" t="s">
        <v>293</v>
      </c>
    </row>
    <row r="86" spans="1:11">
      <c r="A86" s="70" t="s">
        <v>103</v>
      </c>
      <c r="B86" s="70" t="s">
        <v>106</v>
      </c>
      <c r="C86" s="70">
        <v>1</v>
      </c>
      <c r="D86" s="70" t="s">
        <v>94</v>
      </c>
      <c r="G86" s="70" t="s">
        <v>109</v>
      </c>
      <c r="H86" s="70" t="s">
        <v>112</v>
      </c>
      <c r="I86" s="70">
        <v>1</v>
      </c>
      <c r="J86" s="70" t="s">
        <v>94</v>
      </c>
    </row>
    <row r="87" spans="1:11">
      <c r="A87" s="75" t="s">
        <v>296</v>
      </c>
      <c r="B87" s="70"/>
      <c r="C87" s="70">
        <v>1</v>
      </c>
      <c r="D87" s="70" t="s">
        <v>107</v>
      </c>
      <c r="G87" s="70"/>
      <c r="H87" s="70"/>
      <c r="I87" s="70">
        <v>1</v>
      </c>
      <c r="J87" s="70" t="s">
        <v>107</v>
      </c>
    </row>
    <row r="88" spans="1:11">
      <c r="A88" s="70"/>
      <c r="B88" s="70"/>
      <c r="C88" s="70">
        <v>1</v>
      </c>
      <c r="D88" s="70" t="s">
        <v>108</v>
      </c>
      <c r="G88" s="70"/>
      <c r="H88" s="70"/>
      <c r="I88" s="70">
        <v>1</v>
      </c>
      <c r="J88" s="75" t="s">
        <v>240</v>
      </c>
    </row>
    <row r="89" spans="1:11">
      <c r="A89" s="70"/>
      <c r="B89" s="70"/>
      <c r="C89" s="70">
        <v>1</v>
      </c>
      <c r="D89" s="70" t="s">
        <v>96</v>
      </c>
      <c r="G89" s="70"/>
      <c r="H89" s="70"/>
      <c r="I89" s="70">
        <v>1</v>
      </c>
      <c r="J89" s="75" t="s">
        <v>108</v>
      </c>
    </row>
    <row r="90" spans="1:11">
      <c r="A90" s="70"/>
      <c r="B90" s="70"/>
      <c r="C90" s="70">
        <v>1</v>
      </c>
      <c r="D90" s="70" t="s">
        <v>39</v>
      </c>
      <c r="G90" s="70"/>
      <c r="H90" s="70"/>
      <c r="I90" s="70">
        <v>1</v>
      </c>
      <c r="J90" s="75" t="s">
        <v>96</v>
      </c>
    </row>
    <row r="91" spans="1:11">
      <c r="A91" s="70"/>
      <c r="B91" s="70"/>
      <c r="C91" s="70">
        <v>2</v>
      </c>
      <c r="D91" s="70" t="s">
        <v>94</v>
      </c>
      <c r="G91" s="70"/>
      <c r="H91" s="70"/>
      <c r="I91" s="70">
        <v>2</v>
      </c>
      <c r="J91" s="70" t="s">
        <v>94</v>
      </c>
    </row>
    <row r="92" spans="1:11">
      <c r="A92" s="70"/>
      <c r="B92" s="70"/>
      <c r="C92" s="70">
        <v>2</v>
      </c>
      <c r="D92" s="70" t="s">
        <v>107</v>
      </c>
      <c r="G92" s="70"/>
      <c r="H92" s="70"/>
      <c r="I92" s="70">
        <v>2</v>
      </c>
      <c r="J92" s="70" t="s">
        <v>107</v>
      </c>
    </row>
    <row r="93" spans="1:11">
      <c r="A93" s="70"/>
      <c r="B93" s="70"/>
      <c r="C93" s="70">
        <v>2</v>
      </c>
      <c r="D93" s="70" t="s">
        <v>108</v>
      </c>
      <c r="G93" s="70"/>
      <c r="H93" s="70"/>
      <c r="I93" s="70">
        <v>2</v>
      </c>
      <c r="J93" s="75" t="s">
        <v>240</v>
      </c>
    </row>
    <row r="94" spans="1:11">
      <c r="A94" s="70"/>
      <c r="B94" s="70"/>
      <c r="C94" s="70">
        <v>2</v>
      </c>
      <c r="D94" s="70" t="s">
        <v>96</v>
      </c>
      <c r="G94" s="70"/>
      <c r="H94" s="70"/>
      <c r="I94" s="75">
        <v>2</v>
      </c>
      <c r="J94" s="75" t="s">
        <v>108</v>
      </c>
    </row>
    <row r="95" spans="1:11">
      <c r="A95" s="70"/>
      <c r="B95" s="70"/>
      <c r="C95" s="70">
        <v>2</v>
      </c>
      <c r="D95" s="70" t="s">
        <v>39</v>
      </c>
      <c r="G95" s="70"/>
      <c r="H95" s="70"/>
      <c r="I95" s="70">
        <v>2</v>
      </c>
      <c r="J95" s="75" t="s">
        <v>96</v>
      </c>
    </row>
    <row r="96" spans="1:11">
      <c r="A96" s="70"/>
      <c r="B96" s="70"/>
      <c r="C96" s="70">
        <v>3</v>
      </c>
      <c r="D96" s="70" t="s">
        <v>94</v>
      </c>
      <c r="G96" s="70"/>
      <c r="H96" s="70"/>
      <c r="I96" s="70">
        <v>3</v>
      </c>
      <c r="J96" s="70" t="s">
        <v>94</v>
      </c>
    </row>
    <row r="97" spans="1:10">
      <c r="A97" s="70"/>
      <c r="B97" s="70"/>
      <c r="C97" s="70">
        <v>3</v>
      </c>
      <c r="D97" s="70" t="s">
        <v>107</v>
      </c>
      <c r="G97" s="70"/>
      <c r="H97" s="70"/>
      <c r="I97" s="70">
        <v>3</v>
      </c>
      <c r="J97" s="70" t="s">
        <v>107</v>
      </c>
    </row>
    <row r="98" spans="1:10">
      <c r="A98" s="70"/>
      <c r="B98" s="70"/>
      <c r="C98" s="70">
        <v>3</v>
      </c>
      <c r="D98" s="70" t="s">
        <v>108</v>
      </c>
      <c r="G98" s="70"/>
      <c r="H98" s="70"/>
      <c r="I98" s="70">
        <v>3</v>
      </c>
      <c r="J98" s="75" t="s">
        <v>240</v>
      </c>
    </row>
    <row r="99" spans="1:10">
      <c r="A99" s="70"/>
      <c r="B99" s="70"/>
      <c r="C99" s="70">
        <v>3</v>
      </c>
      <c r="D99" s="70" t="s">
        <v>96</v>
      </c>
      <c r="G99" s="70"/>
      <c r="H99" s="70"/>
      <c r="I99" s="70">
        <v>3</v>
      </c>
      <c r="J99" s="75" t="s">
        <v>108</v>
      </c>
    </row>
    <row r="100" spans="1:10">
      <c r="A100" s="70"/>
      <c r="B100" s="70"/>
      <c r="C100" s="70">
        <v>3</v>
      </c>
      <c r="D100" s="70" t="s">
        <v>39</v>
      </c>
      <c r="G100" s="70"/>
      <c r="H100" s="70"/>
      <c r="I100" s="70">
        <v>3</v>
      </c>
      <c r="J100" s="75" t="s">
        <v>96</v>
      </c>
    </row>
    <row r="101" spans="1:10">
      <c r="A101" s="70"/>
      <c r="B101" s="70"/>
      <c r="C101" s="70">
        <v>4</v>
      </c>
      <c r="D101" s="70" t="s">
        <v>94</v>
      </c>
      <c r="G101" s="70"/>
      <c r="H101" s="70"/>
      <c r="I101" s="70">
        <v>4</v>
      </c>
      <c r="J101" s="70" t="s">
        <v>94</v>
      </c>
    </row>
    <row r="102" spans="1:10">
      <c r="A102" s="70"/>
      <c r="B102" s="70"/>
      <c r="C102" s="70">
        <v>4</v>
      </c>
      <c r="D102" s="70" t="s">
        <v>107</v>
      </c>
      <c r="G102" s="70"/>
      <c r="H102" s="70"/>
      <c r="I102" s="70">
        <v>4</v>
      </c>
      <c r="J102" s="70" t="s">
        <v>107</v>
      </c>
    </row>
    <row r="103" spans="1:10">
      <c r="A103" s="70"/>
      <c r="B103" s="70"/>
      <c r="C103" s="70">
        <v>4</v>
      </c>
      <c r="D103" s="70" t="s">
        <v>108</v>
      </c>
      <c r="G103" s="70"/>
      <c r="H103" s="70"/>
      <c r="I103" s="70">
        <v>4</v>
      </c>
      <c r="J103" s="75" t="s">
        <v>240</v>
      </c>
    </row>
    <row r="104" spans="1:10">
      <c r="A104" s="70"/>
      <c r="B104" s="70"/>
      <c r="C104" s="70">
        <v>4</v>
      </c>
      <c r="D104" s="70" t="s">
        <v>96</v>
      </c>
      <c r="G104" s="84"/>
      <c r="H104" s="84"/>
      <c r="I104" s="84">
        <v>4</v>
      </c>
      <c r="J104" s="97" t="s">
        <v>108</v>
      </c>
    </row>
    <row r="105" spans="1:10">
      <c r="A105" s="70"/>
      <c r="B105" s="70"/>
      <c r="C105" s="70">
        <v>4</v>
      </c>
      <c r="D105" s="70" t="s">
        <v>39</v>
      </c>
      <c r="G105" s="70"/>
      <c r="H105" s="70"/>
      <c r="I105" s="70">
        <v>4</v>
      </c>
      <c r="J105" s="75" t="s">
        <v>96</v>
      </c>
    </row>
    <row r="106" spans="1:10">
      <c r="A106" s="70" t="s">
        <v>103</v>
      </c>
      <c r="B106" s="70" t="s">
        <v>110</v>
      </c>
      <c r="C106" s="70">
        <v>1</v>
      </c>
      <c r="D106" s="70" t="s">
        <v>94</v>
      </c>
      <c r="G106" s="70" t="s">
        <v>109</v>
      </c>
      <c r="H106" s="70" t="s">
        <v>113</v>
      </c>
      <c r="I106" s="70">
        <v>1</v>
      </c>
      <c r="J106" s="70" t="s">
        <v>94</v>
      </c>
    </row>
    <row r="107" spans="1:10">
      <c r="A107" s="75" t="s">
        <v>297</v>
      </c>
      <c r="B107" s="70"/>
      <c r="C107" s="70">
        <v>1</v>
      </c>
      <c r="D107" s="70" t="s">
        <v>95</v>
      </c>
      <c r="G107" s="70"/>
      <c r="H107" s="70"/>
      <c r="I107" s="70">
        <v>1</v>
      </c>
      <c r="J107" s="70" t="s">
        <v>95</v>
      </c>
    </row>
    <row r="108" spans="1:10">
      <c r="A108" s="70"/>
      <c r="B108" s="70"/>
      <c r="C108" s="70">
        <v>1</v>
      </c>
      <c r="D108" s="75" t="s">
        <v>96</v>
      </c>
      <c r="G108" s="70"/>
      <c r="H108" s="70"/>
      <c r="I108" s="70">
        <v>1</v>
      </c>
      <c r="J108" s="70" t="s">
        <v>96</v>
      </c>
    </row>
    <row r="109" spans="1:10">
      <c r="A109" s="75" t="s">
        <v>298</v>
      </c>
      <c r="B109" s="70"/>
      <c r="C109" s="75">
        <v>1</v>
      </c>
      <c r="D109" s="75" t="s">
        <v>96</v>
      </c>
      <c r="G109" s="70"/>
      <c r="H109" s="70"/>
      <c r="I109" s="70">
        <v>1</v>
      </c>
      <c r="J109" s="70" t="s">
        <v>39</v>
      </c>
    </row>
    <row r="110" spans="1:10">
      <c r="A110" s="70"/>
      <c r="B110" s="70"/>
      <c r="C110" s="70">
        <v>1</v>
      </c>
      <c r="D110" s="75" t="s">
        <v>39</v>
      </c>
      <c r="G110" s="70"/>
      <c r="H110" s="70"/>
      <c r="I110" s="70">
        <v>1</v>
      </c>
      <c r="J110" s="70" t="s">
        <v>97</v>
      </c>
    </row>
    <row r="111" spans="1:10">
      <c r="A111" s="70"/>
      <c r="B111" s="70"/>
      <c r="C111" s="70">
        <v>1</v>
      </c>
      <c r="D111" s="75" t="s">
        <v>97</v>
      </c>
      <c r="G111" s="70"/>
      <c r="H111" s="70"/>
      <c r="I111" s="70">
        <v>2</v>
      </c>
      <c r="J111" s="70" t="s">
        <v>94</v>
      </c>
    </row>
    <row r="112" spans="1:10">
      <c r="A112" s="70"/>
      <c r="B112" s="70"/>
      <c r="C112" s="70">
        <v>2</v>
      </c>
      <c r="D112" s="70" t="s">
        <v>94</v>
      </c>
      <c r="G112" s="70"/>
      <c r="H112" s="70"/>
      <c r="I112" s="70">
        <v>2</v>
      </c>
      <c r="J112" s="70" t="s">
        <v>95</v>
      </c>
    </row>
    <row r="113" spans="1:10">
      <c r="A113" s="70"/>
      <c r="B113" s="70"/>
      <c r="C113" s="70">
        <v>2</v>
      </c>
      <c r="D113" s="70" t="s">
        <v>95</v>
      </c>
      <c r="G113" s="70"/>
      <c r="H113" s="70"/>
      <c r="I113" s="70">
        <v>2</v>
      </c>
      <c r="J113" s="70" t="s">
        <v>96</v>
      </c>
    </row>
    <row r="114" spans="1:10">
      <c r="A114" s="70"/>
      <c r="B114" s="70"/>
      <c r="C114" s="70">
        <v>2</v>
      </c>
      <c r="D114" s="70" t="s">
        <v>96</v>
      </c>
      <c r="G114" s="70"/>
      <c r="H114" s="70"/>
      <c r="I114" s="70">
        <v>2</v>
      </c>
      <c r="J114" s="70" t="s">
        <v>39</v>
      </c>
    </row>
    <row r="115" spans="1:10">
      <c r="A115" s="70"/>
      <c r="B115" s="70"/>
      <c r="C115" s="70">
        <v>2</v>
      </c>
      <c r="D115" s="70" t="s">
        <v>39</v>
      </c>
      <c r="G115" s="70"/>
      <c r="H115" s="70"/>
      <c r="I115" s="70">
        <v>2</v>
      </c>
      <c r="J115" s="70" t="s">
        <v>97</v>
      </c>
    </row>
    <row r="116" spans="1:10">
      <c r="A116" s="70"/>
      <c r="B116" s="70"/>
      <c r="C116" s="70">
        <v>2</v>
      </c>
      <c r="D116" s="70" t="s">
        <v>97</v>
      </c>
      <c r="G116" s="70"/>
      <c r="H116" s="70"/>
      <c r="I116" s="70">
        <v>3</v>
      </c>
      <c r="J116" s="70" t="s">
        <v>94</v>
      </c>
    </row>
    <row r="117" spans="1:10">
      <c r="A117" s="70"/>
      <c r="B117" s="70"/>
      <c r="C117" s="70">
        <v>3</v>
      </c>
      <c r="D117" s="70" t="s">
        <v>94</v>
      </c>
      <c r="G117" s="70"/>
      <c r="H117" s="70"/>
      <c r="I117" s="70">
        <v>3</v>
      </c>
      <c r="J117" s="70" t="s">
        <v>95</v>
      </c>
    </row>
    <row r="118" spans="1:10">
      <c r="A118" s="70"/>
      <c r="B118" s="70"/>
      <c r="C118" s="70">
        <v>3</v>
      </c>
      <c r="D118" s="70" t="s">
        <v>95</v>
      </c>
      <c r="G118" s="70"/>
      <c r="H118" s="70"/>
      <c r="I118" s="70">
        <v>3</v>
      </c>
      <c r="J118" s="70" t="s">
        <v>96</v>
      </c>
    </row>
    <row r="119" spans="1:10">
      <c r="A119" s="70"/>
      <c r="B119" s="70"/>
      <c r="C119" s="70">
        <v>3</v>
      </c>
      <c r="D119" s="75" t="s">
        <v>96</v>
      </c>
      <c r="G119" s="70"/>
      <c r="H119" s="70"/>
      <c r="I119" s="70">
        <v>3</v>
      </c>
      <c r="J119" s="70" t="s">
        <v>39</v>
      </c>
    </row>
    <row r="120" spans="1:10">
      <c r="A120" s="70"/>
      <c r="B120" s="70"/>
      <c r="C120" s="70">
        <v>3</v>
      </c>
      <c r="D120" s="70" t="s">
        <v>39</v>
      </c>
      <c r="G120" s="70"/>
      <c r="H120" s="70"/>
      <c r="I120" s="70">
        <v>3</v>
      </c>
      <c r="J120" s="70" t="s">
        <v>97</v>
      </c>
    </row>
    <row r="121" spans="1:10">
      <c r="A121" s="70"/>
      <c r="B121" s="70"/>
      <c r="C121" s="70">
        <v>3</v>
      </c>
      <c r="D121" s="70" t="s">
        <v>97</v>
      </c>
      <c r="G121" s="70"/>
      <c r="H121" s="70"/>
      <c r="I121" s="70">
        <v>4</v>
      </c>
      <c r="J121" s="70" t="s">
        <v>94</v>
      </c>
    </row>
    <row r="122" spans="1:10">
      <c r="A122" s="70"/>
      <c r="B122" s="70"/>
      <c r="C122" s="70">
        <v>4</v>
      </c>
      <c r="D122" s="70" t="s">
        <v>94</v>
      </c>
      <c r="G122" s="70"/>
      <c r="H122" s="70"/>
      <c r="I122" s="70">
        <v>4</v>
      </c>
      <c r="J122" s="70" t="s">
        <v>95</v>
      </c>
    </row>
    <row r="123" spans="1:10">
      <c r="A123" s="70"/>
      <c r="B123" s="70"/>
      <c r="C123" s="70">
        <v>4</v>
      </c>
      <c r="D123" s="70" t="s">
        <v>95</v>
      </c>
      <c r="G123" s="70"/>
      <c r="H123" s="70"/>
      <c r="I123" s="70">
        <v>4</v>
      </c>
      <c r="J123" s="70" t="s">
        <v>96</v>
      </c>
    </row>
    <row r="124" spans="1:10">
      <c r="A124" s="70"/>
      <c r="B124" s="70"/>
      <c r="C124" s="70">
        <v>4</v>
      </c>
      <c r="D124" s="70" t="s">
        <v>96</v>
      </c>
      <c r="G124" s="70"/>
      <c r="H124" s="70"/>
      <c r="I124" s="70">
        <v>4</v>
      </c>
      <c r="J124" s="70" t="s">
        <v>39</v>
      </c>
    </row>
    <row r="125" spans="1:10">
      <c r="A125" s="70"/>
      <c r="B125" s="70"/>
      <c r="C125" s="70">
        <v>4</v>
      </c>
      <c r="D125" s="70" t="s">
        <v>39</v>
      </c>
      <c r="G125" s="70"/>
      <c r="H125" s="70"/>
      <c r="I125" s="70">
        <v>4</v>
      </c>
      <c r="J125" s="70" t="s">
        <v>97</v>
      </c>
    </row>
    <row r="126" spans="1:10">
      <c r="A126" s="70"/>
      <c r="B126" s="70"/>
      <c r="C126" s="70">
        <v>4</v>
      </c>
      <c r="D126" s="75" t="s">
        <v>299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workbookViewId="0"/>
  </sheetViews>
  <sheetFormatPr defaultColWidth="17.28515625" defaultRowHeight="15" customHeight="1"/>
  <sheetData>
    <row r="1" spans="1:4">
      <c r="A1" s="125" t="s">
        <v>244</v>
      </c>
      <c r="B1" s="115"/>
      <c r="C1" s="115"/>
      <c r="D1" s="115"/>
    </row>
    <row r="2" spans="1:4">
      <c r="A2" s="13" t="s">
        <v>179</v>
      </c>
      <c r="B2" s="13" t="s">
        <v>191</v>
      </c>
      <c r="C2" s="13" t="s">
        <v>192</v>
      </c>
      <c r="D2" s="13" t="s">
        <v>134</v>
      </c>
    </row>
    <row r="3" spans="1:4" ht="15" customHeight="1">
      <c r="A3" s="28">
        <v>6.1793406593406601</v>
      </c>
      <c r="B3" s="28">
        <v>4.25</v>
      </c>
      <c r="C3" s="28">
        <v>3.63</v>
      </c>
      <c r="D3" s="28">
        <f t="shared" ref="D3:D9" si="0">A3+B3</f>
        <v>10.42934065934066</v>
      </c>
    </row>
    <row r="4" spans="1:4" ht="15" customHeight="1">
      <c r="A4" s="28">
        <v>6.2823956043956102</v>
      </c>
      <c r="B4" s="80"/>
      <c r="C4" s="80"/>
      <c r="D4" s="28">
        <f t="shared" si="0"/>
        <v>6.2823956043956102</v>
      </c>
    </row>
    <row r="5" spans="1:4" ht="15" customHeight="1">
      <c r="A5" s="28">
        <v>6.3854505494505496</v>
      </c>
      <c r="B5" s="28">
        <v>14.75</v>
      </c>
      <c r="C5" s="28">
        <v>1.7170000000000001</v>
      </c>
      <c r="D5" s="28">
        <f t="shared" si="0"/>
        <v>21.13545054945055</v>
      </c>
    </row>
    <row r="6" spans="1:4" ht="15" customHeight="1">
      <c r="A6" s="28">
        <v>6.4885054945054996</v>
      </c>
      <c r="B6" s="28">
        <v>21.52</v>
      </c>
      <c r="C6" s="28">
        <v>1.6490853658536599</v>
      </c>
      <c r="D6" s="28">
        <f t="shared" si="0"/>
        <v>28.008505494505499</v>
      </c>
    </row>
    <row r="7" spans="1:4" ht="15" customHeight="1">
      <c r="A7" s="28">
        <v>6.5915604395604399</v>
      </c>
      <c r="B7" s="80"/>
      <c r="C7" s="28">
        <v>1.58117073170732</v>
      </c>
      <c r="D7" s="28">
        <f t="shared" si="0"/>
        <v>6.5915604395604399</v>
      </c>
    </row>
    <row r="8" spans="1:4" ht="15" customHeight="1">
      <c r="A8" s="28">
        <v>6.69461538461539</v>
      </c>
      <c r="B8" s="28">
        <v>1.9269999999999901</v>
      </c>
      <c r="C8" s="28">
        <v>1.5132560975609799</v>
      </c>
      <c r="D8" s="28">
        <f t="shared" si="0"/>
        <v>8.6216153846153798</v>
      </c>
    </row>
    <row r="9" spans="1:4" ht="15" customHeight="1">
      <c r="A9" s="28">
        <v>6.7976703296703302</v>
      </c>
      <c r="B9" s="28">
        <v>1.6539999999999899</v>
      </c>
      <c r="C9" s="28">
        <v>1.44534146341464</v>
      </c>
      <c r="D9" s="28">
        <f t="shared" si="0"/>
        <v>8.4516703296703195</v>
      </c>
    </row>
    <row r="16" spans="1:4" ht="15" customHeight="1">
      <c r="A16" s="28">
        <v>5.97</v>
      </c>
      <c r="B16" s="28">
        <v>10.63</v>
      </c>
      <c r="C16">
        <f t="shared" ref="C16:C35" si="1">A16-B16</f>
        <v>-4.660000000000001</v>
      </c>
    </row>
    <row r="17" spans="1:3" ht="15" customHeight="1">
      <c r="A17" s="28">
        <v>7.26</v>
      </c>
      <c r="B17" s="28">
        <v>4.1500000000000004</v>
      </c>
      <c r="C17">
        <f t="shared" si="1"/>
        <v>3.1099999999999994</v>
      </c>
    </row>
    <row r="18" spans="1:3" ht="15" customHeight="1">
      <c r="A18" s="28">
        <v>0.41</v>
      </c>
      <c r="B18" s="28">
        <v>3.49</v>
      </c>
      <c r="C18">
        <f t="shared" si="1"/>
        <v>-3.08</v>
      </c>
    </row>
    <row r="19" spans="1:3" ht="15" customHeight="1">
      <c r="A19" s="28">
        <v>8.8000000000000007</v>
      </c>
      <c r="B19" s="28">
        <v>4.87</v>
      </c>
      <c r="C19">
        <f t="shared" si="1"/>
        <v>3.9300000000000006</v>
      </c>
    </row>
    <row r="20" spans="1:3" ht="15" customHeight="1">
      <c r="A20" s="28">
        <v>12.57</v>
      </c>
      <c r="B20" s="28">
        <v>4.09</v>
      </c>
      <c r="C20">
        <f t="shared" si="1"/>
        <v>8.48</v>
      </c>
    </row>
    <row r="21" spans="1:3" ht="15" customHeight="1">
      <c r="A21" s="28">
        <v>1.06</v>
      </c>
      <c r="B21" s="28">
        <v>3.35</v>
      </c>
      <c r="C21">
        <f t="shared" si="1"/>
        <v>-2.29</v>
      </c>
    </row>
    <row r="22" spans="1:3" ht="15" customHeight="1">
      <c r="A22" s="28">
        <v>24.49</v>
      </c>
      <c r="B22" s="28">
        <v>3.83</v>
      </c>
      <c r="C22">
        <f t="shared" si="1"/>
        <v>20.659999999999997</v>
      </c>
    </row>
    <row r="23" spans="1:3" ht="15" customHeight="1">
      <c r="A23" s="28">
        <v>8.1300000000000008</v>
      </c>
      <c r="B23" s="28">
        <v>4.6500000000000004</v>
      </c>
      <c r="C23">
        <f t="shared" si="1"/>
        <v>3.4800000000000004</v>
      </c>
    </row>
    <row r="24" spans="1:3" ht="15" customHeight="1">
      <c r="A24" s="28">
        <v>19.07</v>
      </c>
      <c r="B24" s="28">
        <v>4.8099999999999996</v>
      </c>
      <c r="C24">
        <f t="shared" si="1"/>
        <v>14.260000000000002</v>
      </c>
    </row>
    <row r="25" spans="1:3" ht="15" customHeight="1">
      <c r="A25" s="28">
        <v>10.91</v>
      </c>
      <c r="B25" s="28">
        <v>4.87</v>
      </c>
      <c r="C25">
        <f t="shared" si="1"/>
        <v>6.04</v>
      </c>
    </row>
    <row r="26" spans="1:3" ht="15" customHeight="1">
      <c r="A26" s="28">
        <v>11.29</v>
      </c>
      <c r="B26" s="28">
        <v>6.92</v>
      </c>
      <c r="C26">
        <f t="shared" si="1"/>
        <v>4.3699999999999992</v>
      </c>
    </row>
    <row r="27" spans="1:3" ht="15" customHeight="1">
      <c r="A27" s="28">
        <v>7.47</v>
      </c>
      <c r="B27" s="28">
        <v>3.92</v>
      </c>
      <c r="C27">
        <f t="shared" si="1"/>
        <v>3.55</v>
      </c>
    </row>
    <row r="28" spans="1:3" ht="15" customHeight="1">
      <c r="A28" s="28">
        <v>18.53</v>
      </c>
      <c r="B28" s="28">
        <v>3.92</v>
      </c>
      <c r="C28">
        <f t="shared" si="1"/>
        <v>14.610000000000001</v>
      </c>
    </row>
    <row r="29" spans="1:3" ht="15" customHeight="1">
      <c r="A29" s="28">
        <v>42.52</v>
      </c>
      <c r="B29" s="28">
        <v>3.92</v>
      </c>
      <c r="C29">
        <f t="shared" si="1"/>
        <v>38.6</v>
      </c>
    </row>
    <row r="30" spans="1:3" ht="15" customHeight="1">
      <c r="A30" s="28">
        <v>22.73</v>
      </c>
      <c r="B30" s="28">
        <v>5.33</v>
      </c>
      <c r="C30">
        <f t="shared" si="1"/>
        <v>17.399999999999999</v>
      </c>
    </row>
    <row r="31" spans="1:3" ht="12.75">
      <c r="A31" s="28">
        <v>14.93</v>
      </c>
      <c r="B31" s="28">
        <v>4.09</v>
      </c>
      <c r="C31">
        <f t="shared" si="1"/>
        <v>10.84</v>
      </c>
    </row>
    <row r="32" spans="1:3" ht="12.75">
      <c r="A32" s="28">
        <v>57.38</v>
      </c>
      <c r="B32" s="28">
        <v>5.38</v>
      </c>
      <c r="C32">
        <f t="shared" si="1"/>
        <v>52</v>
      </c>
    </row>
    <row r="33" spans="1:3" ht="12.75">
      <c r="A33" s="28">
        <v>17.079999999999998</v>
      </c>
      <c r="B33" s="28">
        <v>5.77</v>
      </c>
      <c r="C33">
        <f t="shared" si="1"/>
        <v>11.309999999999999</v>
      </c>
    </row>
    <row r="34" spans="1:3" ht="12.75">
      <c r="A34" s="28">
        <v>11.85</v>
      </c>
      <c r="B34" s="28">
        <v>6.43</v>
      </c>
      <c r="C34">
        <f t="shared" si="1"/>
        <v>5.42</v>
      </c>
    </row>
    <row r="35" spans="1:3" ht="12.75">
      <c r="A35" s="28">
        <v>13.11</v>
      </c>
      <c r="B35" s="28">
        <v>4.51</v>
      </c>
      <c r="C35">
        <f t="shared" si="1"/>
        <v>8.6</v>
      </c>
    </row>
  </sheetData>
  <mergeCells count="1">
    <mergeCell ref="A1:D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2"/>
  <sheetViews>
    <sheetView workbookViewId="0"/>
  </sheetViews>
  <sheetFormatPr defaultColWidth="17.28515625" defaultRowHeight="15" customHeight="1"/>
  <cols>
    <col min="1" max="1" width="19.28515625" customWidth="1"/>
    <col min="2" max="2" width="20.5703125" customWidth="1"/>
    <col min="3" max="3" width="16.7109375" customWidth="1"/>
    <col min="4" max="5" width="8.7109375" customWidth="1"/>
    <col min="6" max="6" width="13.42578125" customWidth="1"/>
    <col min="7" max="7" width="15.5703125" customWidth="1"/>
    <col min="8" max="16" width="8.7109375" customWidth="1"/>
  </cols>
  <sheetData>
    <row r="1" spans="1:16" ht="15" customHeight="1">
      <c r="A1" s="4" t="s">
        <v>4</v>
      </c>
      <c r="B1" s="1"/>
      <c r="C1" s="1"/>
      <c r="D1" s="1"/>
      <c r="E1" s="1"/>
      <c r="F1" s="1"/>
      <c r="G1" s="1"/>
      <c r="H1" s="1"/>
      <c r="I1" s="1"/>
      <c r="J1" s="1"/>
      <c r="K1" s="6"/>
      <c r="L1" s="6"/>
      <c r="M1" s="6"/>
      <c r="N1" s="6"/>
      <c r="O1" s="6"/>
      <c r="P1" s="6"/>
    </row>
    <row r="2" spans="1:16" ht="15" customHeight="1">
      <c r="A2" s="1" t="s">
        <v>29</v>
      </c>
      <c r="B2" s="1"/>
      <c r="C2" s="1"/>
      <c r="D2" s="6"/>
      <c r="E2" s="6"/>
      <c r="F2" s="1"/>
      <c r="G2" s="1"/>
      <c r="H2" s="6"/>
      <c r="I2" s="8"/>
      <c r="J2" s="1" t="s">
        <v>31</v>
      </c>
      <c r="K2" s="6"/>
      <c r="L2" s="6"/>
      <c r="M2" s="6"/>
      <c r="N2" s="6"/>
      <c r="O2" s="6"/>
      <c r="P2" s="6"/>
    </row>
    <row r="3" spans="1:16" ht="15" customHeight="1">
      <c r="A3" s="1" t="s">
        <v>32</v>
      </c>
      <c r="B3" s="1"/>
      <c r="C3" s="1"/>
      <c r="D3" s="6"/>
      <c r="E3" s="6"/>
      <c r="F3" s="1"/>
      <c r="G3" s="1"/>
      <c r="H3" s="6"/>
      <c r="I3" s="10"/>
      <c r="J3" s="1" t="s">
        <v>33</v>
      </c>
      <c r="K3" s="6"/>
      <c r="L3" s="6"/>
      <c r="M3" s="6"/>
      <c r="N3" s="6"/>
      <c r="O3" s="6"/>
      <c r="P3" s="6"/>
    </row>
    <row r="4" spans="1:16" ht="15" customHeight="1">
      <c r="A4" s="1" t="s">
        <v>34</v>
      </c>
      <c r="B4" s="1"/>
      <c r="C4" s="1"/>
      <c r="D4" s="6"/>
      <c r="E4" s="6"/>
      <c r="F4" s="1"/>
      <c r="G4" s="1"/>
      <c r="H4" s="6"/>
      <c r="I4" s="6"/>
      <c r="J4" s="6"/>
      <c r="K4" s="6"/>
      <c r="L4" s="6"/>
      <c r="M4" s="6"/>
      <c r="N4" s="6"/>
      <c r="O4" s="6"/>
      <c r="P4" s="6"/>
    </row>
    <row r="5" spans="1:16" ht="15" customHeight="1">
      <c r="A5" s="1"/>
      <c r="B5" s="1"/>
      <c r="C5" s="1"/>
      <c r="D5" s="1"/>
      <c r="E5" s="1"/>
      <c r="F5" s="1"/>
      <c r="G5" s="1"/>
      <c r="H5" s="1"/>
      <c r="I5" s="1"/>
      <c r="J5" s="1"/>
      <c r="K5" s="6"/>
      <c r="L5" s="6"/>
      <c r="M5" s="6"/>
      <c r="N5" s="6"/>
      <c r="O5" s="6"/>
      <c r="P5" s="6"/>
    </row>
    <row r="6" spans="1:16" ht="15" customHeight="1">
      <c r="A6" s="3" t="s">
        <v>35</v>
      </c>
      <c r="B6" s="1"/>
      <c r="C6" s="1"/>
      <c r="D6" s="6"/>
      <c r="E6" s="6"/>
      <c r="F6" s="1"/>
      <c r="G6" s="1"/>
      <c r="H6" s="6"/>
      <c r="I6" s="6"/>
      <c r="J6" s="6"/>
      <c r="K6" s="6"/>
      <c r="L6" s="6"/>
      <c r="M6" s="6"/>
      <c r="N6" s="6"/>
      <c r="O6" s="6"/>
      <c r="P6" s="6"/>
    </row>
    <row r="7" spans="1:16" ht="15" customHeight="1">
      <c r="A7" s="3"/>
      <c r="B7" s="1"/>
      <c r="C7" s="1"/>
      <c r="D7" s="1"/>
      <c r="E7" s="1"/>
      <c r="F7" s="1"/>
      <c r="G7" s="1"/>
      <c r="H7" s="1"/>
      <c r="I7" s="1"/>
      <c r="J7" s="1"/>
      <c r="K7" s="6"/>
      <c r="L7" s="6"/>
      <c r="M7" s="6"/>
      <c r="N7" s="6"/>
      <c r="O7" s="6"/>
      <c r="P7" s="6"/>
    </row>
    <row r="8" spans="1:16" ht="15" customHeight="1">
      <c r="A8" s="1" t="s">
        <v>38</v>
      </c>
      <c r="B8" s="1"/>
      <c r="C8" s="1"/>
      <c r="D8" s="6"/>
      <c r="E8" s="6"/>
      <c r="F8" s="1"/>
      <c r="G8" s="1"/>
      <c r="H8" s="6"/>
      <c r="I8" s="6"/>
      <c r="J8" s="6"/>
      <c r="K8" s="6"/>
      <c r="L8" s="6"/>
      <c r="M8" s="6"/>
      <c r="N8" s="6"/>
      <c r="O8" s="6"/>
      <c r="P8" s="6"/>
    </row>
    <row r="9" spans="1:16" ht="15" customHeight="1">
      <c r="A9" s="1"/>
      <c r="B9" s="1"/>
      <c r="C9" s="1"/>
      <c r="D9" s="1"/>
      <c r="E9" s="1"/>
      <c r="F9" s="1"/>
      <c r="G9" s="1"/>
      <c r="H9" s="1"/>
      <c r="I9" s="1"/>
      <c r="J9" s="1"/>
      <c r="K9" s="6"/>
      <c r="L9" s="6"/>
      <c r="M9" s="6"/>
      <c r="N9" s="6"/>
      <c r="O9" s="6"/>
      <c r="P9" s="6"/>
    </row>
    <row r="10" spans="1:16" ht="15" customHeight="1">
      <c r="A10" s="1" t="s">
        <v>40</v>
      </c>
      <c r="B10" s="1"/>
      <c r="C10" s="1"/>
      <c r="D10" s="1"/>
      <c r="E10" s="1"/>
      <c r="F10" s="1"/>
      <c r="G10" s="1"/>
      <c r="H10" s="1"/>
      <c r="I10" s="1"/>
      <c r="J10" s="1"/>
      <c r="K10" s="6"/>
      <c r="L10" s="6"/>
      <c r="M10" s="6"/>
      <c r="N10" s="6"/>
      <c r="O10" s="6"/>
      <c r="P10" s="6"/>
    </row>
    <row r="11" spans="1:16" ht="15" customHeight="1">
      <c r="A11" s="1"/>
      <c r="B11" s="1"/>
      <c r="C11" s="1"/>
      <c r="D11" s="6"/>
      <c r="E11" s="6"/>
      <c r="F11" s="1"/>
      <c r="G11" s="1"/>
      <c r="H11" s="6"/>
      <c r="I11" s="6"/>
      <c r="J11" s="6"/>
      <c r="K11" s="6"/>
      <c r="L11" s="6"/>
      <c r="M11" s="6"/>
      <c r="N11" s="6"/>
      <c r="O11" s="6"/>
      <c r="P11" s="6"/>
    </row>
    <row r="12" spans="1:16" ht="15" customHeight="1">
      <c r="A12" s="1" t="s">
        <v>41</v>
      </c>
      <c r="B12" s="1"/>
      <c r="C12" s="1"/>
      <c r="D12" s="6"/>
      <c r="E12" s="6"/>
      <c r="F12" s="1"/>
      <c r="G12" s="1"/>
      <c r="H12" s="6"/>
      <c r="I12" s="6"/>
      <c r="J12" s="6"/>
      <c r="K12" s="6"/>
      <c r="L12" s="6"/>
      <c r="M12" s="6"/>
      <c r="N12" s="6"/>
      <c r="O12" s="6"/>
      <c r="P12" s="6"/>
    </row>
    <row r="13" spans="1:16" ht="15" customHeight="1">
      <c r="A13" s="1"/>
      <c r="B13" s="1"/>
      <c r="C13" s="1"/>
      <c r="D13" s="6"/>
      <c r="E13" s="6"/>
      <c r="F13" s="1"/>
      <c r="G13" s="1"/>
      <c r="H13" s="6"/>
      <c r="I13" s="6"/>
      <c r="J13" s="6"/>
      <c r="K13" s="6"/>
      <c r="L13" s="6"/>
      <c r="M13" s="6"/>
      <c r="N13" s="6"/>
      <c r="O13" s="6"/>
      <c r="P13" s="6"/>
    </row>
    <row r="14" spans="1:16" ht="15" customHeight="1">
      <c r="A14" s="4"/>
      <c r="B14" s="4"/>
      <c r="C14" s="1"/>
      <c r="D14" s="1"/>
      <c r="E14" s="1"/>
      <c r="F14" s="15"/>
      <c r="G14" s="17"/>
      <c r="H14" s="6"/>
      <c r="I14" s="6"/>
      <c r="J14" s="6"/>
      <c r="K14" s="6"/>
      <c r="L14" s="6"/>
      <c r="M14" s="6"/>
      <c r="N14" s="6"/>
      <c r="O14" s="6"/>
      <c r="P14" s="6"/>
    </row>
    <row r="15" spans="1:16" ht="15" customHeight="1">
      <c r="A15" s="1"/>
      <c r="B15" s="1"/>
      <c r="C15" s="1"/>
      <c r="D15" s="6"/>
      <c r="E15" s="6"/>
      <c r="F15" s="1"/>
      <c r="G15" s="1"/>
      <c r="H15" s="6"/>
      <c r="I15" s="6"/>
      <c r="J15" s="6"/>
      <c r="K15" s="6"/>
      <c r="L15" s="6"/>
      <c r="M15" s="6"/>
      <c r="N15" s="6"/>
      <c r="O15" s="6"/>
      <c r="P15" s="6"/>
    </row>
    <row r="16" spans="1:16" ht="15" customHeight="1">
      <c r="A16" s="123" t="s">
        <v>42</v>
      </c>
      <c r="B16" s="115"/>
      <c r="C16" s="115"/>
      <c r="D16" s="115"/>
      <c r="E16" s="20"/>
      <c r="F16" s="20"/>
      <c r="G16" s="20"/>
      <c r="H16" s="21" t="s">
        <v>45</v>
      </c>
      <c r="I16" s="6"/>
      <c r="J16" s="6"/>
      <c r="K16" s="6"/>
      <c r="L16" s="6"/>
      <c r="M16" s="6"/>
      <c r="N16" s="6"/>
      <c r="O16" s="6"/>
      <c r="P16" s="6"/>
    </row>
    <row r="17" spans="1:16" ht="15" customHeight="1">
      <c r="A17" s="22" t="s">
        <v>46</v>
      </c>
      <c r="B17" s="22"/>
      <c r="C17" s="22"/>
      <c r="D17" s="22"/>
      <c r="E17" s="1"/>
      <c r="F17" s="24"/>
      <c r="G17" s="1"/>
      <c r="H17" s="26">
        <f t="shared" ref="H17:H21" si="0">SUM(D17:G17)</f>
        <v>0</v>
      </c>
      <c r="I17" s="6"/>
      <c r="J17" s="6"/>
      <c r="K17" s="6"/>
      <c r="L17" s="6"/>
      <c r="M17" s="6"/>
      <c r="N17" s="6"/>
      <c r="O17" s="6"/>
      <c r="P17" s="6"/>
    </row>
    <row r="18" spans="1:16" ht="15" customHeight="1">
      <c r="A18" s="28" t="s">
        <v>48</v>
      </c>
      <c r="E18" s="1"/>
      <c r="F18" s="1"/>
      <c r="G18" s="1"/>
      <c r="H18" s="21">
        <f t="shared" si="0"/>
        <v>0</v>
      </c>
      <c r="I18" s="6"/>
      <c r="J18" s="6"/>
      <c r="K18" s="6"/>
      <c r="L18" s="6"/>
      <c r="M18" s="6"/>
      <c r="N18" s="6"/>
      <c r="O18" s="6"/>
      <c r="P18" s="6"/>
    </row>
    <row r="19" spans="1:16" ht="15" customHeight="1">
      <c r="A19" s="28" t="s">
        <v>49</v>
      </c>
      <c r="E19" s="1"/>
      <c r="F19" s="1"/>
      <c r="G19" s="1"/>
      <c r="H19" s="21">
        <f t="shared" si="0"/>
        <v>0</v>
      </c>
      <c r="I19" s="6"/>
      <c r="J19" s="6"/>
      <c r="K19" s="6"/>
      <c r="L19" s="6"/>
      <c r="M19" s="6"/>
      <c r="N19" s="6"/>
      <c r="O19" s="6"/>
      <c r="P19" s="6"/>
    </row>
    <row r="20" spans="1:16" ht="15" customHeight="1">
      <c r="A20" s="28" t="s">
        <v>51</v>
      </c>
      <c r="E20" s="1"/>
      <c r="F20" s="1"/>
      <c r="G20" s="1"/>
      <c r="H20" s="21">
        <f t="shared" si="0"/>
        <v>0</v>
      </c>
      <c r="I20" s="6"/>
      <c r="J20" s="6"/>
      <c r="K20" s="6"/>
      <c r="L20" s="6"/>
      <c r="M20" s="6"/>
      <c r="N20" s="6"/>
      <c r="O20" s="6"/>
      <c r="P20" s="6"/>
    </row>
    <row r="21" spans="1:16" ht="15" customHeight="1">
      <c r="A21" s="31" t="s">
        <v>52</v>
      </c>
      <c r="E21" s="1"/>
      <c r="F21" s="1"/>
      <c r="G21" s="1"/>
      <c r="H21" s="21">
        <f t="shared" si="0"/>
        <v>0</v>
      </c>
      <c r="I21" s="6"/>
      <c r="J21" s="6"/>
      <c r="K21" s="6"/>
      <c r="L21" s="6"/>
      <c r="M21" s="6"/>
      <c r="N21" s="6"/>
      <c r="O21" s="6"/>
      <c r="P21" s="6"/>
    </row>
    <row r="22" spans="1:16" ht="15" customHeight="1">
      <c r="A22" s="31" t="s">
        <v>53</v>
      </c>
      <c r="E22" s="20"/>
      <c r="F22" s="20"/>
      <c r="G22" s="20"/>
      <c r="H22" s="21"/>
      <c r="I22" s="6"/>
      <c r="J22" s="6"/>
      <c r="K22" s="6"/>
      <c r="L22" s="6"/>
      <c r="M22" s="6"/>
      <c r="N22" s="6"/>
      <c r="O22" s="6"/>
      <c r="P22" s="6"/>
    </row>
    <row r="23" spans="1:16" ht="15" customHeight="1">
      <c r="A23" s="33">
        <v>42751</v>
      </c>
      <c r="B23" s="13" t="s">
        <v>55</v>
      </c>
      <c r="C23" s="1"/>
      <c r="D23" s="24"/>
      <c r="E23" s="1"/>
      <c r="F23" s="1"/>
      <c r="G23" s="1"/>
      <c r="H23" s="21">
        <f t="shared" ref="H23:H27" si="1">SUM(D23:G23)</f>
        <v>0</v>
      </c>
      <c r="I23" s="6"/>
      <c r="J23" s="6"/>
      <c r="K23" s="6"/>
      <c r="L23" s="6"/>
      <c r="M23" s="6"/>
      <c r="N23" s="6"/>
      <c r="O23" s="6"/>
      <c r="P23" s="6"/>
    </row>
    <row r="24" spans="1:16" ht="15" customHeight="1">
      <c r="A24" s="1"/>
      <c r="B24" s="1"/>
      <c r="C24" s="1"/>
      <c r="D24" s="1"/>
      <c r="E24" s="1"/>
      <c r="F24" s="1"/>
      <c r="G24" s="1"/>
      <c r="H24" s="21">
        <f t="shared" si="1"/>
        <v>0</v>
      </c>
      <c r="I24" s="6"/>
      <c r="J24" s="6"/>
      <c r="K24" s="6"/>
      <c r="L24" s="6"/>
      <c r="M24" s="6"/>
      <c r="N24" s="6"/>
      <c r="O24" s="6"/>
      <c r="P24" s="6"/>
    </row>
    <row r="25" spans="1:16" ht="15" customHeight="1">
      <c r="A25" s="1"/>
      <c r="B25" s="1"/>
      <c r="C25" s="1"/>
      <c r="D25" s="24"/>
      <c r="E25" s="1"/>
      <c r="F25" s="1"/>
      <c r="G25" s="1"/>
      <c r="H25" s="21">
        <f t="shared" si="1"/>
        <v>0</v>
      </c>
      <c r="I25" s="6"/>
      <c r="J25" s="6"/>
      <c r="K25" s="6"/>
      <c r="L25" s="6"/>
      <c r="M25" s="6"/>
      <c r="N25" s="6"/>
      <c r="O25" s="6"/>
      <c r="P25" s="6"/>
    </row>
    <row r="26" spans="1:16" ht="15" customHeight="1">
      <c r="A26" s="1"/>
      <c r="B26" s="1"/>
      <c r="C26" s="1"/>
      <c r="D26" s="1"/>
      <c r="E26" s="1"/>
      <c r="F26" s="1"/>
      <c r="G26" s="1"/>
      <c r="H26" s="21">
        <f t="shared" si="1"/>
        <v>0</v>
      </c>
      <c r="I26" s="6"/>
      <c r="J26" s="6"/>
      <c r="K26" s="6"/>
      <c r="L26" s="6"/>
      <c r="M26" s="6"/>
      <c r="N26" s="6"/>
      <c r="O26" s="6"/>
      <c r="P26" s="6"/>
    </row>
    <row r="27" spans="1:16" ht="15" customHeight="1">
      <c r="A27" s="1"/>
      <c r="B27" s="1"/>
      <c r="C27" s="1"/>
      <c r="D27" s="1"/>
      <c r="E27" s="1"/>
      <c r="F27" s="1"/>
      <c r="G27" s="1"/>
      <c r="H27" s="21">
        <f t="shared" si="1"/>
        <v>0</v>
      </c>
      <c r="I27" s="6"/>
      <c r="J27" s="6"/>
      <c r="K27" s="6"/>
      <c r="L27" s="6"/>
      <c r="M27" s="6"/>
      <c r="N27" s="6"/>
      <c r="O27" s="6"/>
      <c r="P27" s="6"/>
    </row>
    <row r="28" spans="1:16" ht="15" customHeight="1">
      <c r="A28" s="1"/>
      <c r="B28" s="1"/>
      <c r="C28" s="1"/>
      <c r="D28" s="1"/>
      <c r="E28" s="1"/>
      <c r="F28" s="1"/>
      <c r="G28" s="1"/>
      <c r="H28" s="21"/>
      <c r="I28" s="6"/>
      <c r="J28" s="6"/>
      <c r="K28" s="6"/>
      <c r="L28" s="6"/>
      <c r="M28" s="6"/>
      <c r="N28" s="6"/>
      <c r="O28" s="6"/>
      <c r="P28" s="6"/>
    </row>
    <row r="29" spans="1:16" ht="15" customHeight="1">
      <c r="A29" s="1"/>
      <c r="B29" s="1"/>
      <c r="C29" s="1"/>
      <c r="D29" s="20"/>
      <c r="E29" s="20"/>
      <c r="F29" s="20"/>
      <c r="G29" s="20"/>
      <c r="H29" s="21"/>
      <c r="I29" s="6"/>
      <c r="J29" s="6"/>
      <c r="K29" s="6"/>
      <c r="L29" s="6"/>
      <c r="M29" s="6"/>
      <c r="N29" s="6"/>
      <c r="O29" s="6"/>
      <c r="P29" s="6"/>
    </row>
    <row r="30" spans="1:16" ht="15" customHeight="1">
      <c r="A30" s="1"/>
      <c r="B30" s="1"/>
      <c r="C30" s="1"/>
      <c r="D30" s="1"/>
      <c r="E30" s="1"/>
      <c r="F30" s="1"/>
      <c r="G30" s="1"/>
      <c r="H30" s="21">
        <f t="shared" ref="H30:H34" si="2">SUM(D30:G30)</f>
        <v>0</v>
      </c>
      <c r="I30" s="6"/>
      <c r="J30" s="6"/>
      <c r="K30" s="6"/>
      <c r="L30" s="6"/>
      <c r="M30" s="6"/>
      <c r="N30" s="6"/>
      <c r="O30" s="6"/>
      <c r="P30" s="6"/>
    </row>
    <row r="31" spans="1:16" ht="15" customHeight="1">
      <c r="A31" s="1"/>
      <c r="B31" s="1"/>
      <c r="C31" s="1"/>
      <c r="D31" s="1"/>
      <c r="E31" s="1"/>
      <c r="F31" s="1"/>
      <c r="G31" s="1"/>
      <c r="H31" s="21">
        <f t="shared" si="2"/>
        <v>0</v>
      </c>
      <c r="I31" s="6"/>
      <c r="J31" s="6"/>
      <c r="K31" s="6"/>
      <c r="L31" s="6"/>
      <c r="M31" s="6"/>
      <c r="N31" s="6"/>
      <c r="O31" s="6"/>
      <c r="P31" s="6"/>
    </row>
    <row r="32" spans="1:16" ht="15" customHeight="1">
      <c r="A32" s="1"/>
      <c r="B32" s="1"/>
      <c r="C32" s="1"/>
      <c r="D32" s="1"/>
      <c r="E32" s="1"/>
      <c r="F32" s="1"/>
      <c r="G32" s="1"/>
      <c r="H32" s="21">
        <f t="shared" si="2"/>
        <v>0</v>
      </c>
      <c r="I32" s="6"/>
      <c r="J32" s="6"/>
      <c r="K32" s="6"/>
      <c r="L32" s="6"/>
      <c r="M32" s="6"/>
      <c r="N32" s="6"/>
      <c r="O32" s="6"/>
      <c r="P32" s="6"/>
    </row>
    <row r="33" spans="1:16" ht="15" customHeight="1">
      <c r="A33" s="1"/>
      <c r="B33" s="1"/>
      <c r="C33" s="1"/>
      <c r="D33" s="24"/>
      <c r="E33" s="1"/>
      <c r="F33" s="1"/>
      <c r="G33" s="1"/>
      <c r="H33" s="21">
        <f t="shared" si="2"/>
        <v>0</v>
      </c>
      <c r="I33" s="6"/>
      <c r="J33" s="6"/>
      <c r="K33" s="6"/>
      <c r="L33" s="6"/>
      <c r="M33" s="6"/>
      <c r="N33" s="6"/>
      <c r="O33" s="6"/>
      <c r="P33" s="6"/>
    </row>
    <row r="34" spans="1:16" ht="15" customHeight="1">
      <c r="A34" s="1"/>
      <c r="B34" s="1"/>
      <c r="C34" s="1"/>
      <c r="D34" s="1"/>
      <c r="E34" s="1"/>
      <c r="F34" s="1"/>
      <c r="G34" s="1"/>
      <c r="H34" s="21">
        <f t="shared" si="2"/>
        <v>0</v>
      </c>
      <c r="I34" s="6"/>
      <c r="J34" s="6"/>
      <c r="K34" s="6"/>
      <c r="L34" s="6"/>
      <c r="M34" s="6"/>
      <c r="N34" s="6"/>
      <c r="O34" s="6"/>
      <c r="P34" s="6"/>
    </row>
    <row r="35" spans="1:16" ht="15" customHeight="1">
      <c r="A35" s="1"/>
      <c r="B35" s="1"/>
      <c r="C35" s="1"/>
      <c r="D35" s="1"/>
      <c r="E35" s="1"/>
      <c r="F35" s="1"/>
      <c r="G35" s="1"/>
      <c r="H35" s="21"/>
      <c r="I35" s="6"/>
      <c r="J35" s="6"/>
      <c r="K35" s="6"/>
      <c r="L35" s="6"/>
      <c r="M35" s="6"/>
      <c r="N35" s="6"/>
      <c r="O35" s="6"/>
      <c r="P35" s="6"/>
    </row>
    <row r="36" spans="1:16" ht="15" customHeight="1">
      <c r="A36" s="1"/>
      <c r="B36" s="1"/>
      <c r="C36" s="1"/>
      <c r="D36" s="20"/>
      <c r="E36" s="20"/>
      <c r="F36" s="20"/>
      <c r="G36" s="20"/>
      <c r="H36" s="21"/>
      <c r="I36" s="6"/>
      <c r="J36" s="6"/>
      <c r="K36" s="6"/>
      <c r="L36" s="6"/>
      <c r="M36" s="6"/>
      <c r="N36" s="6"/>
      <c r="O36" s="6"/>
      <c r="P36" s="6"/>
    </row>
    <row r="37" spans="1:16" ht="15" customHeight="1">
      <c r="A37" s="1"/>
      <c r="B37" s="1"/>
      <c r="C37" s="1"/>
      <c r="D37" s="1"/>
      <c r="E37" s="1"/>
      <c r="F37" s="1"/>
      <c r="G37" s="1"/>
      <c r="H37" s="21">
        <f t="shared" ref="H37:H41" si="3">SUM(D37:G37)</f>
        <v>0</v>
      </c>
      <c r="I37" s="6"/>
      <c r="J37" s="6"/>
      <c r="K37" s="6"/>
      <c r="L37" s="6"/>
      <c r="M37" s="6"/>
      <c r="N37" s="6"/>
      <c r="O37" s="6"/>
      <c r="P37" s="6"/>
    </row>
    <row r="38" spans="1:16" ht="15" customHeight="1">
      <c r="A38" s="1"/>
      <c r="B38" s="1"/>
      <c r="C38" s="1"/>
      <c r="D38" s="1"/>
      <c r="E38" s="1"/>
      <c r="F38" s="1"/>
      <c r="G38" s="1"/>
      <c r="H38" s="21">
        <f t="shared" si="3"/>
        <v>0</v>
      </c>
      <c r="I38" s="6"/>
      <c r="J38" s="6"/>
      <c r="K38" s="6"/>
      <c r="L38" s="6"/>
      <c r="M38" s="6"/>
      <c r="N38" s="6"/>
      <c r="O38" s="6"/>
      <c r="P38" s="6"/>
    </row>
    <row r="39" spans="1:16" ht="15" customHeight="1">
      <c r="A39" s="1"/>
      <c r="B39" s="1"/>
      <c r="C39" s="1"/>
      <c r="D39" s="1"/>
      <c r="E39" s="1"/>
      <c r="F39" s="1"/>
      <c r="G39" s="1"/>
      <c r="H39" s="21">
        <f t="shared" si="3"/>
        <v>0</v>
      </c>
      <c r="I39" s="6"/>
      <c r="J39" s="6"/>
      <c r="K39" s="6"/>
      <c r="L39" s="6"/>
      <c r="M39" s="6"/>
      <c r="N39" s="6"/>
      <c r="O39" s="6"/>
      <c r="P39" s="6"/>
    </row>
    <row r="40" spans="1:16" ht="15" customHeight="1">
      <c r="A40" s="1"/>
      <c r="B40" s="1"/>
      <c r="C40" s="1"/>
      <c r="D40" s="1"/>
      <c r="E40" s="1"/>
      <c r="F40" s="1"/>
      <c r="G40" s="1"/>
      <c r="H40" s="21">
        <f t="shared" si="3"/>
        <v>0</v>
      </c>
      <c r="I40" s="6"/>
      <c r="J40" s="6"/>
      <c r="K40" s="6"/>
      <c r="L40" s="6"/>
      <c r="M40" s="6"/>
      <c r="N40" s="6"/>
      <c r="O40" s="6"/>
      <c r="P40" s="6"/>
    </row>
    <row r="41" spans="1:16" ht="15" customHeight="1">
      <c r="A41" s="1"/>
      <c r="B41" s="1"/>
      <c r="C41" s="1"/>
      <c r="D41" s="1"/>
      <c r="E41" s="24"/>
      <c r="F41" s="1"/>
      <c r="G41" s="1"/>
      <c r="H41" s="21">
        <f t="shared" si="3"/>
        <v>0</v>
      </c>
      <c r="I41" s="6"/>
      <c r="J41" s="6"/>
      <c r="K41" s="6"/>
      <c r="L41" s="6"/>
      <c r="M41" s="6"/>
      <c r="N41" s="6"/>
      <c r="O41" s="6"/>
      <c r="P41" s="6"/>
    </row>
    <row r="42" spans="1:16" ht="15" customHeight="1">
      <c r="A42" s="1"/>
      <c r="B42" s="1"/>
      <c r="C42" s="1"/>
      <c r="D42" s="6"/>
      <c r="E42" s="6"/>
      <c r="F42" s="1"/>
      <c r="G42" s="1"/>
      <c r="H42" s="6"/>
      <c r="I42" s="6"/>
      <c r="J42" s="6"/>
      <c r="K42" s="6"/>
      <c r="L42" s="6"/>
      <c r="M42" s="6"/>
      <c r="N42" s="6"/>
      <c r="O42" s="6"/>
      <c r="P42" s="6"/>
    </row>
    <row r="43" spans="1:16" ht="15" customHeight="1">
      <c r="A43" s="1"/>
      <c r="B43" s="1"/>
      <c r="C43" s="1"/>
      <c r="D43" s="6"/>
      <c r="E43" s="6"/>
      <c r="F43" s="1"/>
      <c r="G43" s="1"/>
      <c r="H43" s="6"/>
      <c r="I43" s="6"/>
      <c r="J43" s="6"/>
      <c r="K43" s="6"/>
      <c r="L43" s="6"/>
      <c r="M43" s="6"/>
      <c r="N43" s="6"/>
      <c r="O43" s="6"/>
      <c r="P43" s="6"/>
    </row>
    <row r="44" spans="1:16" ht="15" customHeight="1">
      <c r="A44" s="1"/>
      <c r="B44" s="1"/>
      <c r="C44" s="1"/>
      <c r="D44" s="6"/>
      <c r="E44" s="6"/>
      <c r="F44" s="1"/>
      <c r="G44" s="1"/>
      <c r="H44" s="6"/>
      <c r="I44" s="6"/>
      <c r="J44" s="6"/>
      <c r="K44" s="6"/>
      <c r="L44" s="6"/>
      <c r="M44" s="6"/>
      <c r="N44" s="6"/>
      <c r="O44" s="6"/>
      <c r="P44" s="6"/>
    </row>
    <row r="45" spans="1:16" ht="15" customHeight="1">
      <c r="A45" s="1"/>
      <c r="B45" s="1"/>
      <c r="C45" s="1"/>
      <c r="D45" s="6"/>
      <c r="E45" s="6"/>
      <c r="F45" s="1"/>
      <c r="G45" s="1"/>
      <c r="H45" s="6"/>
      <c r="I45" s="6"/>
      <c r="J45" s="6"/>
      <c r="K45" s="6"/>
      <c r="L45" s="6"/>
      <c r="M45" s="6"/>
      <c r="N45" s="6"/>
      <c r="O45" s="6"/>
      <c r="P45" s="6"/>
    </row>
    <row r="46" spans="1:16" ht="15" customHeight="1">
      <c r="A46" s="1"/>
      <c r="B46" s="1"/>
      <c r="C46" s="1"/>
      <c r="D46" s="6"/>
      <c r="E46" s="6"/>
      <c r="F46" s="1"/>
      <c r="G46" s="1"/>
      <c r="H46" s="6"/>
      <c r="I46" s="6"/>
      <c r="J46" s="6"/>
      <c r="K46" s="6"/>
      <c r="L46" s="6"/>
      <c r="M46" s="6"/>
      <c r="N46" s="6"/>
      <c r="O46" s="6"/>
      <c r="P46" s="6"/>
    </row>
    <row r="47" spans="1:16" ht="15" customHeight="1">
      <c r="A47" s="4"/>
      <c r="B47" s="4"/>
      <c r="C47" s="4"/>
      <c r="D47" s="6"/>
      <c r="E47" s="6"/>
      <c r="F47" s="1"/>
      <c r="G47" s="1"/>
      <c r="H47" s="6"/>
      <c r="I47" s="6"/>
      <c r="J47" s="6"/>
      <c r="K47" s="6"/>
      <c r="L47" s="6"/>
      <c r="M47" s="6"/>
      <c r="N47" s="6"/>
      <c r="O47" s="6"/>
      <c r="P47" s="6"/>
    </row>
    <row r="48" spans="1:16" ht="15" customHeight="1">
      <c r="A48" s="4"/>
      <c r="B48" s="4"/>
      <c r="C48" s="4"/>
      <c r="D48" s="1"/>
      <c r="E48" s="1"/>
      <c r="F48" s="1"/>
      <c r="G48" s="1"/>
      <c r="H48" s="1"/>
      <c r="I48" s="1"/>
      <c r="J48" s="1"/>
      <c r="K48" s="6"/>
      <c r="L48" s="6"/>
      <c r="M48" s="6"/>
      <c r="N48" s="6"/>
      <c r="O48" s="6"/>
      <c r="P48" s="6"/>
    </row>
    <row r="49" spans="1:16" ht="15" customHeight="1">
      <c r="A49" s="1"/>
      <c r="B49" s="1"/>
      <c r="C49" s="1"/>
      <c r="D49" s="1"/>
      <c r="E49" s="6"/>
      <c r="F49" s="1"/>
      <c r="G49" s="1"/>
      <c r="H49" s="6"/>
      <c r="I49" s="6"/>
      <c r="J49" s="6"/>
      <c r="K49" s="6"/>
      <c r="L49" s="6"/>
      <c r="M49" s="6"/>
      <c r="N49" s="6"/>
      <c r="O49" s="6"/>
      <c r="P49" s="6"/>
    </row>
    <row r="50" spans="1:16" ht="15" customHeight="1">
      <c r="C50" s="1"/>
      <c r="D50" s="1"/>
      <c r="E50" s="6"/>
      <c r="F50" s="1"/>
      <c r="G50" s="1"/>
      <c r="H50" s="6"/>
      <c r="I50" s="6"/>
      <c r="J50" s="6"/>
      <c r="K50" s="6"/>
      <c r="L50" s="6"/>
      <c r="M50" s="6"/>
      <c r="N50" s="6"/>
      <c r="O50" s="6"/>
      <c r="P50" s="6"/>
    </row>
    <row r="51" spans="1:16" ht="15" customHeight="1">
      <c r="A51" s="1"/>
      <c r="B51" s="1"/>
      <c r="C51" s="1"/>
      <c r="D51" s="1"/>
      <c r="E51" s="6"/>
      <c r="F51" s="1"/>
      <c r="G51" s="1"/>
      <c r="H51" s="6"/>
      <c r="I51" s="6"/>
      <c r="J51" s="6"/>
      <c r="K51" s="6"/>
      <c r="L51" s="6"/>
      <c r="M51" s="6"/>
      <c r="N51" s="6"/>
      <c r="O51" s="6"/>
      <c r="P51" s="6"/>
    </row>
    <row r="52" spans="1:16" ht="15" customHeight="1">
      <c r="A52" s="1"/>
      <c r="B52" s="1"/>
      <c r="C52" s="1"/>
      <c r="D52" s="1"/>
      <c r="E52" s="6"/>
      <c r="F52" s="1"/>
      <c r="G52" s="1"/>
      <c r="H52" s="6"/>
      <c r="I52" s="6"/>
      <c r="J52" s="6"/>
      <c r="K52" s="6"/>
      <c r="L52" s="6"/>
      <c r="M52" s="6"/>
      <c r="N52" s="6"/>
      <c r="O52" s="6"/>
      <c r="P52" s="6"/>
    </row>
    <row r="53" spans="1:16" ht="15" customHeight="1">
      <c r="A53" s="1"/>
      <c r="B53" s="1"/>
      <c r="C53" s="1"/>
      <c r="D53" s="1"/>
      <c r="E53" s="6"/>
      <c r="F53" s="1"/>
      <c r="G53" s="1"/>
      <c r="H53" s="6"/>
      <c r="I53" s="6"/>
      <c r="J53" s="6"/>
      <c r="K53" s="6"/>
      <c r="L53" s="6"/>
      <c r="M53" s="6"/>
      <c r="N53" s="6"/>
      <c r="O53" s="6"/>
      <c r="P53" s="6"/>
    </row>
    <row r="54" spans="1:16" ht="15" customHeight="1">
      <c r="A54" s="1"/>
      <c r="B54" s="1"/>
      <c r="C54" s="1"/>
      <c r="D54" s="1"/>
      <c r="E54" s="6"/>
      <c r="F54" s="1"/>
      <c r="G54" s="1"/>
      <c r="H54" s="6"/>
      <c r="I54" s="6"/>
      <c r="J54" s="6"/>
      <c r="K54" s="6"/>
      <c r="L54" s="6"/>
      <c r="M54" s="6"/>
      <c r="N54" s="6"/>
      <c r="O54" s="6"/>
      <c r="P54" s="6"/>
    </row>
    <row r="55" spans="1:16" ht="15" customHeight="1">
      <c r="A55" s="1"/>
      <c r="B55" s="1"/>
      <c r="C55" s="1"/>
      <c r="D55" s="1"/>
      <c r="E55" s="6"/>
      <c r="F55" s="1"/>
      <c r="G55" s="1"/>
      <c r="H55" s="6"/>
      <c r="I55" s="6"/>
      <c r="J55" s="6"/>
      <c r="K55" s="6"/>
      <c r="L55" s="6"/>
      <c r="M55" s="6"/>
      <c r="N55" s="6"/>
      <c r="O55" s="6"/>
      <c r="P55" s="6"/>
    </row>
    <row r="56" spans="1:16" ht="15" customHeight="1">
      <c r="A56" s="1"/>
      <c r="B56" s="1"/>
      <c r="C56" s="1"/>
      <c r="D56" s="1"/>
      <c r="E56" s="6"/>
      <c r="F56" s="1"/>
      <c r="G56" s="1"/>
      <c r="H56" s="6"/>
      <c r="I56" s="6"/>
      <c r="J56" s="6"/>
      <c r="K56" s="6"/>
      <c r="L56" s="6"/>
      <c r="M56" s="6"/>
      <c r="N56" s="6"/>
      <c r="O56" s="6"/>
      <c r="P56" s="6"/>
    </row>
    <row r="57" spans="1:16" ht="15" customHeight="1">
      <c r="A57" s="1"/>
      <c r="B57" s="1"/>
      <c r="C57" s="1"/>
      <c r="D57" s="1"/>
      <c r="E57" s="6"/>
      <c r="F57" s="1"/>
      <c r="G57" s="1"/>
      <c r="H57" s="6"/>
      <c r="I57" s="6"/>
      <c r="J57" s="6"/>
      <c r="K57" s="6"/>
      <c r="L57" s="6"/>
      <c r="M57" s="6"/>
      <c r="N57" s="6"/>
      <c r="O57" s="6"/>
      <c r="P57" s="6"/>
    </row>
    <row r="58" spans="1:16" ht="15" customHeight="1">
      <c r="A58" s="1"/>
      <c r="B58" s="1"/>
      <c r="C58" s="1"/>
      <c r="D58" s="1"/>
      <c r="E58" s="6"/>
      <c r="F58" s="1"/>
      <c r="G58" s="1"/>
      <c r="H58" s="6"/>
      <c r="I58" s="6"/>
      <c r="J58" s="6"/>
      <c r="K58" s="6"/>
      <c r="L58" s="6"/>
      <c r="M58" s="6"/>
      <c r="N58" s="6"/>
      <c r="O58" s="6"/>
      <c r="P58" s="6"/>
    </row>
    <row r="59" spans="1:16" ht="15" customHeight="1">
      <c r="A59" s="1"/>
      <c r="B59" s="1"/>
      <c r="C59" s="1"/>
      <c r="D59" s="1"/>
      <c r="E59" s="6"/>
      <c r="F59" s="1"/>
      <c r="G59" s="1"/>
      <c r="H59" s="6"/>
      <c r="I59" s="6"/>
      <c r="J59" s="6"/>
      <c r="K59" s="6"/>
      <c r="L59" s="6"/>
      <c r="M59" s="6"/>
      <c r="N59" s="6"/>
      <c r="O59" s="6"/>
      <c r="P59" s="6"/>
    </row>
    <row r="60" spans="1:16" ht="15" customHeight="1">
      <c r="A60" s="1"/>
      <c r="B60" s="1"/>
      <c r="C60" s="1"/>
      <c r="D60" s="1"/>
      <c r="E60" s="6"/>
      <c r="F60" s="1"/>
      <c r="G60" s="1"/>
      <c r="H60" s="6"/>
      <c r="I60" s="6"/>
      <c r="J60" s="6"/>
      <c r="K60" s="6"/>
      <c r="L60" s="6"/>
      <c r="M60" s="6"/>
      <c r="N60" s="6"/>
      <c r="O60" s="6"/>
      <c r="P60" s="6"/>
    </row>
    <row r="61" spans="1:16" ht="15" customHeight="1">
      <c r="A61" s="1"/>
      <c r="B61" s="1"/>
      <c r="C61" s="1"/>
      <c r="D61" s="1"/>
      <c r="E61" s="6"/>
      <c r="F61" s="1"/>
      <c r="G61" s="1"/>
      <c r="H61" s="6"/>
      <c r="I61" s="6"/>
      <c r="J61" s="6"/>
      <c r="K61" s="6"/>
      <c r="L61" s="6"/>
      <c r="M61" s="6"/>
      <c r="N61" s="6"/>
      <c r="O61" s="6"/>
      <c r="P61" s="6"/>
    </row>
    <row r="62" spans="1:16" ht="15" customHeight="1">
      <c r="A62" s="1"/>
      <c r="B62" s="1"/>
      <c r="C62" s="1"/>
      <c r="D62" s="1"/>
      <c r="E62" s="6"/>
      <c r="F62" s="1"/>
      <c r="G62" s="1"/>
      <c r="H62" s="6"/>
      <c r="I62" s="6"/>
      <c r="J62" s="6"/>
      <c r="K62" s="6"/>
      <c r="L62" s="6"/>
      <c r="M62" s="6"/>
      <c r="N62" s="6"/>
      <c r="O62" s="6"/>
      <c r="P62" s="6"/>
    </row>
    <row r="63" spans="1:16" ht="15" customHeight="1">
      <c r="A63" s="1"/>
      <c r="B63" s="1"/>
      <c r="C63" s="1"/>
      <c r="D63" s="1"/>
      <c r="E63" s="6"/>
      <c r="F63" s="1"/>
      <c r="G63" s="1"/>
      <c r="H63" s="6"/>
      <c r="I63" s="6"/>
      <c r="J63" s="6"/>
      <c r="K63" s="6"/>
      <c r="L63" s="6"/>
      <c r="M63" s="6"/>
      <c r="N63" s="6"/>
      <c r="O63" s="6"/>
      <c r="P63" s="6"/>
    </row>
    <row r="64" spans="1:16" ht="15" customHeight="1">
      <c r="A64" s="1"/>
      <c r="B64" s="1"/>
      <c r="C64" s="1"/>
      <c r="D64" s="1"/>
      <c r="E64" s="6"/>
      <c r="F64" s="1"/>
      <c r="G64" s="1"/>
      <c r="H64" s="6"/>
      <c r="I64" s="6"/>
      <c r="J64" s="6"/>
      <c r="K64" s="6"/>
      <c r="L64" s="6"/>
      <c r="M64" s="6"/>
      <c r="N64" s="6"/>
      <c r="O64" s="6"/>
      <c r="P64" s="6"/>
    </row>
    <row r="65" spans="1:16" ht="15" customHeight="1">
      <c r="A65" s="1"/>
      <c r="B65" s="1"/>
      <c r="C65" s="1"/>
      <c r="D65" s="1"/>
      <c r="E65" s="6"/>
      <c r="F65" s="1"/>
      <c r="G65" s="1"/>
      <c r="H65" s="6"/>
      <c r="I65" s="6"/>
      <c r="J65" s="6"/>
      <c r="K65" s="6"/>
      <c r="L65" s="6"/>
      <c r="M65" s="6"/>
      <c r="N65" s="6"/>
      <c r="O65" s="6"/>
      <c r="P65" s="6"/>
    </row>
    <row r="66" spans="1:16" ht="15" customHeight="1">
      <c r="A66" s="1"/>
      <c r="B66" s="1"/>
      <c r="C66" s="1"/>
      <c r="D66" s="1"/>
      <c r="E66" s="6"/>
      <c r="F66" s="1"/>
      <c r="G66" s="1"/>
      <c r="H66" s="6"/>
      <c r="I66" s="6"/>
      <c r="J66" s="6"/>
      <c r="K66" s="6"/>
      <c r="L66" s="6"/>
      <c r="M66" s="6"/>
      <c r="N66" s="6"/>
      <c r="O66" s="6"/>
      <c r="P66" s="6"/>
    </row>
    <row r="67" spans="1:16" ht="15" customHeight="1">
      <c r="A67" s="1"/>
      <c r="B67" s="1"/>
      <c r="C67" s="1"/>
      <c r="D67" s="1"/>
      <c r="E67" s="6"/>
      <c r="F67" s="1"/>
      <c r="G67" s="1"/>
      <c r="H67" s="6"/>
      <c r="I67" s="6"/>
      <c r="J67" s="6"/>
      <c r="K67" s="6"/>
      <c r="L67" s="6"/>
      <c r="M67" s="6"/>
      <c r="N67" s="6"/>
      <c r="O67" s="6"/>
      <c r="P67" s="6"/>
    </row>
    <row r="68" spans="1:16" ht="15" customHeight="1">
      <c r="A68" s="1"/>
      <c r="B68" s="1"/>
      <c r="C68" s="1"/>
      <c r="D68" s="1"/>
      <c r="E68" s="6"/>
      <c r="F68" s="1"/>
      <c r="G68" s="1"/>
      <c r="H68" s="6"/>
      <c r="I68" s="6"/>
      <c r="J68" s="6"/>
      <c r="K68" s="6"/>
      <c r="L68" s="6"/>
      <c r="M68" s="6"/>
      <c r="N68" s="6"/>
      <c r="O68" s="6"/>
      <c r="P68" s="6"/>
    </row>
    <row r="69" spans="1:16" ht="15" customHeight="1">
      <c r="A69" s="1"/>
      <c r="B69" s="1"/>
      <c r="C69" s="1"/>
      <c r="D69" s="1"/>
      <c r="E69" s="6"/>
      <c r="F69" s="1"/>
      <c r="G69" s="1"/>
      <c r="H69" s="6"/>
      <c r="I69" s="6"/>
      <c r="J69" s="6"/>
      <c r="K69" s="6"/>
      <c r="L69" s="6"/>
      <c r="M69" s="6"/>
      <c r="N69" s="6"/>
      <c r="O69" s="6"/>
      <c r="P69" s="6"/>
    </row>
    <row r="70" spans="1:16" ht="15" customHeight="1">
      <c r="A70" s="1"/>
      <c r="B70" s="1"/>
      <c r="C70" s="1"/>
      <c r="D70" s="1"/>
      <c r="E70" s="6"/>
      <c r="F70" s="1"/>
      <c r="G70" s="1"/>
      <c r="H70" s="6"/>
      <c r="I70" s="6"/>
      <c r="J70" s="6"/>
      <c r="K70" s="6"/>
      <c r="L70" s="6"/>
      <c r="M70" s="6"/>
      <c r="N70" s="6"/>
      <c r="O70" s="6"/>
      <c r="P70" s="6"/>
    </row>
    <row r="71" spans="1:16" ht="15" customHeight="1">
      <c r="A71" s="1"/>
      <c r="B71" s="1"/>
      <c r="C71" s="1"/>
      <c r="D71" s="1"/>
      <c r="E71" s="6"/>
      <c r="F71" s="1"/>
      <c r="G71" s="1"/>
      <c r="H71" s="6"/>
      <c r="I71" s="6"/>
      <c r="J71" s="6"/>
      <c r="K71" s="6"/>
      <c r="L71" s="6"/>
      <c r="M71" s="6"/>
      <c r="N71" s="6"/>
      <c r="O71" s="6"/>
      <c r="P71" s="6"/>
    </row>
    <row r="72" spans="1:16" ht="15" customHeight="1">
      <c r="A72" s="1"/>
      <c r="B72" s="1"/>
      <c r="C72" s="1"/>
      <c r="D72" s="1"/>
      <c r="E72" s="6"/>
      <c r="F72" s="1"/>
      <c r="G72" s="1"/>
      <c r="H72" s="6"/>
      <c r="I72" s="6"/>
      <c r="J72" s="6"/>
      <c r="K72" s="6"/>
      <c r="L72" s="6"/>
      <c r="M72" s="6"/>
      <c r="N72" s="6"/>
      <c r="O72" s="6"/>
      <c r="P72" s="6"/>
    </row>
    <row r="73" spans="1:16" ht="15" customHeight="1">
      <c r="A73" s="1"/>
      <c r="B73" s="1"/>
      <c r="C73" s="1"/>
      <c r="D73" s="1"/>
      <c r="E73" s="6"/>
      <c r="F73" s="1"/>
      <c r="G73" s="1"/>
      <c r="H73" s="6"/>
      <c r="I73" s="6"/>
      <c r="J73" s="6"/>
      <c r="K73" s="6"/>
      <c r="L73" s="6"/>
      <c r="M73" s="6"/>
      <c r="N73" s="6"/>
      <c r="O73" s="6"/>
      <c r="P73" s="6"/>
    </row>
    <row r="74" spans="1:16" ht="15" customHeight="1">
      <c r="A74" s="1"/>
      <c r="B74" s="1"/>
      <c r="C74" s="1"/>
      <c r="D74" s="1"/>
      <c r="E74" s="6"/>
      <c r="F74" s="1"/>
      <c r="G74" s="1"/>
      <c r="H74" s="6"/>
      <c r="I74" s="6"/>
      <c r="J74" s="6"/>
      <c r="K74" s="6"/>
      <c r="L74" s="6"/>
      <c r="M74" s="6"/>
      <c r="N74" s="6"/>
      <c r="O74" s="6"/>
      <c r="P74" s="6"/>
    </row>
    <row r="75" spans="1:16" ht="15" customHeight="1">
      <c r="A75" s="1"/>
      <c r="B75" s="1"/>
      <c r="C75" s="1"/>
      <c r="D75" s="1"/>
      <c r="E75" s="6"/>
      <c r="F75" s="1"/>
      <c r="G75" s="1"/>
      <c r="H75" s="6"/>
      <c r="I75" s="6"/>
      <c r="J75" s="6"/>
      <c r="K75" s="6"/>
      <c r="L75" s="6"/>
      <c r="M75" s="6"/>
      <c r="N75" s="6"/>
      <c r="O75" s="6"/>
      <c r="P75" s="6"/>
    </row>
    <row r="76" spans="1:16" ht="15" customHeight="1">
      <c r="A76" s="1"/>
      <c r="B76" s="1"/>
      <c r="C76" s="1"/>
      <c r="D76" s="1"/>
      <c r="E76" s="6"/>
      <c r="F76" s="1"/>
      <c r="G76" s="1"/>
      <c r="H76" s="6"/>
      <c r="I76" s="6"/>
      <c r="J76" s="6"/>
      <c r="K76" s="6"/>
      <c r="L76" s="6"/>
      <c r="M76" s="6"/>
      <c r="N76" s="6"/>
      <c r="O76" s="6"/>
      <c r="P76" s="6"/>
    </row>
    <row r="77" spans="1:16" ht="15" customHeight="1">
      <c r="A77" s="1"/>
      <c r="B77" s="1"/>
      <c r="C77" s="1"/>
      <c r="D77" s="1"/>
      <c r="E77" s="6"/>
      <c r="F77" s="1"/>
      <c r="G77" s="1"/>
      <c r="H77" s="6"/>
      <c r="I77" s="6"/>
      <c r="J77" s="6"/>
      <c r="K77" s="6"/>
      <c r="L77" s="6"/>
      <c r="M77" s="6"/>
      <c r="N77" s="6"/>
      <c r="O77" s="6"/>
      <c r="P77" s="6"/>
    </row>
    <row r="78" spans="1:16" ht="15" customHeight="1">
      <c r="A78" s="1"/>
      <c r="B78" s="1"/>
      <c r="C78" s="1"/>
      <c r="D78" s="1"/>
      <c r="E78" s="6"/>
      <c r="F78" s="1"/>
      <c r="G78" s="1"/>
      <c r="H78" s="6"/>
      <c r="I78" s="6"/>
      <c r="J78" s="6"/>
      <c r="K78" s="6"/>
      <c r="L78" s="6"/>
      <c r="M78" s="6"/>
      <c r="N78" s="6"/>
      <c r="O78" s="6"/>
      <c r="P78" s="6"/>
    </row>
    <row r="79" spans="1:16" ht="15" customHeight="1">
      <c r="A79" s="1"/>
      <c r="B79" s="1"/>
      <c r="C79" s="1"/>
      <c r="D79" s="1"/>
      <c r="E79" s="6"/>
      <c r="F79" s="1"/>
      <c r="G79" s="1"/>
      <c r="H79" s="6"/>
      <c r="I79" s="6"/>
      <c r="J79" s="6"/>
      <c r="K79" s="6"/>
      <c r="L79" s="6"/>
      <c r="M79" s="6"/>
      <c r="N79" s="6"/>
      <c r="O79" s="6"/>
      <c r="P79" s="6"/>
    </row>
    <row r="80" spans="1:16" ht="15" customHeight="1">
      <c r="A80" s="1"/>
      <c r="B80" s="1"/>
      <c r="C80" s="1"/>
      <c r="D80" s="1"/>
      <c r="E80" s="6"/>
      <c r="F80" s="1"/>
      <c r="G80" s="1"/>
      <c r="H80" s="6"/>
      <c r="I80" s="6"/>
      <c r="J80" s="6"/>
      <c r="K80" s="6"/>
      <c r="L80" s="6"/>
      <c r="M80" s="6"/>
      <c r="N80" s="6"/>
      <c r="O80" s="6"/>
      <c r="P80" s="6"/>
    </row>
    <row r="81" spans="1:16" ht="15" customHeight="1">
      <c r="A81" s="1"/>
      <c r="B81" s="1"/>
      <c r="C81" s="1"/>
      <c r="D81" s="1"/>
      <c r="E81" s="6"/>
      <c r="F81" s="1"/>
      <c r="G81" s="1"/>
      <c r="H81" s="6"/>
      <c r="I81" s="6"/>
      <c r="J81" s="6"/>
      <c r="K81" s="6"/>
      <c r="L81" s="6"/>
      <c r="M81" s="6"/>
      <c r="N81" s="6"/>
      <c r="O81" s="6"/>
      <c r="P81" s="6"/>
    </row>
    <row r="82" spans="1:16" ht="15" customHeight="1">
      <c r="A82" s="1"/>
      <c r="B82" s="1"/>
      <c r="C82" s="1"/>
      <c r="D82" s="1"/>
      <c r="E82" s="6"/>
      <c r="F82" s="1"/>
      <c r="G82" s="1"/>
      <c r="H82" s="6"/>
      <c r="I82" s="6"/>
      <c r="J82" s="6"/>
      <c r="K82" s="6"/>
      <c r="L82" s="6"/>
      <c r="M82" s="6"/>
      <c r="N82" s="6"/>
      <c r="O82" s="6"/>
      <c r="P82" s="6"/>
    </row>
    <row r="83" spans="1:16" ht="15" customHeight="1">
      <c r="A83" s="1"/>
      <c r="B83" s="1"/>
      <c r="C83" s="1"/>
      <c r="D83" s="1"/>
      <c r="E83" s="6"/>
      <c r="F83" s="1"/>
      <c r="G83" s="1"/>
      <c r="H83" s="6"/>
      <c r="I83" s="6"/>
      <c r="J83" s="6"/>
      <c r="K83" s="6"/>
      <c r="L83" s="6"/>
      <c r="M83" s="6"/>
      <c r="N83" s="6"/>
      <c r="O83" s="6"/>
      <c r="P83" s="6"/>
    </row>
    <row r="84" spans="1:16" ht="15" customHeight="1">
      <c r="A84" s="1"/>
      <c r="B84" s="1"/>
      <c r="C84" s="1"/>
      <c r="D84" s="1"/>
      <c r="E84" s="6"/>
      <c r="F84" s="1"/>
      <c r="G84" s="1"/>
      <c r="H84" s="6"/>
      <c r="I84" s="6"/>
      <c r="J84" s="6"/>
      <c r="K84" s="6"/>
      <c r="L84" s="6"/>
      <c r="M84" s="6"/>
      <c r="N84" s="6"/>
      <c r="O84" s="6"/>
      <c r="P84" s="6"/>
    </row>
    <row r="85" spans="1:16" ht="15" customHeight="1">
      <c r="A85" s="1"/>
      <c r="B85" s="1"/>
      <c r="C85" s="1"/>
      <c r="D85" s="1"/>
      <c r="E85" s="6"/>
      <c r="F85" s="1"/>
      <c r="G85" s="1"/>
      <c r="H85" s="6"/>
      <c r="I85" s="6"/>
      <c r="J85" s="6"/>
      <c r="K85" s="6"/>
      <c r="L85" s="6"/>
      <c r="M85" s="6"/>
      <c r="N85" s="6"/>
      <c r="O85" s="6"/>
      <c r="P85" s="6"/>
    </row>
    <row r="86" spans="1:16" ht="15" customHeight="1">
      <c r="A86" s="1"/>
      <c r="B86" s="1"/>
      <c r="C86" s="1"/>
      <c r="D86" s="1"/>
      <c r="E86" s="6"/>
      <c r="F86" s="1"/>
      <c r="G86" s="1"/>
      <c r="H86" s="6"/>
      <c r="I86" s="6"/>
      <c r="J86" s="6"/>
      <c r="K86" s="6"/>
      <c r="L86" s="6"/>
      <c r="M86" s="6"/>
      <c r="N86" s="6"/>
      <c r="O86" s="6"/>
      <c r="P86" s="6"/>
    </row>
    <row r="87" spans="1:16" ht="15" customHeight="1">
      <c r="A87" s="1"/>
      <c r="B87" s="1"/>
      <c r="C87" s="1"/>
      <c r="D87" s="1"/>
      <c r="E87" s="6"/>
      <c r="F87" s="1"/>
      <c r="G87" s="1"/>
      <c r="H87" s="6"/>
      <c r="I87" s="6"/>
      <c r="J87" s="6"/>
      <c r="K87" s="6"/>
      <c r="L87" s="6"/>
      <c r="M87" s="6"/>
      <c r="N87" s="6"/>
      <c r="O87" s="6"/>
      <c r="P87" s="6"/>
    </row>
    <row r="88" spans="1:16" ht="15" customHeight="1">
      <c r="A88" s="1"/>
      <c r="B88" s="1"/>
      <c r="C88" s="1"/>
      <c r="D88" s="1"/>
      <c r="E88" s="6"/>
      <c r="F88" s="1"/>
      <c r="G88" s="1"/>
      <c r="H88" s="6"/>
      <c r="I88" s="6"/>
      <c r="J88" s="6"/>
      <c r="K88" s="6"/>
      <c r="L88" s="6"/>
      <c r="M88" s="6"/>
      <c r="N88" s="6"/>
      <c r="O88" s="6"/>
      <c r="P88" s="6"/>
    </row>
    <row r="89" spans="1:16" ht="15" customHeight="1">
      <c r="A89" s="1"/>
      <c r="B89" s="1"/>
      <c r="C89" s="1"/>
      <c r="D89" s="1"/>
      <c r="E89" s="6"/>
      <c r="F89" s="1"/>
      <c r="G89" s="1"/>
      <c r="H89" s="6"/>
      <c r="I89" s="6"/>
      <c r="J89" s="6"/>
      <c r="K89" s="6"/>
      <c r="L89" s="6"/>
      <c r="M89" s="6"/>
      <c r="N89" s="6"/>
      <c r="O89" s="6"/>
      <c r="P89" s="6"/>
    </row>
    <row r="90" spans="1:16" ht="15" customHeight="1">
      <c r="A90" s="1"/>
      <c r="B90" s="1"/>
      <c r="C90" s="1"/>
      <c r="D90" s="1"/>
      <c r="E90" s="6"/>
      <c r="F90" s="1"/>
      <c r="G90" s="1"/>
      <c r="H90" s="6"/>
      <c r="I90" s="6"/>
      <c r="J90" s="6"/>
      <c r="K90" s="6"/>
      <c r="L90" s="6"/>
      <c r="M90" s="6"/>
      <c r="N90" s="6"/>
      <c r="O90" s="6"/>
      <c r="P90" s="6"/>
    </row>
    <row r="91" spans="1:16" ht="15" customHeight="1">
      <c r="A91" s="1"/>
      <c r="B91" s="1"/>
      <c r="C91" s="1"/>
      <c r="D91" s="1"/>
      <c r="E91" s="6"/>
      <c r="F91" s="1"/>
      <c r="G91" s="1"/>
      <c r="H91" s="6"/>
      <c r="I91" s="6"/>
      <c r="J91" s="6"/>
      <c r="K91" s="6"/>
      <c r="L91" s="6"/>
      <c r="M91" s="6"/>
      <c r="N91" s="6"/>
      <c r="O91" s="6"/>
      <c r="P91" s="6"/>
    </row>
    <row r="92" spans="1:16" ht="15" customHeight="1">
      <c r="A92" s="1"/>
      <c r="B92" s="1"/>
      <c r="C92" s="1"/>
      <c r="D92" s="1"/>
      <c r="E92" s="6"/>
      <c r="F92" s="1"/>
      <c r="G92" s="1"/>
      <c r="H92" s="6"/>
      <c r="I92" s="6"/>
      <c r="J92" s="6"/>
      <c r="K92" s="6"/>
      <c r="L92" s="6"/>
      <c r="M92" s="6"/>
      <c r="N92" s="6"/>
      <c r="O92" s="6"/>
      <c r="P92" s="6"/>
    </row>
    <row r="93" spans="1:16" ht="15" customHeight="1">
      <c r="A93" s="1"/>
      <c r="B93" s="1"/>
      <c r="C93" s="1"/>
      <c r="D93" s="1"/>
      <c r="E93" s="6"/>
      <c r="F93" s="1"/>
      <c r="G93" s="1"/>
      <c r="H93" s="6"/>
      <c r="I93" s="6"/>
      <c r="J93" s="6"/>
      <c r="K93" s="6"/>
      <c r="L93" s="6"/>
      <c r="M93" s="6"/>
      <c r="N93" s="6"/>
      <c r="O93" s="6"/>
      <c r="P93" s="6"/>
    </row>
    <row r="94" spans="1:16" ht="15" customHeight="1">
      <c r="A94" s="1"/>
      <c r="B94" s="1"/>
      <c r="C94" s="1"/>
      <c r="D94" s="1"/>
      <c r="E94" s="6"/>
      <c r="F94" s="1"/>
      <c r="G94" s="1"/>
      <c r="H94" s="6"/>
      <c r="I94" s="6"/>
      <c r="J94" s="6"/>
      <c r="K94" s="6"/>
      <c r="L94" s="6"/>
      <c r="M94" s="6"/>
      <c r="N94" s="6"/>
      <c r="O94" s="6"/>
      <c r="P94" s="6"/>
    </row>
    <row r="95" spans="1:16" ht="15" customHeight="1">
      <c r="A95" s="1"/>
      <c r="B95" s="1"/>
      <c r="C95" s="1"/>
      <c r="D95" s="1"/>
      <c r="E95" s="6"/>
      <c r="F95" s="1"/>
      <c r="G95" s="1"/>
      <c r="H95" s="6"/>
      <c r="I95" s="6"/>
      <c r="J95" s="6"/>
      <c r="K95" s="6"/>
      <c r="L95" s="6"/>
      <c r="M95" s="6"/>
      <c r="N95" s="6"/>
      <c r="O95" s="6"/>
      <c r="P95" s="6"/>
    </row>
    <row r="96" spans="1:16" ht="15" customHeight="1">
      <c r="A96" s="1"/>
      <c r="B96" s="1"/>
      <c r="C96" s="1"/>
      <c r="D96" s="1"/>
      <c r="E96" s="6"/>
      <c r="F96" s="1"/>
      <c r="G96" s="1"/>
      <c r="H96" s="6"/>
      <c r="I96" s="6"/>
      <c r="J96" s="6"/>
      <c r="K96" s="6"/>
      <c r="L96" s="6"/>
      <c r="M96" s="6"/>
      <c r="N96" s="6"/>
      <c r="O96" s="6"/>
      <c r="P96" s="6"/>
    </row>
    <row r="97" spans="1:16" ht="15" customHeight="1">
      <c r="A97" s="1"/>
      <c r="B97" s="1"/>
      <c r="C97" s="1"/>
      <c r="D97" s="1"/>
      <c r="E97" s="6"/>
      <c r="F97" s="1"/>
      <c r="G97" s="1"/>
      <c r="H97" s="6"/>
      <c r="I97" s="6"/>
      <c r="J97" s="6"/>
      <c r="K97" s="6"/>
      <c r="L97" s="6"/>
      <c r="M97" s="6"/>
      <c r="N97" s="6"/>
      <c r="O97" s="6"/>
      <c r="P97" s="6"/>
    </row>
    <row r="98" spans="1:16" ht="15" customHeight="1">
      <c r="A98" s="1"/>
      <c r="B98" s="1"/>
      <c r="C98" s="1"/>
      <c r="D98" s="1"/>
      <c r="E98" s="6"/>
      <c r="F98" s="1"/>
      <c r="G98" s="1"/>
      <c r="H98" s="6"/>
      <c r="I98" s="6"/>
      <c r="J98" s="6"/>
      <c r="K98" s="6"/>
      <c r="L98" s="6"/>
      <c r="M98" s="6"/>
      <c r="N98" s="6"/>
      <c r="O98" s="6"/>
      <c r="P98" s="6"/>
    </row>
    <row r="99" spans="1:16" ht="15" customHeight="1">
      <c r="A99" s="1"/>
      <c r="B99" s="1"/>
      <c r="C99" s="1"/>
      <c r="D99" s="1"/>
      <c r="E99" s="6"/>
      <c r="F99" s="1"/>
      <c r="G99" s="1"/>
      <c r="H99" s="6"/>
      <c r="I99" s="6"/>
      <c r="J99" s="6"/>
      <c r="K99" s="6"/>
      <c r="L99" s="6"/>
      <c r="M99" s="6"/>
      <c r="N99" s="6"/>
      <c r="O99" s="6"/>
      <c r="P99" s="6"/>
    </row>
    <row r="100" spans="1:16" ht="15" customHeight="1">
      <c r="A100" s="1"/>
      <c r="B100" s="1"/>
      <c r="C100" s="1"/>
      <c r="D100" s="1"/>
      <c r="E100" s="6"/>
      <c r="F100" s="1"/>
      <c r="G100" s="1"/>
      <c r="H100" s="6"/>
      <c r="I100" s="6"/>
      <c r="J100" s="6"/>
      <c r="K100" s="6"/>
      <c r="L100" s="6"/>
      <c r="M100" s="6"/>
      <c r="N100" s="6"/>
      <c r="O100" s="6"/>
      <c r="P100" s="6"/>
    </row>
    <row r="101" spans="1:16" ht="15" customHeight="1">
      <c r="A101" s="1"/>
      <c r="B101" s="1"/>
      <c r="C101" s="1"/>
      <c r="D101" s="1"/>
      <c r="E101" s="6"/>
      <c r="F101" s="1"/>
      <c r="G101" s="1"/>
      <c r="H101" s="6"/>
      <c r="I101" s="6"/>
      <c r="J101" s="6"/>
      <c r="K101" s="6"/>
      <c r="L101" s="6"/>
      <c r="M101" s="6"/>
      <c r="N101" s="6"/>
      <c r="O101" s="6"/>
      <c r="P101" s="6"/>
    </row>
    <row r="102" spans="1:16" ht="15" customHeight="1">
      <c r="A102" s="1"/>
      <c r="B102" s="1"/>
      <c r="C102" s="1"/>
      <c r="D102" s="1"/>
      <c r="E102" s="6"/>
      <c r="F102" s="1"/>
      <c r="G102" s="1"/>
      <c r="H102" s="6"/>
      <c r="I102" s="6"/>
      <c r="J102" s="6"/>
      <c r="K102" s="6"/>
      <c r="L102" s="6"/>
      <c r="M102" s="6"/>
      <c r="N102" s="6"/>
      <c r="O102" s="6"/>
      <c r="P102" s="6"/>
    </row>
    <row r="103" spans="1:16" ht="15" customHeight="1">
      <c r="A103" s="1"/>
      <c r="B103" s="1"/>
      <c r="C103" s="1"/>
      <c r="D103" s="1"/>
      <c r="E103" s="6"/>
      <c r="F103" s="1"/>
      <c r="G103" s="1"/>
      <c r="H103" s="6"/>
      <c r="I103" s="6"/>
      <c r="J103" s="6"/>
      <c r="K103" s="6"/>
      <c r="L103" s="6"/>
      <c r="M103" s="6"/>
      <c r="N103" s="6"/>
      <c r="O103" s="6"/>
      <c r="P103" s="6"/>
    </row>
    <row r="104" spans="1:16" ht="15" customHeight="1">
      <c r="A104" s="1"/>
      <c r="B104" s="1"/>
      <c r="C104" s="1"/>
      <c r="D104" s="1"/>
      <c r="E104" s="6"/>
      <c r="F104" s="1"/>
      <c r="G104" s="1"/>
      <c r="H104" s="6"/>
      <c r="I104" s="6"/>
      <c r="J104" s="6"/>
      <c r="K104" s="6"/>
      <c r="L104" s="6"/>
      <c r="M104" s="6"/>
      <c r="N104" s="6"/>
      <c r="O104" s="6"/>
      <c r="P104" s="6"/>
    </row>
    <row r="105" spans="1:16" ht="15" customHeight="1">
      <c r="A105" s="1"/>
      <c r="B105" s="1"/>
      <c r="C105" s="1"/>
      <c r="D105" s="1"/>
      <c r="E105" s="6"/>
      <c r="F105" s="1"/>
      <c r="G105" s="1"/>
      <c r="H105" s="6"/>
      <c r="I105" s="6"/>
      <c r="J105" s="6"/>
      <c r="K105" s="6"/>
      <c r="L105" s="6"/>
      <c r="M105" s="6"/>
      <c r="N105" s="6"/>
      <c r="O105" s="6"/>
      <c r="P105" s="6"/>
    </row>
    <row r="106" spans="1:16" ht="15" customHeight="1">
      <c r="A106" s="1"/>
      <c r="B106" s="1"/>
      <c r="C106" s="1"/>
      <c r="D106" s="1"/>
      <c r="E106" s="6"/>
      <c r="F106" s="1"/>
      <c r="G106" s="1"/>
      <c r="H106" s="6"/>
      <c r="I106" s="6"/>
      <c r="J106" s="6"/>
      <c r="K106" s="6"/>
      <c r="L106" s="6"/>
      <c r="M106" s="6"/>
      <c r="N106" s="6"/>
      <c r="O106" s="6"/>
      <c r="P106" s="6"/>
    </row>
    <row r="107" spans="1:16" ht="15" customHeight="1">
      <c r="A107" s="1"/>
      <c r="B107" s="1"/>
      <c r="C107" s="1"/>
      <c r="D107" s="1"/>
      <c r="E107" s="6"/>
      <c r="F107" s="1"/>
      <c r="G107" s="1"/>
      <c r="H107" s="6"/>
      <c r="I107" s="6"/>
      <c r="J107" s="6"/>
      <c r="K107" s="6"/>
      <c r="L107" s="6"/>
      <c r="M107" s="6"/>
      <c r="N107" s="6"/>
      <c r="O107" s="6"/>
      <c r="P107" s="6"/>
    </row>
    <row r="108" spans="1:16" ht="15" customHeight="1">
      <c r="A108" s="1"/>
      <c r="B108" s="1"/>
      <c r="C108" s="1"/>
      <c r="D108" s="1"/>
      <c r="E108" s="6"/>
      <c r="F108" s="1"/>
      <c r="G108" s="1"/>
      <c r="H108" s="6"/>
      <c r="I108" s="6"/>
      <c r="J108" s="6"/>
      <c r="K108" s="6"/>
      <c r="L108" s="6"/>
      <c r="M108" s="6"/>
      <c r="N108" s="6"/>
      <c r="O108" s="6"/>
      <c r="P108" s="6"/>
    </row>
    <row r="109" spans="1:16" ht="15" customHeight="1">
      <c r="A109" s="1"/>
      <c r="B109" s="1"/>
      <c r="C109" s="1"/>
      <c r="D109" s="1"/>
      <c r="E109" s="6"/>
      <c r="F109" s="1"/>
      <c r="G109" s="1"/>
      <c r="H109" s="6"/>
      <c r="I109" s="6"/>
      <c r="J109" s="6"/>
      <c r="K109" s="6"/>
      <c r="L109" s="6"/>
      <c r="M109" s="6"/>
      <c r="N109" s="6"/>
      <c r="O109" s="6"/>
      <c r="P109" s="6"/>
    </row>
    <row r="110" spans="1:16" ht="15" customHeight="1">
      <c r="A110" s="1"/>
      <c r="B110" s="1"/>
      <c r="C110" s="1"/>
      <c r="D110" s="1"/>
      <c r="E110" s="6"/>
      <c r="F110" s="1"/>
      <c r="G110" s="1"/>
      <c r="H110" s="6"/>
      <c r="I110" s="6"/>
      <c r="J110" s="6"/>
      <c r="K110" s="6"/>
      <c r="L110" s="6"/>
      <c r="M110" s="6"/>
      <c r="N110" s="6"/>
      <c r="O110" s="6"/>
      <c r="P110" s="6"/>
    </row>
    <row r="111" spans="1:16" ht="15" customHeight="1">
      <c r="A111" s="1"/>
      <c r="B111" s="1"/>
      <c r="C111" s="1"/>
      <c r="D111" s="1"/>
      <c r="E111" s="6"/>
      <c r="F111" s="1"/>
      <c r="G111" s="1"/>
      <c r="H111" s="6"/>
      <c r="I111" s="6"/>
      <c r="J111" s="6"/>
      <c r="K111" s="6"/>
      <c r="L111" s="6"/>
      <c r="M111" s="6"/>
      <c r="N111" s="6"/>
      <c r="O111" s="6"/>
      <c r="P111" s="6"/>
    </row>
    <row r="112" spans="1:16" ht="15" customHeight="1">
      <c r="A112" s="1"/>
      <c r="B112" s="1"/>
      <c r="C112" s="1"/>
      <c r="D112" s="1"/>
      <c r="E112" s="6"/>
      <c r="F112" s="1"/>
      <c r="G112" s="1"/>
      <c r="H112" s="6"/>
      <c r="I112" s="6"/>
      <c r="J112" s="6"/>
      <c r="K112" s="6"/>
      <c r="L112" s="6"/>
      <c r="M112" s="6"/>
      <c r="N112" s="6"/>
      <c r="O112" s="6"/>
      <c r="P112" s="6"/>
    </row>
    <row r="113" spans="1:16" ht="15" customHeight="1">
      <c r="A113" s="1"/>
      <c r="B113" s="1"/>
      <c r="C113" s="1"/>
      <c r="D113" s="1"/>
      <c r="E113" s="6"/>
      <c r="F113" s="1"/>
      <c r="G113" s="1"/>
      <c r="H113" s="6"/>
      <c r="I113" s="6"/>
      <c r="J113" s="6"/>
      <c r="K113" s="6"/>
      <c r="L113" s="6"/>
      <c r="M113" s="6"/>
      <c r="N113" s="6"/>
      <c r="O113" s="6"/>
      <c r="P113" s="6"/>
    </row>
    <row r="114" spans="1:16" ht="15" customHeight="1">
      <c r="A114" s="1"/>
      <c r="B114" s="1"/>
      <c r="C114" s="1"/>
      <c r="D114" s="1"/>
      <c r="E114" s="6"/>
      <c r="F114" s="1"/>
      <c r="G114" s="1"/>
      <c r="H114" s="6"/>
      <c r="I114" s="6"/>
      <c r="J114" s="6"/>
      <c r="K114" s="6"/>
      <c r="L114" s="6"/>
      <c r="M114" s="6"/>
      <c r="N114" s="6"/>
      <c r="O114" s="6"/>
      <c r="P114" s="6"/>
    </row>
    <row r="115" spans="1:16" ht="15" customHeight="1">
      <c r="A115" s="1"/>
      <c r="B115" s="1"/>
      <c r="C115" s="1"/>
      <c r="D115" s="1"/>
      <c r="E115" s="6"/>
      <c r="F115" s="1"/>
      <c r="G115" s="1"/>
      <c r="H115" s="6"/>
      <c r="I115" s="6"/>
      <c r="J115" s="6"/>
      <c r="K115" s="6"/>
      <c r="L115" s="6"/>
      <c r="M115" s="6"/>
      <c r="N115" s="6"/>
      <c r="O115" s="6"/>
      <c r="P115" s="6"/>
    </row>
    <row r="116" spans="1:16" ht="15" customHeight="1">
      <c r="A116" s="1"/>
      <c r="B116" s="1"/>
      <c r="C116" s="1"/>
      <c r="D116" s="1"/>
      <c r="E116" s="6"/>
      <c r="F116" s="1"/>
      <c r="G116" s="1"/>
      <c r="H116" s="6"/>
      <c r="I116" s="6"/>
      <c r="J116" s="6"/>
      <c r="K116" s="6"/>
      <c r="L116" s="6"/>
      <c r="M116" s="6"/>
      <c r="N116" s="6"/>
      <c r="O116" s="6"/>
      <c r="P116" s="6"/>
    </row>
    <row r="117" spans="1:16" ht="15" customHeight="1">
      <c r="A117" s="1"/>
      <c r="B117" s="1"/>
      <c r="C117" s="1"/>
      <c r="D117" s="1"/>
      <c r="E117" s="6"/>
      <c r="F117" s="1"/>
      <c r="G117" s="1"/>
      <c r="H117" s="6"/>
      <c r="I117" s="6"/>
      <c r="J117" s="6"/>
      <c r="K117" s="6"/>
      <c r="L117" s="6"/>
      <c r="M117" s="6"/>
      <c r="N117" s="6"/>
      <c r="O117" s="6"/>
      <c r="P117" s="6"/>
    </row>
    <row r="118" spans="1:16" ht="15" customHeight="1">
      <c r="A118" s="1"/>
      <c r="B118" s="1"/>
      <c r="C118" s="1"/>
      <c r="D118" s="1"/>
      <c r="E118" s="6"/>
      <c r="F118" s="1"/>
      <c r="G118" s="1"/>
      <c r="H118" s="6"/>
      <c r="I118" s="6"/>
      <c r="J118" s="6"/>
      <c r="K118" s="6"/>
      <c r="L118" s="6"/>
      <c r="M118" s="6"/>
      <c r="N118" s="6"/>
      <c r="O118" s="6"/>
      <c r="P118" s="6"/>
    </row>
    <row r="119" spans="1:16" ht="15" customHeight="1">
      <c r="A119" s="1"/>
      <c r="B119" s="1"/>
      <c r="C119" s="1"/>
      <c r="D119" s="1"/>
      <c r="E119" s="6"/>
      <c r="F119" s="1"/>
      <c r="G119" s="1"/>
      <c r="H119" s="6"/>
      <c r="I119" s="6"/>
      <c r="J119" s="6"/>
      <c r="K119" s="6"/>
      <c r="L119" s="6"/>
      <c r="M119" s="6"/>
      <c r="N119" s="6"/>
      <c r="O119" s="6"/>
      <c r="P119" s="6"/>
    </row>
    <row r="120" spans="1:16" ht="15" customHeight="1">
      <c r="A120" s="1"/>
      <c r="B120" s="1"/>
      <c r="C120" s="1"/>
      <c r="D120" s="1"/>
      <c r="E120" s="6"/>
      <c r="F120" s="1"/>
      <c r="G120" s="1"/>
      <c r="H120" s="6"/>
      <c r="I120" s="6"/>
      <c r="J120" s="6"/>
      <c r="K120" s="6"/>
      <c r="L120" s="6"/>
      <c r="M120" s="6"/>
      <c r="N120" s="6"/>
      <c r="O120" s="6"/>
      <c r="P120" s="6"/>
    </row>
    <row r="121" spans="1:16" ht="15" customHeight="1">
      <c r="A121" s="1"/>
      <c r="B121" s="1"/>
      <c r="C121" s="1"/>
      <c r="D121" s="1"/>
      <c r="E121" s="6"/>
      <c r="F121" s="1"/>
      <c r="G121" s="1"/>
      <c r="H121" s="6"/>
      <c r="I121" s="6"/>
      <c r="J121" s="6"/>
      <c r="K121" s="6"/>
      <c r="L121" s="6"/>
      <c r="M121" s="6"/>
      <c r="N121" s="6"/>
      <c r="O121" s="6"/>
      <c r="P121" s="6"/>
    </row>
    <row r="122" spans="1:16" ht="15" customHeight="1">
      <c r="A122" s="1"/>
      <c r="B122" s="1"/>
      <c r="C122" s="1"/>
      <c r="D122" s="1"/>
      <c r="E122" s="6"/>
      <c r="F122" s="1"/>
      <c r="G122" s="1"/>
      <c r="H122" s="6"/>
      <c r="I122" s="6"/>
      <c r="J122" s="6"/>
      <c r="K122" s="6"/>
      <c r="L122" s="6"/>
      <c r="M122" s="6"/>
      <c r="N122" s="6"/>
      <c r="O122" s="6"/>
      <c r="P122" s="6"/>
    </row>
    <row r="123" spans="1:16" ht="15" customHeight="1">
      <c r="A123" s="1"/>
      <c r="B123" s="1"/>
      <c r="C123" s="1"/>
      <c r="D123" s="1"/>
      <c r="E123" s="6"/>
      <c r="F123" s="1"/>
      <c r="G123" s="1"/>
      <c r="H123" s="6"/>
      <c r="I123" s="6"/>
      <c r="J123" s="6"/>
      <c r="K123" s="6"/>
      <c r="L123" s="6"/>
      <c r="M123" s="6"/>
      <c r="N123" s="6"/>
      <c r="O123" s="6"/>
      <c r="P123" s="6"/>
    </row>
    <row r="124" spans="1:16" ht="15" customHeight="1">
      <c r="A124" s="1"/>
      <c r="B124" s="1"/>
      <c r="C124" s="1"/>
      <c r="D124" s="1"/>
      <c r="E124" s="6"/>
      <c r="F124" s="1"/>
      <c r="G124" s="1"/>
      <c r="H124" s="6"/>
      <c r="I124" s="6"/>
      <c r="J124" s="6"/>
      <c r="K124" s="6"/>
      <c r="L124" s="6"/>
      <c r="M124" s="6"/>
      <c r="N124" s="6"/>
      <c r="O124" s="6"/>
      <c r="P124" s="6"/>
    </row>
    <row r="125" spans="1:16" ht="15" customHeight="1">
      <c r="A125" s="1"/>
      <c r="B125" s="1"/>
      <c r="C125" s="1"/>
      <c r="D125" s="1"/>
      <c r="E125" s="6"/>
      <c r="F125" s="1"/>
      <c r="G125" s="1"/>
      <c r="H125" s="6"/>
      <c r="I125" s="6"/>
      <c r="J125" s="6"/>
      <c r="K125" s="6"/>
      <c r="L125" s="6"/>
      <c r="M125" s="6"/>
      <c r="N125" s="6"/>
      <c r="O125" s="6"/>
      <c r="P125" s="6"/>
    </row>
    <row r="126" spans="1:16" ht="15" customHeight="1">
      <c r="A126" s="1"/>
      <c r="B126" s="1"/>
      <c r="C126" s="1"/>
      <c r="D126" s="1"/>
      <c r="E126" s="6"/>
      <c r="F126" s="1"/>
      <c r="G126" s="1"/>
      <c r="H126" s="6"/>
      <c r="I126" s="6"/>
      <c r="J126" s="6"/>
      <c r="K126" s="6"/>
      <c r="L126" s="6"/>
      <c r="M126" s="6"/>
      <c r="N126" s="6"/>
      <c r="O126" s="6"/>
      <c r="P126" s="6"/>
    </row>
    <row r="127" spans="1:16" ht="15" customHeight="1">
      <c r="A127" s="1"/>
      <c r="B127" s="1"/>
      <c r="C127" s="1"/>
      <c r="D127" s="1"/>
      <c r="E127" s="6"/>
      <c r="F127" s="1"/>
      <c r="G127" s="1"/>
      <c r="H127" s="6"/>
      <c r="I127" s="6"/>
      <c r="J127" s="6"/>
      <c r="K127" s="6"/>
      <c r="L127" s="6"/>
      <c r="M127" s="6"/>
      <c r="N127" s="6"/>
      <c r="O127" s="6"/>
      <c r="P127" s="6"/>
    </row>
    <row r="128" spans="1:16" ht="15" customHeight="1">
      <c r="A128" s="1"/>
      <c r="B128" s="1"/>
      <c r="C128" s="1"/>
      <c r="D128" s="1"/>
      <c r="E128" s="6"/>
      <c r="F128" s="1"/>
      <c r="G128" s="1"/>
      <c r="H128" s="6"/>
      <c r="I128" s="6"/>
      <c r="J128" s="6"/>
      <c r="K128" s="6"/>
      <c r="L128" s="6"/>
      <c r="M128" s="6"/>
      <c r="N128" s="6"/>
      <c r="O128" s="6"/>
      <c r="P128" s="6"/>
    </row>
    <row r="129" spans="1:16" ht="15" customHeight="1">
      <c r="A129" s="1"/>
      <c r="B129" s="1"/>
      <c r="C129" s="1"/>
      <c r="D129" s="1"/>
      <c r="E129" s="6"/>
      <c r="F129" s="1"/>
      <c r="G129" s="1"/>
      <c r="H129" s="6"/>
      <c r="I129" s="6"/>
      <c r="J129" s="6"/>
      <c r="K129" s="6"/>
      <c r="L129" s="6"/>
      <c r="M129" s="6"/>
      <c r="N129" s="6"/>
      <c r="O129" s="6"/>
      <c r="P129" s="6"/>
    </row>
    <row r="130" spans="1:16" ht="15" customHeight="1">
      <c r="A130" s="1"/>
      <c r="B130" s="1"/>
      <c r="C130" s="1"/>
      <c r="D130" s="1"/>
      <c r="E130" s="6"/>
      <c r="F130" s="1"/>
      <c r="G130" s="1"/>
      <c r="H130" s="6"/>
      <c r="I130" s="6"/>
      <c r="J130" s="6"/>
      <c r="K130" s="6"/>
      <c r="L130" s="6"/>
      <c r="M130" s="6"/>
      <c r="N130" s="6"/>
      <c r="O130" s="6"/>
      <c r="P130" s="6"/>
    </row>
    <row r="131" spans="1:16" ht="15" customHeight="1">
      <c r="A131" s="1"/>
      <c r="B131" s="1"/>
      <c r="C131" s="1"/>
      <c r="D131" s="1"/>
      <c r="E131" s="6"/>
      <c r="F131" s="1"/>
      <c r="G131" s="1"/>
      <c r="H131" s="6"/>
      <c r="I131" s="6"/>
      <c r="J131" s="6"/>
      <c r="K131" s="6"/>
      <c r="L131" s="6"/>
      <c r="M131" s="6"/>
      <c r="N131" s="6"/>
      <c r="O131" s="6"/>
      <c r="P131" s="6"/>
    </row>
    <row r="132" spans="1:16" ht="15" customHeight="1">
      <c r="A132" s="1"/>
      <c r="B132" s="1"/>
      <c r="C132" s="1"/>
      <c r="D132" s="1"/>
      <c r="E132" s="6"/>
      <c r="F132" s="1"/>
      <c r="G132" s="1"/>
      <c r="H132" s="6"/>
      <c r="I132" s="6"/>
      <c r="J132" s="6"/>
      <c r="K132" s="6"/>
      <c r="L132" s="6"/>
      <c r="M132" s="6"/>
      <c r="N132" s="6"/>
      <c r="O132" s="6"/>
      <c r="P132" s="6"/>
    </row>
    <row r="133" spans="1:16" ht="15" customHeight="1">
      <c r="A133" s="1"/>
      <c r="B133" s="1"/>
      <c r="C133" s="1"/>
      <c r="D133" s="1"/>
      <c r="E133" s="6"/>
      <c r="F133" s="1"/>
      <c r="G133" s="1"/>
      <c r="H133" s="6"/>
      <c r="I133" s="6"/>
      <c r="J133" s="6"/>
      <c r="K133" s="6"/>
      <c r="L133" s="6"/>
      <c r="M133" s="6"/>
      <c r="N133" s="6"/>
      <c r="O133" s="6"/>
      <c r="P133" s="6"/>
    </row>
    <row r="134" spans="1:16" ht="15" customHeight="1">
      <c r="A134" s="1"/>
      <c r="B134" s="1"/>
      <c r="C134" s="1"/>
      <c r="D134" s="1"/>
      <c r="E134" s="6"/>
      <c r="F134" s="1"/>
      <c r="G134" s="1"/>
      <c r="H134" s="6"/>
      <c r="I134" s="6"/>
      <c r="J134" s="6"/>
      <c r="K134" s="6"/>
      <c r="L134" s="6"/>
      <c r="M134" s="6"/>
      <c r="N134" s="6"/>
      <c r="O134" s="6"/>
      <c r="P134" s="6"/>
    </row>
    <row r="135" spans="1:16" ht="15" customHeight="1">
      <c r="A135" s="1"/>
      <c r="B135" s="1"/>
      <c r="C135" s="1"/>
      <c r="D135" s="1"/>
      <c r="E135" s="6"/>
      <c r="F135" s="1"/>
      <c r="G135" s="1"/>
      <c r="H135" s="6"/>
      <c r="I135" s="6"/>
      <c r="J135" s="6"/>
      <c r="K135" s="6"/>
      <c r="L135" s="6"/>
      <c r="M135" s="6"/>
      <c r="N135" s="6"/>
      <c r="O135" s="6"/>
      <c r="P135" s="6"/>
    </row>
    <row r="136" spans="1:16" ht="15" customHeight="1">
      <c r="A136" s="1"/>
      <c r="B136" s="1"/>
      <c r="C136" s="1"/>
      <c r="D136" s="1"/>
      <c r="E136" s="6"/>
      <c r="F136" s="1"/>
      <c r="G136" s="1"/>
      <c r="H136" s="6"/>
      <c r="I136" s="6"/>
      <c r="J136" s="6"/>
      <c r="K136" s="6"/>
      <c r="L136" s="6"/>
      <c r="M136" s="6"/>
      <c r="N136" s="6"/>
      <c r="O136" s="6"/>
      <c r="P136" s="6"/>
    </row>
    <row r="137" spans="1:16" ht="15" customHeight="1">
      <c r="A137" s="1"/>
      <c r="B137" s="1"/>
      <c r="C137" s="1"/>
      <c r="D137" s="1"/>
      <c r="E137" s="6"/>
      <c r="F137" s="1"/>
      <c r="G137" s="1"/>
      <c r="H137" s="6"/>
      <c r="I137" s="6"/>
      <c r="J137" s="6"/>
      <c r="K137" s="6"/>
      <c r="L137" s="6"/>
      <c r="M137" s="6"/>
      <c r="N137" s="6"/>
      <c r="O137" s="6"/>
      <c r="P137" s="6"/>
    </row>
    <row r="138" spans="1:16" ht="15" customHeight="1">
      <c r="A138" s="1"/>
      <c r="B138" s="1"/>
      <c r="C138" s="1"/>
      <c r="D138" s="1"/>
      <c r="E138" s="6"/>
      <c r="F138" s="1"/>
      <c r="G138" s="1"/>
      <c r="H138" s="6"/>
      <c r="I138" s="6"/>
      <c r="J138" s="6"/>
      <c r="K138" s="6"/>
      <c r="L138" s="6"/>
      <c r="M138" s="6"/>
      <c r="N138" s="6"/>
      <c r="O138" s="6"/>
      <c r="P138" s="6"/>
    </row>
    <row r="139" spans="1:16" ht="15" customHeight="1">
      <c r="A139" s="1"/>
      <c r="B139" s="1"/>
      <c r="C139" s="1"/>
      <c r="D139" s="1"/>
      <c r="E139" s="6"/>
      <c r="F139" s="1"/>
      <c r="G139" s="1"/>
      <c r="H139" s="6"/>
      <c r="I139" s="6"/>
      <c r="J139" s="6"/>
      <c r="K139" s="6"/>
      <c r="L139" s="6"/>
      <c r="M139" s="6"/>
      <c r="N139" s="6"/>
      <c r="O139" s="6"/>
      <c r="P139" s="6"/>
    </row>
    <row r="140" spans="1:16" ht="15" customHeight="1">
      <c r="A140" s="1"/>
      <c r="B140" s="1"/>
      <c r="C140" s="1"/>
      <c r="D140" s="1"/>
      <c r="E140" s="6"/>
      <c r="F140" s="1"/>
      <c r="G140" s="1"/>
      <c r="H140" s="6"/>
      <c r="I140" s="6"/>
      <c r="J140" s="6"/>
      <c r="K140" s="6"/>
      <c r="L140" s="6"/>
      <c r="M140" s="6"/>
      <c r="N140" s="6"/>
      <c r="O140" s="6"/>
      <c r="P140" s="6"/>
    </row>
    <row r="141" spans="1:16" ht="15" customHeight="1">
      <c r="A141" s="1"/>
      <c r="B141" s="1"/>
      <c r="C141" s="1"/>
      <c r="D141" s="1"/>
      <c r="E141" s="6"/>
      <c r="F141" s="1"/>
      <c r="G141" s="1"/>
      <c r="H141" s="6"/>
      <c r="I141" s="6"/>
      <c r="J141" s="6"/>
      <c r="K141" s="6"/>
      <c r="L141" s="6"/>
      <c r="M141" s="6"/>
      <c r="N141" s="6"/>
      <c r="O141" s="6"/>
      <c r="P141" s="6"/>
    </row>
    <row r="142" spans="1:16" ht="15" customHeight="1">
      <c r="A142" s="1"/>
      <c r="B142" s="1"/>
      <c r="C142" s="1"/>
      <c r="D142" s="1"/>
      <c r="E142" s="6"/>
      <c r="F142" s="1"/>
      <c r="G142" s="1"/>
      <c r="H142" s="6"/>
      <c r="I142" s="6"/>
      <c r="J142" s="6"/>
      <c r="K142" s="6"/>
      <c r="L142" s="6"/>
      <c r="M142" s="6"/>
      <c r="N142" s="6"/>
      <c r="O142" s="6"/>
      <c r="P142" s="6"/>
    </row>
    <row r="143" spans="1:16" ht="15" customHeight="1">
      <c r="A143" s="1"/>
      <c r="B143" s="1"/>
      <c r="C143" s="1"/>
      <c r="D143" s="1"/>
      <c r="E143" s="6"/>
      <c r="F143" s="1"/>
      <c r="G143" s="1"/>
      <c r="H143" s="6"/>
      <c r="I143" s="6"/>
      <c r="J143" s="6"/>
      <c r="K143" s="6"/>
      <c r="L143" s="6"/>
      <c r="M143" s="6"/>
      <c r="N143" s="6"/>
      <c r="O143" s="6"/>
      <c r="P143" s="6"/>
    </row>
    <row r="144" spans="1:16" ht="15" customHeight="1">
      <c r="A144" s="1"/>
      <c r="B144" s="1"/>
      <c r="C144" s="1"/>
      <c r="D144" s="1"/>
      <c r="E144" s="6"/>
      <c r="F144" s="1"/>
      <c r="G144" s="1"/>
      <c r="H144" s="6"/>
      <c r="I144" s="6"/>
      <c r="J144" s="6"/>
      <c r="K144" s="6"/>
      <c r="L144" s="6"/>
      <c r="M144" s="6"/>
      <c r="N144" s="6"/>
      <c r="O144" s="6"/>
      <c r="P144" s="6"/>
    </row>
    <row r="145" spans="1:16" ht="15" customHeight="1">
      <c r="A145" s="1"/>
      <c r="B145" s="1"/>
      <c r="C145" s="1"/>
      <c r="D145" s="1"/>
      <c r="E145" s="6"/>
      <c r="F145" s="1"/>
      <c r="G145" s="1"/>
      <c r="H145" s="6"/>
      <c r="I145" s="6"/>
      <c r="J145" s="6"/>
      <c r="K145" s="6"/>
      <c r="L145" s="6"/>
      <c r="M145" s="6"/>
      <c r="N145" s="6"/>
      <c r="O145" s="6"/>
      <c r="P145" s="6"/>
    </row>
    <row r="146" spans="1:16" ht="15" customHeight="1">
      <c r="A146" s="1"/>
      <c r="B146" s="1"/>
      <c r="C146" s="1"/>
      <c r="D146" s="1"/>
      <c r="E146" s="6"/>
      <c r="F146" s="1"/>
      <c r="G146" s="1"/>
      <c r="H146" s="6"/>
      <c r="I146" s="6"/>
      <c r="J146" s="6"/>
      <c r="K146" s="6"/>
      <c r="L146" s="6"/>
      <c r="M146" s="6"/>
      <c r="N146" s="6"/>
      <c r="O146" s="6"/>
      <c r="P146" s="6"/>
    </row>
    <row r="147" spans="1:16" ht="15" customHeight="1">
      <c r="A147" s="1"/>
      <c r="B147" s="1"/>
      <c r="C147" s="1"/>
      <c r="D147" s="1"/>
      <c r="E147" s="6"/>
      <c r="F147" s="1"/>
      <c r="G147" s="1"/>
      <c r="H147" s="6"/>
      <c r="I147" s="6"/>
      <c r="J147" s="6"/>
      <c r="K147" s="6"/>
      <c r="L147" s="6"/>
      <c r="M147" s="6"/>
      <c r="N147" s="6"/>
      <c r="O147" s="6"/>
      <c r="P147" s="6"/>
    </row>
    <row r="148" spans="1:16" ht="15" customHeight="1">
      <c r="A148" s="1"/>
      <c r="B148" s="1"/>
      <c r="C148" s="1"/>
      <c r="D148" s="1"/>
      <c r="E148" s="6"/>
      <c r="F148" s="1"/>
      <c r="G148" s="1"/>
      <c r="H148" s="6"/>
      <c r="I148" s="6"/>
      <c r="J148" s="6"/>
      <c r="K148" s="6"/>
      <c r="L148" s="6"/>
      <c r="M148" s="6"/>
      <c r="N148" s="6"/>
      <c r="O148" s="6"/>
      <c r="P148" s="6"/>
    </row>
    <row r="149" spans="1:16" ht="15" customHeight="1">
      <c r="A149" s="1"/>
      <c r="B149" s="1"/>
      <c r="C149" s="1"/>
      <c r="D149" s="1"/>
      <c r="E149" s="6"/>
      <c r="F149" s="1"/>
      <c r="G149" s="1"/>
      <c r="H149" s="6"/>
      <c r="I149" s="6"/>
      <c r="J149" s="6"/>
      <c r="K149" s="6"/>
      <c r="L149" s="6"/>
      <c r="M149" s="6"/>
      <c r="N149" s="6"/>
      <c r="O149" s="6"/>
      <c r="P149" s="6"/>
    </row>
    <row r="150" spans="1:16" ht="15" customHeight="1">
      <c r="A150" s="1"/>
      <c r="B150" s="1"/>
      <c r="C150" s="1"/>
      <c r="D150" s="1"/>
      <c r="E150" s="6"/>
      <c r="F150" s="1"/>
      <c r="G150" s="1"/>
      <c r="H150" s="6"/>
      <c r="I150" s="6"/>
      <c r="J150" s="6"/>
      <c r="K150" s="6"/>
      <c r="L150" s="6"/>
      <c r="M150" s="6"/>
      <c r="N150" s="6"/>
      <c r="O150" s="6"/>
      <c r="P150" s="6"/>
    </row>
    <row r="151" spans="1:16" ht="15" customHeight="1">
      <c r="A151" s="1"/>
      <c r="B151" s="1"/>
      <c r="C151" s="1"/>
      <c r="D151" s="1"/>
      <c r="E151" s="6"/>
      <c r="F151" s="1"/>
      <c r="G151" s="1"/>
      <c r="H151" s="6"/>
      <c r="I151" s="6"/>
      <c r="J151" s="6"/>
      <c r="K151" s="6"/>
      <c r="L151" s="6"/>
      <c r="M151" s="6"/>
      <c r="N151" s="6"/>
      <c r="O151" s="6"/>
      <c r="P151" s="6"/>
    </row>
    <row r="152" spans="1:16" ht="15" customHeight="1">
      <c r="A152" s="1"/>
      <c r="B152" s="1"/>
      <c r="C152" s="1"/>
      <c r="D152" s="1"/>
      <c r="E152" s="6"/>
      <c r="F152" s="1"/>
      <c r="G152" s="1"/>
      <c r="H152" s="6"/>
      <c r="I152" s="6"/>
      <c r="J152" s="6"/>
      <c r="K152" s="6"/>
      <c r="L152" s="6"/>
      <c r="M152" s="6"/>
      <c r="N152" s="6"/>
      <c r="O152" s="6"/>
      <c r="P152" s="6"/>
    </row>
    <row r="153" spans="1:16" ht="15" customHeight="1">
      <c r="A153" s="1"/>
      <c r="B153" s="1"/>
      <c r="C153" s="1"/>
      <c r="D153" s="1"/>
      <c r="E153" s="6"/>
      <c r="F153" s="1"/>
      <c r="G153" s="1"/>
      <c r="H153" s="6"/>
      <c r="I153" s="6"/>
      <c r="J153" s="6"/>
      <c r="K153" s="6"/>
      <c r="L153" s="6"/>
      <c r="M153" s="6"/>
      <c r="N153" s="6"/>
      <c r="O153" s="6"/>
      <c r="P153" s="6"/>
    </row>
    <row r="154" spans="1:16" ht="15" customHeight="1">
      <c r="A154" s="1"/>
      <c r="B154" s="1"/>
      <c r="C154" s="1"/>
      <c r="D154" s="1"/>
      <c r="E154" s="6"/>
      <c r="F154" s="1"/>
      <c r="G154" s="1"/>
      <c r="H154" s="6"/>
      <c r="I154" s="6"/>
      <c r="J154" s="6"/>
      <c r="K154" s="6"/>
      <c r="L154" s="6"/>
      <c r="M154" s="6"/>
      <c r="N154" s="6"/>
      <c r="O154" s="6"/>
      <c r="P154" s="6"/>
    </row>
    <row r="155" spans="1:16" ht="15" customHeight="1">
      <c r="A155" s="1"/>
      <c r="B155" s="1"/>
      <c r="C155" s="1"/>
      <c r="D155" s="1"/>
      <c r="E155" s="6"/>
      <c r="F155" s="1"/>
      <c r="G155" s="1"/>
      <c r="H155" s="6"/>
      <c r="I155" s="6"/>
      <c r="J155" s="6"/>
      <c r="K155" s="6"/>
      <c r="L155" s="6"/>
      <c r="M155" s="6"/>
      <c r="N155" s="6"/>
      <c r="O155" s="6"/>
      <c r="P155" s="6"/>
    </row>
    <row r="156" spans="1:16" ht="15" customHeight="1">
      <c r="A156" s="1"/>
      <c r="B156" s="1"/>
      <c r="C156" s="1"/>
      <c r="D156" s="1"/>
      <c r="E156" s="6"/>
      <c r="F156" s="1"/>
      <c r="G156" s="1"/>
      <c r="H156" s="6"/>
      <c r="I156" s="6"/>
      <c r="J156" s="6"/>
      <c r="K156" s="6"/>
      <c r="L156" s="6"/>
      <c r="M156" s="6"/>
      <c r="N156" s="6"/>
      <c r="O156" s="6"/>
      <c r="P156" s="6"/>
    </row>
    <row r="157" spans="1:16" ht="15" customHeight="1">
      <c r="A157" s="1"/>
      <c r="B157" s="1"/>
      <c r="C157" s="1"/>
      <c r="D157" s="1"/>
      <c r="E157" s="6"/>
      <c r="F157" s="1"/>
      <c r="G157" s="1"/>
      <c r="H157" s="6"/>
      <c r="I157" s="6"/>
      <c r="J157" s="6"/>
      <c r="K157" s="6"/>
      <c r="L157" s="6"/>
      <c r="M157" s="6"/>
      <c r="N157" s="6"/>
      <c r="O157" s="6"/>
      <c r="P157" s="6"/>
    </row>
    <row r="158" spans="1:16" ht="15" customHeight="1">
      <c r="A158" s="1"/>
      <c r="B158" s="1"/>
      <c r="C158" s="1"/>
      <c r="D158" s="1"/>
      <c r="E158" s="6"/>
      <c r="F158" s="1"/>
      <c r="G158" s="1"/>
      <c r="H158" s="6"/>
      <c r="I158" s="6"/>
      <c r="J158" s="6"/>
      <c r="K158" s="6"/>
      <c r="L158" s="6"/>
      <c r="M158" s="6"/>
      <c r="N158" s="6"/>
      <c r="O158" s="6"/>
      <c r="P158" s="6"/>
    </row>
    <row r="159" spans="1:16" ht="15" customHeight="1">
      <c r="A159" s="1"/>
      <c r="B159" s="1"/>
      <c r="C159" s="1"/>
      <c r="D159" s="1"/>
      <c r="E159" s="6"/>
      <c r="F159" s="1"/>
      <c r="G159" s="1"/>
      <c r="H159" s="6"/>
      <c r="I159" s="6"/>
      <c r="J159" s="6"/>
      <c r="K159" s="6"/>
      <c r="L159" s="6"/>
      <c r="M159" s="6"/>
      <c r="N159" s="6"/>
      <c r="O159" s="6"/>
      <c r="P159" s="6"/>
    </row>
    <row r="160" spans="1:16" ht="15" customHeight="1">
      <c r="A160" s="1"/>
      <c r="B160" s="1"/>
      <c r="C160" s="1"/>
      <c r="D160" s="1"/>
      <c r="E160" s="6"/>
      <c r="F160" s="1"/>
      <c r="G160" s="1"/>
      <c r="H160" s="6"/>
      <c r="I160" s="6"/>
      <c r="J160" s="6"/>
      <c r="K160" s="6"/>
      <c r="L160" s="6"/>
      <c r="M160" s="6"/>
      <c r="N160" s="6"/>
      <c r="O160" s="6"/>
      <c r="P160" s="6"/>
    </row>
    <row r="161" spans="1:16" ht="15" customHeight="1">
      <c r="A161" s="1"/>
      <c r="B161" s="1"/>
      <c r="C161" s="1"/>
      <c r="D161" s="1"/>
      <c r="E161" s="6"/>
      <c r="F161" s="1"/>
      <c r="G161" s="1"/>
      <c r="H161" s="6"/>
      <c r="I161" s="6"/>
      <c r="J161" s="6"/>
      <c r="K161" s="6"/>
      <c r="L161" s="6"/>
      <c r="M161" s="6"/>
      <c r="N161" s="6"/>
      <c r="O161" s="6"/>
      <c r="P161" s="6"/>
    </row>
    <row r="162" spans="1:16" ht="15" customHeight="1">
      <c r="A162" s="1"/>
      <c r="B162" s="1"/>
      <c r="C162" s="1"/>
      <c r="D162" s="1"/>
      <c r="E162" s="6"/>
      <c r="F162" s="1"/>
      <c r="G162" s="1"/>
      <c r="H162" s="6"/>
      <c r="I162" s="6"/>
      <c r="J162" s="6"/>
      <c r="K162" s="6"/>
      <c r="L162" s="6"/>
      <c r="M162" s="6"/>
      <c r="N162" s="6"/>
      <c r="O162" s="6"/>
      <c r="P162" s="6"/>
    </row>
    <row r="163" spans="1:16" ht="15" customHeight="1">
      <c r="A163" s="1"/>
      <c r="B163" s="1"/>
      <c r="C163" s="1"/>
      <c r="D163" s="1"/>
      <c r="E163" s="6"/>
      <c r="F163" s="1"/>
      <c r="G163" s="1"/>
      <c r="H163" s="6"/>
      <c r="I163" s="6"/>
      <c r="J163" s="6"/>
      <c r="K163" s="6"/>
      <c r="L163" s="6"/>
      <c r="M163" s="6"/>
      <c r="N163" s="6"/>
      <c r="O163" s="6"/>
      <c r="P163" s="6"/>
    </row>
    <row r="164" spans="1:16" ht="15" customHeight="1">
      <c r="A164" s="1"/>
      <c r="B164" s="1"/>
      <c r="C164" s="1"/>
      <c r="D164" s="1"/>
      <c r="E164" s="6"/>
      <c r="F164" s="1"/>
      <c r="G164" s="1"/>
      <c r="H164" s="6"/>
      <c r="I164" s="6"/>
      <c r="J164" s="6"/>
      <c r="K164" s="6"/>
      <c r="L164" s="6"/>
      <c r="M164" s="6"/>
      <c r="N164" s="6"/>
      <c r="O164" s="6"/>
      <c r="P164" s="6"/>
    </row>
    <row r="165" spans="1:16" ht="15" customHeight="1">
      <c r="A165" s="1"/>
      <c r="B165" s="1"/>
      <c r="C165" s="1"/>
      <c r="D165" s="1"/>
      <c r="E165" s="6"/>
      <c r="F165" s="1"/>
      <c r="G165" s="1"/>
      <c r="H165" s="6"/>
      <c r="I165" s="6"/>
      <c r="J165" s="6"/>
      <c r="K165" s="6"/>
      <c r="L165" s="6"/>
      <c r="M165" s="6"/>
      <c r="N165" s="6"/>
      <c r="O165" s="6"/>
      <c r="P165" s="6"/>
    </row>
    <row r="166" spans="1:16" ht="15" customHeight="1">
      <c r="A166" s="1"/>
      <c r="B166" s="1"/>
      <c r="C166" s="1"/>
      <c r="D166" s="1"/>
      <c r="E166" s="6"/>
      <c r="F166" s="1"/>
      <c r="G166" s="1"/>
      <c r="H166" s="6"/>
      <c r="I166" s="6"/>
      <c r="J166" s="6"/>
      <c r="K166" s="6"/>
      <c r="L166" s="6"/>
      <c r="M166" s="6"/>
      <c r="N166" s="6"/>
      <c r="O166" s="6"/>
      <c r="P166" s="6"/>
    </row>
    <row r="167" spans="1:16" ht="15" customHeight="1">
      <c r="A167" s="1"/>
      <c r="B167" s="1"/>
      <c r="C167" s="1"/>
      <c r="D167" s="1"/>
      <c r="E167" s="6"/>
      <c r="F167" s="1"/>
      <c r="G167" s="1"/>
      <c r="H167" s="6"/>
      <c r="I167" s="6"/>
      <c r="J167" s="6"/>
      <c r="K167" s="6"/>
      <c r="L167" s="6"/>
      <c r="M167" s="6"/>
      <c r="N167" s="6"/>
      <c r="O167" s="6"/>
      <c r="P167" s="6"/>
    </row>
    <row r="168" spans="1:16" ht="15" customHeight="1">
      <c r="A168" s="1"/>
      <c r="B168" s="1"/>
      <c r="C168" s="1"/>
      <c r="D168" s="1"/>
      <c r="E168" s="6"/>
      <c r="F168" s="1"/>
      <c r="G168" s="1"/>
      <c r="H168" s="6"/>
      <c r="I168" s="6"/>
      <c r="J168" s="6"/>
      <c r="K168" s="6"/>
      <c r="L168" s="6"/>
      <c r="M168" s="6"/>
      <c r="N168" s="6"/>
      <c r="O168" s="6"/>
      <c r="P168" s="6"/>
    </row>
    <row r="169" spans="1:16" ht="15" customHeight="1">
      <c r="A169" s="1"/>
      <c r="B169" s="1"/>
      <c r="C169" s="1"/>
      <c r="D169" s="1"/>
      <c r="E169" s="6"/>
      <c r="F169" s="1"/>
      <c r="G169" s="1"/>
      <c r="H169" s="6"/>
      <c r="I169" s="6"/>
      <c r="J169" s="6"/>
      <c r="K169" s="6"/>
      <c r="L169" s="6"/>
      <c r="M169" s="6"/>
      <c r="N169" s="6"/>
      <c r="O169" s="6"/>
      <c r="P169" s="6"/>
    </row>
    <row r="170" spans="1:16" ht="15" customHeight="1">
      <c r="A170" s="1"/>
      <c r="B170" s="1"/>
      <c r="C170" s="1"/>
      <c r="D170" s="1"/>
      <c r="E170" s="6"/>
      <c r="F170" s="1"/>
      <c r="G170" s="1"/>
      <c r="H170" s="6"/>
      <c r="I170" s="6"/>
      <c r="J170" s="6"/>
      <c r="K170" s="6"/>
      <c r="L170" s="6"/>
      <c r="M170" s="6"/>
      <c r="N170" s="6"/>
      <c r="O170" s="6"/>
      <c r="P170" s="6"/>
    </row>
    <row r="171" spans="1:16" ht="15" customHeight="1">
      <c r="A171" s="1"/>
      <c r="B171" s="1"/>
      <c r="C171" s="1"/>
      <c r="D171" s="1"/>
      <c r="E171" s="6"/>
      <c r="F171" s="1"/>
      <c r="G171" s="1"/>
      <c r="H171" s="6"/>
      <c r="I171" s="6"/>
      <c r="J171" s="6"/>
      <c r="K171" s="6"/>
      <c r="L171" s="6"/>
      <c r="M171" s="6"/>
      <c r="N171" s="6"/>
      <c r="O171" s="6"/>
      <c r="P171" s="6"/>
    </row>
    <row r="172" spans="1:16" ht="15" customHeight="1">
      <c r="A172" s="1"/>
      <c r="B172" s="1"/>
      <c r="C172" s="1"/>
      <c r="D172" s="1"/>
      <c r="E172" s="6"/>
      <c r="F172" s="1"/>
      <c r="G172" s="1"/>
      <c r="H172" s="6"/>
      <c r="I172" s="6"/>
      <c r="J172" s="6"/>
      <c r="K172" s="6"/>
      <c r="L172" s="6"/>
      <c r="M172" s="6"/>
      <c r="N172" s="6"/>
      <c r="O172" s="6"/>
      <c r="P172" s="6"/>
    </row>
    <row r="173" spans="1:16" ht="15" customHeight="1">
      <c r="A173" s="1"/>
      <c r="B173" s="1"/>
      <c r="C173" s="1"/>
      <c r="D173" s="1"/>
      <c r="E173" s="6"/>
      <c r="F173" s="1"/>
      <c r="G173" s="1"/>
      <c r="H173" s="6"/>
      <c r="I173" s="6"/>
      <c r="J173" s="6"/>
      <c r="K173" s="6"/>
      <c r="L173" s="6"/>
      <c r="M173" s="6"/>
      <c r="N173" s="6"/>
      <c r="O173" s="6"/>
      <c r="P173" s="6"/>
    </row>
    <row r="174" spans="1:16" ht="15" customHeight="1">
      <c r="A174" s="1"/>
      <c r="B174" s="1"/>
      <c r="C174" s="1"/>
      <c r="D174" s="1"/>
      <c r="E174" s="6"/>
      <c r="F174" s="1"/>
      <c r="G174" s="1"/>
      <c r="H174" s="6"/>
      <c r="I174" s="6"/>
      <c r="J174" s="6"/>
      <c r="K174" s="6"/>
      <c r="L174" s="6"/>
      <c r="M174" s="6"/>
      <c r="N174" s="6"/>
      <c r="O174" s="6"/>
      <c r="P174" s="6"/>
    </row>
    <row r="175" spans="1:16" ht="15" customHeight="1">
      <c r="A175" s="1"/>
      <c r="B175" s="1"/>
      <c r="C175" s="1"/>
      <c r="D175" s="1"/>
      <c r="E175" s="6"/>
      <c r="F175" s="1"/>
      <c r="G175" s="1"/>
      <c r="H175" s="6"/>
      <c r="I175" s="6"/>
      <c r="J175" s="6"/>
      <c r="K175" s="6"/>
      <c r="L175" s="6"/>
      <c r="M175" s="6"/>
      <c r="N175" s="6"/>
      <c r="O175" s="6"/>
      <c r="P175" s="6"/>
    </row>
    <row r="176" spans="1:16" ht="15" customHeight="1">
      <c r="A176" s="1"/>
      <c r="B176" s="1"/>
      <c r="C176" s="1"/>
      <c r="D176" s="1"/>
      <c r="E176" s="6"/>
      <c r="F176" s="1"/>
      <c r="G176" s="1"/>
      <c r="H176" s="6"/>
      <c r="I176" s="6"/>
      <c r="J176" s="6"/>
      <c r="K176" s="6"/>
      <c r="L176" s="6"/>
      <c r="M176" s="6"/>
      <c r="N176" s="6"/>
      <c r="O176" s="6"/>
      <c r="P176" s="6"/>
    </row>
    <row r="177" spans="1:16" ht="15" customHeight="1">
      <c r="A177" s="1"/>
      <c r="B177" s="1"/>
      <c r="C177" s="1"/>
      <c r="D177" s="1"/>
      <c r="E177" s="6"/>
      <c r="F177" s="1"/>
      <c r="G177" s="1"/>
      <c r="H177" s="6"/>
      <c r="I177" s="6"/>
      <c r="J177" s="6"/>
      <c r="K177" s="6"/>
      <c r="L177" s="6"/>
      <c r="M177" s="6"/>
      <c r="N177" s="6"/>
      <c r="O177" s="6"/>
      <c r="P177" s="6"/>
    </row>
    <row r="178" spans="1:16" ht="15" customHeight="1">
      <c r="A178" s="1"/>
      <c r="B178" s="1"/>
      <c r="C178" s="1"/>
      <c r="D178" s="1"/>
      <c r="E178" s="6"/>
      <c r="F178" s="1"/>
      <c r="G178" s="1"/>
      <c r="H178" s="6"/>
      <c r="I178" s="6"/>
      <c r="J178" s="6"/>
      <c r="K178" s="6"/>
      <c r="L178" s="6"/>
      <c r="M178" s="6"/>
      <c r="N178" s="6"/>
      <c r="O178" s="6"/>
      <c r="P178" s="6"/>
    </row>
    <row r="179" spans="1:16" ht="15" customHeight="1">
      <c r="A179" s="1"/>
      <c r="B179" s="1"/>
      <c r="C179" s="1"/>
      <c r="D179" s="1"/>
      <c r="E179" s="6"/>
      <c r="F179" s="1"/>
      <c r="G179" s="1"/>
      <c r="H179" s="6"/>
      <c r="I179" s="6"/>
      <c r="J179" s="6"/>
      <c r="K179" s="6"/>
      <c r="L179" s="6"/>
      <c r="M179" s="6"/>
      <c r="N179" s="6"/>
      <c r="O179" s="6"/>
      <c r="P179" s="6"/>
    </row>
    <row r="180" spans="1:16" ht="15" customHeight="1">
      <c r="A180" s="1"/>
      <c r="B180" s="1"/>
      <c r="C180" s="1"/>
      <c r="D180" s="1"/>
      <c r="E180" s="6"/>
      <c r="F180" s="1"/>
      <c r="G180" s="1"/>
      <c r="H180" s="6"/>
      <c r="I180" s="6"/>
      <c r="J180" s="6"/>
      <c r="K180" s="6"/>
      <c r="L180" s="6"/>
      <c r="M180" s="6"/>
      <c r="N180" s="6"/>
      <c r="O180" s="6"/>
      <c r="P180" s="6"/>
    </row>
    <row r="181" spans="1:16" ht="15" customHeight="1">
      <c r="A181" s="1"/>
      <c r="B181" s="1"/>
      <c r="C181" s="1"/>
      <c r="D181" s="1"/>
      <c r="E181" s="6"/>
      <c r="F181" s="1"/>
      <c r="G181" s="1"/>
      <c r="H181" s="6"/>
      <c r="I181" s="6"/>
      <c r="J181" s="6"/>
      <c r="K181" s="6"/>
      <c r="L181" s="6"/>
      <c r="M181" s="6"/>
      <c r="N181" s="6"/>
      <c r="O181" s="6"/>
      <c r="P181" s="6"/>
    </row>
    <row r="182" spans="1:16" ht="15" customHeight="1">
      <c r="A182" s="1"/>
      <c r="B182" s="1"/>
      <c r="C182" s="1"/>
      <c r="D182" s="1"/>
      <c r="E182" s="6"/>
      <c r="F182" s="1"/>
      <c r="G182" s="1"/>
      <c r="H182" s="6"/>
      <c r="I182" s="6"/>
      <c r="J182" s="6"/>
      <c r="K182" s="6"/>
      <c r="L182" s="6"/>
      <c r="M182" s="6"/>
      <c r="N182" s="6"/>
      <c r="O182" s="6"/>
      <c r="P182" s="6"/>
    </row>
    <row r="183" spans="1:16" ht="15" customHeight="1">
      <c r="A183" s="1"/>
      <c r="B183" s="1"/>
      <c r="C183" s="1"/>
      <c r="D183" s="1"/>
      <c r="E183" s="6"/>
      <c r="F183" s="1"/>
      <c r="G183" s="1"/>
      <c r="H183" s="6"/>
      <c r="I183" s="6"/>
      <c r="J183" s="6"/>
      <c r="K183" s="6"/>
      <c r="L183" s="6"/>
      <c r="M183" s="6"/>
      <c r="N183" s="6"/>
      <c r="O183" s="6"/>
      <c r="P183" s="6"/>
    </row>
    <row r="184" spans="1:16" ht="15" customHeight="1">
      <c r="A184" s="1"/>
      <c r="B184" s="1"/>
      <c r="C184" s="1"/>
      <c r="D184" s="1"/>
      <c r="E184" s="6"/>
      <c r="F184" s="1"/>
      <c r="G184" s="1"/>
      <c r="H184" s="6"/>
      <c r="I184" s="6"/>
      <c r="J184" s="6"/>
      <c r="K184" s="6"/>
      <c r="L184" s="6"/>
      <c r="M184" s="6"/>
      <c r="N184" s="6"/>
      <c r="O184" s="6"/>
      <c r="P184" s="6"/>
    </row>
    <row r="185" spans="1:16" ht="15" customHeight="1">
      <c r="A185" s="1"/>
      <c r="B185" s="1"/>
      <c r="C185" s="1"/>
      <c r="D185" s="1"/>
      <c r="E185" s="6"/>
      <c r="F185" s="1"/>
      <c r="G185" s="1"/>
      <c r="H185" s="6"/>
      <c r="I185" s="6"/>
      <c r="J185" s="6"/>
      <c r="K185" s="6"/>
      <c r="L185" s="6"/>
      <c r="M185" s="6"/>
      <c r="N185" s="6"/>
      <c r="O185" s="6"/>
      <c r="P185" s="6"/>
    </row>
    <row r="186" spans="1:16" ht="15" customHeight="1">
      <c r="A186" s="1"/>
      <c r="B186" s="1"/>
      <c r="C186" s="1"/>
      <c r="D186" s="1"/>
      <c r="E186" s="6"/>
      <c r="F186" s="1"/>
      <c r="G186" s="1"/>
      <c r="H186" s="6"/>
      <c r="I186" s="6"/>
      <c r="J186" s="6"/>
      <c r="K186" s="6"/>
      <c r="L186" s="6"/>
      <c r="M186" s="6"/>
      <c r="N186" s="6"/>
      <c r="O186" s="6"/>
      <c r="P186" s="6"/>
    </row>
    <row r="187" spans="1:16" ht="15" customHeight="1">
      <c r="A187" s="1"/>
      <c r="B187" s="1"/>
      <c r="C187" s="1"/>
      <c r="D187" s="1"/>
      <c r="E187" s="6"/>
      <c r="F187" s="1"/>
      <c r="G187" s="1"/>
      <c r="H187" s="6"/>
      <c r="I187" s="6"/>
      <c r="J187" s="6"/>
      <c r="K187" s="6"/>
      <c r="L187" s="6"/>
      <c r="M187" s="6"/>
      <c r="N187" s="6"/>
      <c r="O187" s="6"/>
      <c r="P187" s="6"/>
    </row>
    <row r="188" spans="1:16" ht="15" customHeight="1">
      <c r="A188" s="1"/>
      <c r="B188" s="1"/>
      <c r="C188" s="1"/>
      <c r="D188" s="1"/>
      <c r="E188" s="6"/>
      <c r="F188" s="1"/>
      <c r="G188" s="1"/>
      <c r="H188" s="6"/>
      <c r="I188" s="6"/>
      <c r="J188" s="6"/>
      <c r="K188" s="6"/>
      <c r="L188" s="6"/>
      <c r="M188" s="6"/>
      <c r="N188" s="6"/>
      <c r="O188" s="6"/>
      <c r="P188" s="6"/>
    </row>
    <row r="189" spans="1:16" ht="15" customHeight="1">
      <c r="A189" s="1"/>
      <c r="B189" s="1"/>
      <c r="C189" s="1"/>
      <c r="D189" s="1"/>
      <c r="E189" s="6"/>
      <c r="F189" s="1"/>
      <c r="G189" s="1"/>
      <c r="H189" s="6"/>
      <c r="I189" s="6"/>
      <c r="J189" s="6"/>
      <c r="K189" s="6"/>
      <c r="L189" s="6"/>
      <c r="M189" s="6"/>
      <c r="N189" s="6"/>
      <c r="O189" s="6"/>
      <c r="P189" s="6"/>
    </row>
    <row r="190" spans="1:16" ht="15" customHeight="1">
      <c r="A190" s="1"/>
      <c r="B190" s="1"/>
      <c r="C190" s="1"/>
      <c r="D190" s="1"/>
      <c r="E190" s="6"/>
      <c r="F190" s="1"/>
      <c r="G190" s="1"/>
      <c r="H190" s="6"/>
      <c r="I190" s="6"/>
      <c r="J190" s="6"/>
      <c r="K190" s="6"/>
      <c r="L190" s="6"/>
      <c r="M190" s="6"/>
      <c r="N190" s="6"/>
      <c r="O190" s="6"/>
      <c r="P190" s="6"/>
    </row>
    <row r="191" spans="1:16" ht="15" customHeight="1">
      <c r="A191" s="1"/>
      <c r="B191" s="1"/>
      <c r="C191" s="1"/>
      <c r="D191" s="1"/>
      <c r="E191" s="6"/>
      <c r="F191" s="1"/>
      <c r="G191" s="1"/>
      <c r="H191" s="6"/>
      <c r="I191" s="6"/>
      <c r="J191" s="6"/>
      <c r="K191" s="6"/>
      <c r="L191" s="6"/>
      <c r="M191" s="6"/>
      <c r="N191" s="6"/>
      <c r="O191" s="6"/>
      <c r="P191" s="6"/>
    </row>
    <row r="192" spans="1:16" ht="15" customHeight="1">
      <c r="A192" s="1"/>
      <c r="B192" s="1"/>
      <c r="C192" s="1"/>
      <c r="D192" s="1"/>
      <c r="E192" s="6"/>
      <c r="F192" s="1"/>
      <c r="G192" s="1"/>
      <c r="H192" s="6"/>
      <c r="I192" s="6"/>
      <c r="J192" s="6"/>
      <c r="K192" s="6"/>
      <c r="L192" s="6"/>
      <c r="M192" s="6"/>
      <c r="N192" s="6"/>
      <c r="O192" s="6"/>
      <c r="P192" s="6"/>
    </row>
    <row r="193" spans="1:16" ht="15" customHeight="1">
      <c r="A193" s="1"/>
      <c r="B193" s="1"/>
      <c r="C193" s="1"/>
      <c r="D193" s="1"/>
      <c r="E193" s="6"/>
      <c r="F193" s="1"/>
      <c r="G193" s="1"/>
      <c r="H193" s="6"/>
      <c r="I193" s="6"/>
      <c r="J193" s="6"/>
      <c r="K193" s="6"/>
      <c r="L193" s="6"/>
      <c r="M193" s="6"/>
      <c r="N193" s="6"/>
      <c r="O193" s="6"/>
      <c r="P193" s="6"/>
    </row>
    <row r="194" spans="1:16" ht="15" customHeight="1">
      <c r="A194" s="1"/>
      <c r="B194" s="1"/>
      <c r="C194" s="1"/>
      <c r="D194" s="1"/>
      <c r="E194" s="6"/>
      <c r="F194" s="1"/>
      <c r="G194" s="1"/>
      <c r="H194" s="6"/>
      <c r="I194" s="6"/>
      <c r="J194" s="6"/>
      <c r="K194" s="6"/>
      <c r="L194" s="6"/>
      <c r="M194" s="6"/>
      <c r="N194" s="6"/>
      <c r="O194" s="6"/>
      <c r="P194" s="6"/>
    </row>
    <row r="195" spans="1:16" ht="15" customHeight="1">
      <c r="A195" s="1"/>
      <c r="B195" s="1"/>
      <c r="C195" s="1"/>
      <c r="D195" s="1"/>
      <c r="E195" s="6"/>
      <c r="F195" s="1"/>
      <c r="G195" s="1"/>
      <c r="H195" s="6"/>
      <c r="I195" s="6"/>
      <c r="J195" s="6"/>
      <c r="K195" s="6"/>
      <c r="L195" s="6"/>
      <c r="M195" s="6"/>
      <c r="N195" s="6"/>
      <c r="O195" s="6"/>
      <c r="P195" s="6"/>
    </row>
    <row r="196" spans="1:16" ht="15" customHeight="1">
      <c r="A196" s="1"/>
      <c r="B196" s="1"/>
      <c r="C196" s="1"/>
      <c r="D196" s="1"/>
      <c r="E196" s="6"/>
      <c r="F196" s="1"/>
      <c r="G196" s="1"/>
      <c r="H196" s="6"/>
      <c r="I196" s="6"/>
      <c r="J196" s="6"/>
      <c r="K196" s="6"/>
      <c r="L196" s="6"/>
      <c r="M196" s="6"/>
      <c r="N196" s="6"/>
      <c r="O196" s="6"/>
      <c r="P196" s="6"/>
    </row>
    <row r="197" spans="1:16" ht="15" customHeight="1">
      <c r="A197" s="1"/>
      <c r="B197" s="1"/>
      <c r="C197" s="1"/>
      <c r="D197" s="1"/>
      <c r="E197" s="6"/>
      <c r="F197" s="1"/>
      <c r="G197" s="1"/>
      <c r="H197" s="6"/>
      <c r="I197" s="6"/>
      <c r="J197" s="6"/>
      <c r="K197" s="6"/>
      <c r="L197" s="6"/>
      <c r="M197" s="6"/>
      <c r="N197" s="6"/>
      <c r="O197" s="6"/>
      <c r="P197" s="6"/>
    </row>
    <row r="198" spans="1:16" ht="15" customHeight="1">
      <c r="A198" s="1"/>
      <c r="B198" s="1"/>
      <c r="C198" s="1"/>
      <c r="D198" s="1"/>
      <c r="E198" s="6"/>
      <c r="F198" s="1"/>
      <c r="G198" s="1"/>
      <c r="H198" s="6"/>
      <c r="I198" s="6"/>
      <c r="J198" s="6"/>
      <c r="K198" s="6"/>
      <c r="L198" s="6"/>
      <c r="M198" s="6"/>
      <c r="N198" s="6"/>
      <c r="O198" s="6"/>
      <c r="P198" s="6"/>
    </row>
    <row r="199" spans="1:16" ht="15" customHeight="1">
      <c r="A199" s="1"/>
      <c r="B199" s="1"/>
      <c r="C199" s="1"/>
      <c r="D199" s="1"/>
      <c r="E199" s="6"/>
      <c r="F199" s="1"/>
      <c r="G199" s="1"/>
      <c r="H199" s="6"/>
      <c r="I199" s="6"/>
      <c r="J199" s="6"/>
      <c r="K199" s="6"/>
      <c r="L199" s="6"/>
      <c r="M199" s="6"/>
      <c r="N199" s="6"/>
      <c r="O199" s="6"/>
      <c r="P199" s="6"/>
    </row>
    <row r="200" spans="1:16" ht="15" customHeight="1">
      <c r="A200" s="1"/>
      <c r="B200" s="1"/>
      <c r="C200" s="1"/>
      <c r="D200" s="1"/>
      <c r="E200" s="6"/>
      <c r="F200" s="1"/>
      <c r="G200" s="1"/>
      <c r="H200" s="6"/>
      <c r="I200" s="6"/>
      <c r="J200" s="6"/>
      <c r="K200" s="6"/>
      <c r="L200" s="6"/>
      <c r="M200" s="6"/>
      <c r="N200" s="6"/>
      <c r="O200" s="6"/>
      <c r="P200" s="6"/>
    </row>
    <row r="201" spans="1:16" ht="15" customHeight="1">
      <c r="A201" s="1"/>
      <c r="B201" s="1"/>
      <c r="C201" s="1"/>
      <c r="D201" s="1"/>
      <c r="E201" s="1"/>
      <c r="F201" s="1"/>
      <c r="G201" s="1"/>
      <c r="H201" s="6"/>
      <c r="I201" s="6"/>
      <c r="J201" s="6"/>
      <c r="K201" s="6"/>
      <c r="L201" s="6"/>
      <c r="M201" s="6"/>
      <c r="N201" s="6"/>
      <c r="O201" s="6"/>
      <c r="P201" s="6"/>
    </row>
    <row r="202" spans="1:16" ht="15" customHeight="1">
      <c r="A202" s="1"/>
      <c r="B202" s="1"/>
      <c r="C202" s="1"/>
      <c r="D202" s="1"/>
      <c r="E202" s="1"/>
      <c r="F202" s="1"/>
      <c r="G202" s="1"/>
      <c r="H202" s="6"/>
      <c r="I202" s="6"/>
      <c r="J202" s="6"/>
      <c r="K202" s="6"/>
      <c r="L202" s="6"/>
      <c r="M202" s="6"/>
      <c r="N202" s="6"/>
      <c r="O202" s="6"/>
      <c r="P202" s="6"/>
    </row>
    <row r="203" spans="1:16" ht="15" customHeight="1">
      <c r="A203" s="1"/>
      <c r="B203" s="1"/>
      <c r="C203" s="1"/>
      <c r="D203" s="1"/>
      <c r="E203" s="6"/>
      <c r="F203" s="1"/>
      <c r="G203" s="1"/>
      <c r="H203" s="6"/>
      <c r="I203" s="6"/>
      <c r="J203" s="6"/>
      <c r="K203" s="6"/>
      <c r="L203" s="6"/>
      <c r="M203" s="6"/>
      <c r="N203" s="6"/>
      <c r="O203" s="6"/>
      <c r="P203" s="6"/>
    </row>
    <row r="204" spans="1:16" ht="15" customHeight="1">
      <c r="A204" s="1"/>
      <c r="B204" s="1"/>
      <c r="C204" s="1"/>
      <c r="D204" s="1"/>
      <c r="E204" s="6"/>
      <c r="F204" s="1"/>
      <c r="G204" s="1"/>
      <c r="H204" s="6"/>
      <c r="I204" s="6"/>
      <c r="J204" s="6"/>
      <c r="K204" s="6"/>
      <c r="L204" s="6"/>
      <c r="M204" s="6"/>
      <c r="N204" s="6"/>
      <c r="O204" s="6"/>
      <c r="P204" s="6"/>
    </row>
    <row r="205" spans="1:16" ht="15" customHeight="1">
      <c r="A205" s="1"/>
      <c r="B205" s="1"/>
      <c r="C205" s="1"/>
      <c r="D205" s="1"/>
      <c r="E205" s="6"/>
      <c r="F205" s="1"/>
      <c r="G205" s="1"/>
      <c r="H205" s="6"/>
      <c r="I205" s="6"/>
      <c r="J205" s="6"/>
      <c r="K205" s="6"/>
      <c r="L205" s="6"/>
      <c r="M205" s="6"/>
      <c r="N205" s="6"/>
      <c r="O205" s="6"/>
      <c r="P205" s="6"/>
    </row>
    <row r="206" spans="1:16" ht="15" customHeight="1">
      <c r="A206" s="1"/>
      <c r="B206" s="1"/>
      <c r="C206" s="1"/>
      <c r="D206" s="1"/>
      <c r="E206" s="6"/>
      <c r="F206" s="1"/>
      <c r="G206" s="1"/>
      <c r="H206" s="6"/>
      <c r="I206" s="6"/>
      <c r="J206" s="6"/>
      <c r="K206" s="6"/>
      <c r="L206" s="6"/>
      <c r="M206" s="6"/>
      <c r="N206" s="6"/>
      <c r="O206" s="6"/>
      <c r="P206" s="6"/>
    </row>
    <row r="207" spans="1:16" ht="15" customHeight="1">
      <c r="A207" s="1"/>
      <c r="B207" s="1"/>
      <c r="C207" s="1"/>
      <c r="D207" s="1"/>
      <c r="E207" s="1"/>
      <c r="F207" s="1"/>
      <c r="G207" s="1"/>
      <c r="H207" s="6"/>
      <c r="I207" s="6"/>
      <c r="J207" s="6"/>
      <c r="K207" s="6"/>
      <c r="L207" s="6"/>
      <c r="M207" s="6"/>
      <c r="N207" s="6"/>
      <c r="O207" s="6"/>
      <c r="P207" s="6"/>
    </row>
    <row r="208" spans="1:16" ht="15" customHeight="1">
      <c r="A208" s="1"/>
      <c r="B208" s="1"/>
      <c r="C208" s="1"/>
      <c r="D208" s="1"/>
      <c r="E208" s="1"/>
      <c r="F208" s="1"/>
      <c r="G208" s="1"/>
      <c r="H208" s="6"/>
      <c r="I208" s="6"/>
      <c r="J208" s="6"/>
      <c r="K208" s="6"/>
      <c r="L208" s="6"/>
      <c r="M208" s="6"/>
      <c r="N208" s="6"/>
      <c r="O208" s="6"/>
      <c r="P208" s="6"/>
    </row>
    <row r="209" spans="1:16" ht="15" customHeight="1">
      <c r="A209" s="1"/>
      <c r="B209" s="1"/>
      <c r="C209" s="1"/>
      <c r="D209" s="1"/>
      <c r="E209" s="6"/>
      <c r="F209" s="1"/>
      <c r="G209" s="1"/>
      <c r="H209" s="6"/>
      <c r="I209" s="6"/>
      <c r="J209" s="6"/>
      <c r="K209" s="6"/>
      <c r="L209" s="6"/>
      <c r="M209" s="6"/>
      <c r="N209" s="6"/>
      <c r="O209" s="6"/>
      <c r="P209" s="6"/>
    </row>
    <row r="210" spans="1:16" ht="15" customHeight="1">
      <c r="A210" s="1"/>
      <c r="B210" s="1"/>
      <c r="C210" s="1"/>
      <c r="D210" s="1"/>
      <c r="E210" s="6"/>
      <c r="F210" s="1"/>
      <c r="G210" s="1"/>
      <c r="H210" s="6"/>
      <c r="I210" s="6"/>
      <c r="J210" s="6"/>
      <c r="K210" s="6"/>
      <c r="L210" s="6"/>
      <c r="M210" s="6"/>
      <c r="N210" s="6"/>
      <c r="O210" s="6"/>
      <c r="P210" s="6"/>
    </row>
    <row r="211" spans="1:16" ht="15" customHeight="1">
      <c r="A211" s="1"/>
      <c r="B211" s="1"/>
      <c r="C211" s="1"/>
      <c r="D211" s="1"/>
      <c r="E211" s="6"/>
      <c r="F211" s="1"/>
      <c r="G211" s="1"/>
      <c r="H211" s="6"/>
      <c r="I211" s="6"/>
      <c r="J211" s="6"/>
      <c r="K211" s="6"/>
      <c r="L211" s="6"/>
      <c r="M211" s="6"/>
      <c r="N211" s="6"/>
      <c r="O211" s="6"/>
      <c r="P211" s="6"/>
    </row>
    <row r="212" spans="1:16" ht="15" customHeight="1">
      <c r="A212" s="1"/>
      <c r="B212" s="1"/>
      <c r="C212" s="1"/>
      <c r="D212" s="1"/>
      <c r="E212" s="6"/>
      <c r="F212" s="1"/>
      <c r="G212" s="1"/>
      <c r="H212" s="6"/>
      <c r="I212" s="6"/>
      <c r="J212" s="6"/>
      <c r="K212" s="6"/>
      <c r="L212" s="6"/>
      <c r="M212" s="6"/>
      <c r="N212" s="6"/>
      <c r="O212" s="6"/>
      <c r="P212" s="6"/>
    </row>
    <row r="213" spans="1:16" ht="15" customHeight="1">
      <c r="A213" s="1"/>
      <c r="B213" s="1"/>
      <c r="C213" s="1"/>
      <c r="D213" s="1"/>
      <c r="E213" s="6"/>
      <c r="F213" s="1"/>
      <c r="G213" s="1"/>
      <c r="H213" s="6"/>
      <c r="I213" s="6"/>
      <c r="J213" s="6"/>
      <c r="K213" s="6"/>
      <c r="L213" s="6"/>
      <c r="M213" s="6"/>
      <c r="N213" s="6"/>
      <c r="O213" s="6"/>
      <c r="P213" s="6"/>
    </row>
    <row r="214" spans="1:16" ht="15" customHeight="1">
      <c r="A214" s="1"/>
      <c r="B214" s="1"/>
      <c r="C214" s="1"/>
      <c r="D214" s="1"/>
      <c r="E214" s="6"/>
      <c r="F214" s="1"/>
      <c r="G214" s="1"/>
      <c r="H214" s="6"/>
      <c r="I214" s="6"/>
      <c r="J214" s="6"/>
      <c r="K214" s="6"/>
      <c r="L214" s="6"/>
      <c r="M214" s="6"/>
      <c r="N214" s="6"/>
      <c r="O214" s="6"/>
      <c r="P214" s="6"/>
    </row>
    <row r="215" spans="1:16" ht="15" customHeight="1">
      <c r="A215" s="1"/>
      <c r="B215" s="1"/>
      <c r="C215" s="1"/>
      <c r="D215" s="1"/>
      <c r="E215" s="6"/>
      <c r="F215" s="1"/>
      <c r="G215" s="1"/>
      <c r="H215" s="6"/>
      <c r="I215" s="6"/>
      <c r="J215" s="6"/>
      <c r="K215" s="6"/>
      <c r="L215" s="6"/>
      <c r="M215" s="6"/>
      <c r="N215" s="6"/>
      <c r="O215" s="6"/>
      <c r="P215" s="6"/>
    </row>
    <row r="216" spans="1:16" ht="15" customHeight="1">
      <c r="A216" s="1"/>
      <c r="B216" s="1"/>
      <c r="C216" s="1"/>
      <c r="D216" s="1"/>
      <c r="E216" s="6"/>
      <c r="F216" s="1"/>
      <c r="G216" s="1"/>
      <c r="H216" s="6"/>
      <c r="I216" s="6"/>
      <c r="J216" s="6"/>
      <c r="K216" s="6"/>
      <c r="L216" s="6"/>
      <c r="M216" s="6"/>
      <c r="N216" s="6"/>
      <c r="O216" s="6"/>
      <c r="P216" s="6"/>
    </row>
    <row r="217" spans="1:16" ht="15" customHeight="1">
      <c r="A217" s="1"/>
      <c r="B217" s="1"/>
      <c r="C217" s="1"/>
      <c r="D217" s="1"/>
      <c r="E217" s="6"/>
      <c r="F217" s="1"/>
      <c r="G217" s="1"/>
      <c r="H217" s="6"/>
      <c r="I217" s="6"/>
      <c r="J217" s="6"/>
      <c r="K217" s="6"/>
      <c r="L217" s="6"/>
      <c r="M217" s="6"/>
      <c r="N217" s="6"/>
      <c r="O217" s="6"/>
      <c r="P217" s="6"/>
    </row>
    <row r="218" spans="1:16" ht="15" customHeight="1">
      <c r="A218" s="1"/>
      <c r="B218" s="1"/>
      <c r="C218" s="1"/>
      <c r="D218" s="1"/>
      <c r="E218" s="6"/>
      <c r="F218" s="1"/>
      <c r="G218" s="1"/>
      <c r="H218" s="6"/>
      <c r="I218" s="6"/>
      <c r="J218" s="6"/>
      <c r="K218" s="6"/>
      <c r="L218" s="6"/>
      <c r="M218" s="6"/>
      <c r="N218" s="6"/>
      <c r="O218" s="6"/>
      <c r="P218" s="6"/>
    </row>
    <row r="219" spans="1:16" ht="15" customHeight="1">
      <c r="A219" s="1"/>
      <c r="B219" s="1"/>
      <c r="C219" s="1"/>
      <c r="D219" s="1"/>
      <c r="E219" s="6"/>
      <c r="F219" s="1"/>
      <c r="G219" s="1"/>
      <c r="H219" s="6"/>
      <c r="I219" s="6"/>
      <c r="J219" s="6"/>
      <c r="K219" s="6"/>
      <c r="L219" s="6"/>
      <c r="M219" s="6"/>
      <c r="N219" s="6"/>
      <c r="O219" s="6"/>
      <c r="P219" s="6"/>
    </row>
    <row r="220" spans="1:16" ht="15" customHeight="1">
      <c r="A220" s="1"/>
      <c r="B220" s="1"/>
      <c r="C220" s="1"/>
      <c r="D220" s="1"/>
      <c r="E220" s="6"/>
      <c r="F220" s="1"/>
      <c r="G220" s="1"/>
      <c r="H220" s="6"/>
      <c r="I220" s="6"/>
      <c r="J220" s="6"/>
      <c r="K220" s="6"/>
      <c r="L220" s="6"/>
      <c r="M220" s="6"/>
      <c r="N220" s="6"/>
      <c r="O220" s="6"/>
      <c r="P220" s="6"/>
    </row>
    <row r="221" spans="1:16" ht="15" customHeight="1">
      <c r="A221" s="1"/>
      <c r="B221" s="1"/>
      <c r="C221" s="1"/>
      <c r="D221" s="1"/>
      <c r="E221" s="6"/>
      <c r="F221" s="1"/>
      <c r="G221" s="1"/>
      <c r="H221" s="6"/>
      <c r="I221" s="6"/>
      <c r="J221" s="6"/>
      <c r="K221" s="6"/>
      <c r="L221" s="6"/>
      <c r="M221" s="6"/>
      <c r="N221" s="6"/>
      <c r="O221" s="6"/>
      <c r="P221" s="6"/>
    </row>
    <row r="222" spans="1:16" ht="15" customHeight="1">
      <c r="A222" s="1"/>
      <c r="B222" s="1"/>
      <c r="C222" s="1"/>
      <c r="D222" s="1"/>
      <c r="E222" s="6"/>
      <c r="F222" s="1"/>
      <c r="G222" s="1"/>
      <c r="H222" s="6"/>
      <c r="I222" s="6"/>
      <c r="J222" s="6"/>
      <c r="K222" s="6"/>
      <c r="L222" s="6"/>
      <c r="M222" s="6"/>
      <c r="N222" s="6"/>
      <c r="O222" s="6"/>
      <c r="P222" s="6"/>
    </row>
    <row r="223" spans="1:16" ht="15" customHeight="1">
      <c r="A223" s="1"/>
      <c r="B223" s="1"/>
      <c r="C223" s="1"/>
      <c r="D223" s="1"/>
      <c r="E223" s="6"/>
      <c r="F223" s="1"/>
      <c r="G223" s="1"/>
      <c r="H223" s="6"/>
      <c r="I223" s="6"/>
      <c r="J223" s="6"/>
      <c r="K223" s="6"/>
      <c r="L223" s="6"/>
      <c r="M223" s="6"/>
      <c r="N223" s="6"/>
      <c r="O223" s="6"/>
      <c r="P223" s="6"/>
    </row>
    <row r="224" spans="1:16" ht="15" customHeight="1">
      <c r="A224" s="1"/>
      <c r="B224" s="1"/>
      <c r="C224" s="1"/>
      <c r="D224" s="1"/>
      <c r="E224" s="6"/>
      <c r="F224" s="1"/>
      <c r="G224" s="1"/>
      <c r="H224" s="6"/>
      <c r="I224" s="6"/>
      <c r="J224" s="6"/>
      <c r="K224" s="6"/>
      <c r="L224" s="6"/>
      <c r="M224" s="6"/>
      <c r="N224" s="6"/>
      <c r="O224" s="6"/>
      <c r="P224" s="6"/>
    </row>
    <row r="225" spans="1:16" ht="15" customHeight="1">
      <c r="A225" s="1"/>
      <c r="B225" s="1"/>
      <c r="C225" s="1"/>
      <c r="D225" s="1"/>
      <c r="E225" s="6"/>
      <c r="F225" s="1"/>
      <c r="G225" s="1"/>
      <c r="H225" s="6"/>
      <c r="I225" s="6"/>
      <c r="J225" s="6"/>
      <c r="K225" s="6"/>
      <c r="L225" s="6"/>
      <c r="M225" s="6"/>
      <c r="N225" s="6"/>
      <c r="O225" s="6"/>
      <c r="P225" s="6"/>
    </row>
    <row r="226" spans="1:16" ht="15" customHeight="1">
      <c r="A226" s="1"/>
      <c r="B226" s="1"/>
      <c r="C226" s="1"/>
      <c r="D226" s="1"/>
      <c r="E226" s="6"/>
      <c r="F226" s="1"/>
      <c r="G226" s="1"/>
      <c r="H226" s="6"/>
      <c r="I226" s="6"/>
      <c r="J226" s="6"/>
      <c r="K226" s="6"/>
      <c r="L226" s="6"/>
      <c r="M226" s="6"/>
      <c r="N226" s="6"/>
      <c r="O226" s="6"/>
      <c r="P226" s="6"/>
    </row>
    <row r="227" spans="1:16" ht="15" customHeight="1">
      <c r="A227" s="1"/>
      <c r="B227" s="1"/>
      <c r="C227" s="1"/>
      <c r="D227" s="1"/>
      <c r="E227" s="6"/>
      <c r="F227" s="1"/>
      <c r="G227" s="1"/>
      <c r="H227" s="6"/>
      <c r="I227" s="6"/>
      <c r="J227" s="6"/>
      <c r="K227" s="6"/>
      <c r="L227" s="6"/>
      <c r="M227" s="6"/>
      <c r="N227" s="6"/>
      <c r="O227" s="6"/>
      <c r="P227" s="6"/>
    </row>
    <row r="228" spans="1:16" ht="15" customHeight="1">
      <c r="A228" s="1"/>
      <c r="B228" s="1"/>
      <c r="C228" s="1"/>
      <c r="D228" s="1"/>
      <c r="E228" s="6"/>
      <c r="F228" s="1"/>
      <c r="G228" s="1"/>
      <c r="H228" s="6"/>
      <c r="I228" s="6"/>
      <c r="J228" s="6"/>
      <c r="K228" s="6"/>
      <c r="L228" s="6"/>
      <c r="M228" s="6"/>
      <c r="N228" s="6"/>
      <c r="O228" s="6"/>
      <c r="P228" s="6"/>
    </row>
    <row r="229" spans="1:16" ht="15" customHeight="1">
      <c r="A229" s="1"/>
      <c r="B229" s="1"/>
      <c r="C229" s="1"/>
      <c r="D229" s="1"/>
      <c r="E229" s="6"/>
      <c r="F229" s="1"/>
      <c r="G229" s="1"/>
      <c r="H229" s="6"/>
      <c r="I229" s="6"/>
      <c r="J229" s="6"/>
      <c r="K229" s="6"/>
      <c r="L229" s="6"/>
      <c r="M229" s="6"/>
      <c r="N229" s="6"/>
      <c r="O229" s="6"/>
      <c r="P229" s="6"/>
    </row>
    <row r="230" spans="1:16" ht="15" customHeight="1">
      <c r="A230" s="1"/>
      <c r="B230" s="1"/>
      <c r="C230" s="1"/>
      <c r="D230" s="1"/>
      <c r="E230" s="6"/>
      <c r="F230" s="1"/>
      <c r="G230" s="1"/>
      <c r="H230" s="6"/>
      <c r="I230" s="6"/>
      <c r="J230" s="6"/>
      <c r="K230" s="6"/>
      <c r="L230" s="6"/>
      <c r="M230" s="6"/>
      <c r="N230" s="6"/>
      <c r="O230" s="6"/>
      <c r="P230" s="6"/>
    </row>
    <row r="231" spans="1:16" ht="15" customHeight="1">
      <c r="A231" s="1"/>
      <c r="B231" s="1"/>
      <c r="C231" s="1"/>
      <c r="D231" s="1"/>
      <c r="E231" s="6"/>
      <c r="F231" s="1"/>
      <c r="G231" s="1"/>
      <c r="H231" s="6"/>
      <c r="I231" s="6"/>
      <c r="J231" s="6"/>
      <c r="K231" s="6"/>
      <c r="L231" s="6"/>
      <c r="M231" s="6"/>
      <c r="N231" s="6"/>
      <c r="O231" s="6"/>
      <c r="P231" s="6"/>
    </row>
    <row r="232" spans="1:16" ht="15" customHeight="1">
      <c r="A232" s="1"/>
      <c r="B232" s="1"/>
      <c r="C232" s="1"/>
      <c r="D232" s="1"/>
      <c r="E232" s="6"/>
      <c r="F232" s="1"/>
      <c r="G232" s="1"/>
      <c r="H232" s="6"/>
      <c r="I232" s="6"/>
      <c r="J232" s="6"/>
      <c r="K232" s="6"/>
      <c r="L232" s="6"/>
      <c r="M232" s="6"/>
      <c r="N232" s="6"/>
      <c r="O232" s="6"/>
      <c r="P232" s="6"/>
    </row>
    <row r="233" spans="1:16" ht="15" customHeight="1">
      <c r="A233" s="1"/>
      <c r="B233" s="1"/>
      <c r="C233" s="1"/>
      <c r="D233" s="1"/>
      <c r="E233" s="6"/>
      <c r="F233" s="1"/>
      <c r="G233" s="1"/>
      <c r="H233" s="6"/>
      <c r="I233" s="6"/>
      <c r="J233" s="6"/>
      <c r="K233" s="6"/>
      <c r="L233" s="6"/>
      <c r="M233" s="6"/>
      <c r="N233" s="6"/>
      <c r="O233" s="6"/>
      <c r="P233" s="6"/>
    </row>
    <row r="234" spans="1:16" ht="15" customHeight="1">
      <c r="A234" s="1"/>
      <c r="B234" s="1"/>
      <c r="C234" s="1"/>
      <c r="D234" s="1"/>
      <c r="E234" s="6"/>
      <c r="F234" s="1"/>
      <c r="G234" s="1"/>
      <c r="H234" s="6"/>
      <c r="I234" s="6"/>
      <c r="J234" s="6"/>
      <c r="K234" s="6"/>
      <c r="L234" s="6"/>
      <c r="M234" s="6"/>
      <c r="N234" s="6"/>
      <c r="O234" s="6"/>
      <c r="P234" s="6"/>
    </row>
    <row r="235" spans="1:16" ht="15" customHeight="1">
      <c r="A235" s="1"/>
      <c r="B235" s="1"/>
      <c r="C235" s="1"/>
      <c r="D235" s="1"/>
      <c r="E235" s="6"/>
      <c r="F235" s="1"/>
      <c r="G235" s="1"/>
      <c r="H235" s="6"/>
      <c r="I235" s="6"/>
      <c r="J235" s="6"/>
      <c r="K235" s="6"/>
      <c r="L235" s="6"/>
      <c r="M235" s="6"/>
      <c r="N235" s="6"/>
      <c r="O235" s="6"/>
      <c r="P235" s="6"/>
    </row>
    <row r="236" spans="1:16" ht="15" customHeight="1">
      <c r="A236" s="1"/>
      <c r="B236" s="1"/>
      <c r="C236" s="1"/>
      <c r="D236" s="1"/>
      <c r="E236" s="6"/>
      <c r="F236" s="1"/>
      <c r="G236" s="1"/>
      <c r="H236" s="6"/>
      <c r="I236" s="6"/>
      <c r="J236" s="6"/>
      <c r="K236" s="6"/>
      <c r="L236" s="6"/>
      <c r="M236" s="6"/>
      <c r="N236" s="6"/>
      <c r="O236" s="6"/>
      <c r="P236" s="6"/>
    </row>
    <row r="237" spans="1:16" ht="15" customHeight="1">
      <c r="A237" s="1"/>
      <c r="B237" s="1"/>
      <c r="C237" s="1"/>
      <c r="D237" s="1"/>
      <c r="E237" s="6"/>
      <c r="F237" s="1"/>
      <c r="G237" s="1"/>
      <c r="H237" s="6"/>
      <c r="I237" s="6"/>
      <c r="J237" s="6"/>
      <c r="K237" s="6"/>
      <c r="L237" s="6"/>
      <c r="M237" s="6"/>
      <c r="N237" s="6"/>
      <c r="O237" s="6"/>
      <c r="P237" s="6"/>
    </row>
    <row r="238" spans="1:16" ht="15" customHeight="1">
      <c r="A238" s="1"/>
      <c r="B238" s="1"/>
      <c r="C238" s="1"/>
      <c r="D238" s="1"/>
      <c r="E238" s="6"/>
      <c r="F238" s="1"/>
      <c r="G238" s="1"/>
      <c r="H238" s="6"/>
      <c r="I238" s="6"/>
      <c r="J238" s="6"/>
      <c r="K238" s="6"/>
      <c r="L238" s="6"/>
      <c r="M238" s="6"/>
      <c r="N238" s="6"/>
      <c r="O238" s="6"/>
      <c r="P238" s="6"/>
    </row>
    <row r="239" spans="1:16" ht="15" customHeight="1">
      <c r="A239" s="1"/>
      <c r="B239" s="1"/>
      <c r="C239" s="1"/>
      <c r="D239" s="1"/>
      <c r="E239" s="6"/>
      <c r="F239" s="1"/>
      <c r="G239" s="1"/>
      <c r="H239" s="6"/>
      <c r="I239" s="6"/>
      <c r="J239" s="6"/>
      <c r="K239" s="6"/>
      <c r="L239" s="6"/>
      <c r="M239" s="6"/>
      <c r="N239" s="6"/>
      <c r="O239" s="6"/>
      <c r="P239" s="6"/>
    </row>
    <row r="240" spans="1:16" ht="15" customHeight="1">
      <c r="A240" s="1"/>
      <c r="B240" s="1"/>
      <c r="C240" s="1"/>
      <c r="D240" s="1"/>
      <c r="E240" s="6"/>
      <c r="F240" s="1"/>
      <c r="G240" s="1"/>
      <c r="H240" s="6"/>
      <c r="I240" s="6"/>
      <c r="J240" s="6"/>
      <c r="K240" s="6"/>
      <c r="L240" s="6"/>
      <c r="M240" s="6"/>
      <c r="N240" s="6"/>
      <c r="O240" s="6"/>
      <c r="P240" s="6"/>
    </row>
    <row r="241" spans="1:16" ht="15" customHeight="1">
      <c r="A241" s="1"/>
      <c r="B241" s="1"/>
      <c r="C241" s="1"/>
      <c r="D241" s="1"/>
      <c r="E241" s="6"/>
      <c r="F241" s="1"/>
      <c r="G241" s="1"/>
      <c r="H241" s="6"/>
      <c r="I241" s="6"/>
      <c r="J241" s="6"/>
      <c r="K241" s="6"/>
      <c r="L241" s="6"/>
      <c r="M241" s="6"/>
      <c r="N241" s="6"/>
      <c r="O241" s="6"/>
      <c r="P241" s="6"/>
    </row>
    <row r="242" spans="1:16" ht="15" customHeight="1">
      <c r="A242" s="1"/>
      <c r="B242" s="1"/>
      <c r="C242" s="1"/>
      <c r="D242" s="1"/>
      <c r="E242" s="6"/>
      <c r="F242" s="1"/>
      <c r="G242" s="1"/>
      <c r="H242" s="6"/>
      <c r="I242" s="6"/>
      <c r="J242" s="6"/>
      <c r="K242" s="6"/>
      <c r="L242" s="6"/>
      <c r="M242" s="6"/>
      <c r="N242" s="6"/>
      <c r="O242" s="6"/>
      <c r="P242" s="6"/>
    </row>
    <row r="243" spans="1:16" ht="15" customHeight="1">
      <c r="A243" s="1"/>
      <c r="B243" s="1"/>
      <c r="C243" s="1"/>
      <c r="D243" s="1"/>
      <c r="E243" s="6"/>
      <c r="F243" s="1"/>
      <c r="G243" s="1"/>
      <c r="H243" s="6"/>
      <c r="I243" s="6"/>
      <c r="J243" s="6"/>
      <c r="K243" s="6"/>
      <c r="L243" s="6"/>
      <c r="M243" s="6"/>
      <c r="N243" s="6"/>
      <c r="O243" s="6"/>
      <c r="P243" s="6"/>
    </row>
    <row r="244" spans="1:16" ht="15" customHeight="1">
      <c r="A244" s="1"/>
      <c r="B244" s="1"/>
      <c r="C244" s="1"/>
      <c r="D244" s="1"/>
      <c r="E244" s="6"/>
      <c r="F244" s="1"/>
      <c r="G244" s="1"/>
      <c r="H244" s="6"/>
      <c r="I244" s="6"/>
      <c r="J244" s="6"/>
      <c r="K244" s="6"/>
      <c r="L244" s="6"/>
      <c r="M244" s="6"/>
      <c r="N244" s="6"/>
      <c r="O244" s="6"/>
      <c r="P244" s="6"/>
    </row>
    <row r="245" spans="1:16" ht="15" customHeight="1">
      <c r="A245" s="1"/>
      <c r="B245" s="1"/>
      <c r="C245" s="1"/>
      <c r="D245" s="1"/>
      <c r="E245" s="6"/>
      <c r="F245" s="1"/>
      <c r="G245" s="1"/>
      <c r="H245" s="6"/>
      <c r="I245" s="6"/>
      <c r="J245" s="6"/>
      <c r="K245" s="6"/>
      <c r="L245" s="6"/>
      <c r="M245" s="6"/>
      <c r="N245" s="6"/>
      <c r="O245" s="6"/>
      <c r="P245" s="6"/>
    </row>
    <row r="246" spans="1:16" ht="15" customHeight="1">
      <c r="A246" s="1"/>
      <c r="B246" s="1"/>
      <c r="C246" s="1"/>
      <c r="D246" s="1"/>
      <c r="E246" s="6"/>
      <c r="F246" s="1"/>
      <c r="G246" s="1"/>
      <c r="H246" s="6"/>
      <c r="I246" s="6"/>
      <c r="J246" s="6"/>
      <c r="K246" s="6"/>
      <c r="L246" s="6"/>
      <c r="M246" s="6"/>
      <c r="N246" s="6"/>
      <c r="O246" s="6"/>
      <c r="P246" s="6"/>
    </row>
    <row r="247" spans="1:16" ht="15" customHeight="1">
      <c r="A247" s="1"/>
      <c r="B247" s="1"/>
      <c r="C247" s="1"/>
      <c r="D247" s="1"/>
      <c r="E247" s="6"/>
      <c r="F247" s="1"/>
      <c r="G247" s="1"/>
      <c r="H247" s="6"/>
      <c r="I247" s="6"/>
      <c r="J247" s="6"/>
      <c r="K247" s="6"/>
      <c r="L247" s="6"/>
      <c r="M247" s="6"/>
      <c r="N247" s="6"/>
      <c r="O247" s="6"/>
      <c r="P247" s="6"/>
    </row>
    <row r="248" spans="1:16" ht="15" customHeight="1">
      <c r="A248" s="1"/>
      <c r="B248" s="1"/>
      <c r="C248" s="1"/>
      <c r="D248" s="1"/>
      <c r="E248" s="6"/>
      <c r="F248" s="1"/>
      <c r="G248" s="1"/>
      <c r="H248" s="6"/>
      <c r="I248" s="6"/>
      <c r="J248" s="6"/>
      <c r="K248" s="6"/>
      <c r="L248" s="6"/>
      <c r="M248" s="6"/>
      <c r="N248" s="6"/>
      <c r="O248" s="6"/>
      <c r="P248" s="6"/>
    </row>
    <row r="249" spans="1:16" ht="15" customHeight="1">
      <c r="A249" s="1"/>
      <c r="B249" s="1"/>
      <c r="C249" s="1"/>
      <c r="D249" s="1"/>
      <c r="E249" s="6"/>
      <c r="F249" s="1"/>
      <c r="G249" s="1"/>
      <c r="H249" s="6"/>
      <c r="I249" s="6"/>
      <c r="J249" s="6"/>
      <c r="K249" s="6"/>
      <c r="L249" s="6"/>
      <c r="M249" s="6"/>
      <c r="N249" s="6"/>
      <c r="O249" s="6"/>
      <c r="P249" s="6"/>
    </row>
    <row r="250" spans="1:16" ht="15" customHeight="1">
      <c r="A250" s="1"/>
      <c r="B250" s="1"/>
      <c r="C250" s="1"/>
      <c r="D250" s="1"/>
      <c r="E250" s="6"/>
      <c r="F250" s="1"/>
      <c r="G250" s="1"/>
      <c r="H250" s="6"/>
      <c r="I250" s="6"/>
      <c r="J250" s="6"/>
      <c r="K250" s="6"/>
      <c r="L250" s="6"/>
      <c r="M250" s="6"/>
      <c r="N250" s="6"/>
      <c r="O250" s="6"/>
      <c r="P250" s="6"/>
    </row>
    <row r="251" spans="1:16" ht="15" customHeight="1">
      <c r="A251" s="1"/>
      <c r="B251" s="1"/>
      <c r="C251" s="1"/>
      <c r="D251" s="1"/>
      <c r="E251" s="6"/>
      <c r="F251" s="1"/>
      <c r="G251" s="1"/>
      <c r="H251" s="6"/>
      <c r="I251" s="6"/>
      <c r="J251" s="6"/>
      <c r="K251" s="6"/>
      <c r="L251" s="6"/>
      <c r="M251" s="6"/>
      <c r="N251" s="6"/>
      <c r="O251" s="6"/>
      <c r="P251" s="6"/>
    </row>
    <row r="252" spans="1:16" ht="15" customHeight="1">
      <c r="A252" s="1"/>
      <c r="B252" s="1"/>
      <c r="C252" s="1"/>
      <c r="D252" s="1"/>
      <c r="E252" s="6"/>
      <c r="F252" s="1"/>
      <c r="G252" s="1"/>
      <c r="H252" s="6"/>
      <c r="I252" s="6"/>
      <c r="J252" s="6"/>
      <c r="K252" s="6"/>
      <c r="L252" s="6"/>
      <c r="M252" s="6"/>
      <c r="N252" s="6"/>
      <c r="O252" s="6"/>
      <c r="P252" s="6"/>
    </row>
    <row r="253" spans="1:16" ht="15" customHeight="1">
      <c r="A253" s="1"/>
      <c r="B253" s="1"/>
      <c r="C253" s="1"/>
      <c r="D253" s="1"/>
      <c r="E253" s="6"/>
      <c r="F253" s="1"/>
      <c r="G253" s="1"/>
      <c r="H253" s="6"/>
      <c r="I253" s="6"/>
      <c r="J253" s="6"/>
      <c r="K253" s="6"/>
      <c r="L253" s="6"/>
      <c r="M253" s="6"/>
      <c r="N253" s="6"/>
      <c r="O253" s="6"/>
      <c r="P253" s="6"/>
    </row>
    <row r="254" spans="1:16" ht="15" customHeight="1">
      <c r="A254" s="1"/>
      <c r="B254" s="1"/>
      <c r="C254" s="1"/>
      <c r="D254" s="1"/>
      <c r="E254" s="6"/>
      <c r="F254" s="1"/>
      <c r="G254" s="1"/>
      <c r="H254" s="6"/>
      <c r="I254" s="6"/>
      <c r="J254" s="6"/>
      <c r="K254" s="6"/>
      <c r="L254" s="6"/>
      <c r="M254" s="6"/>
      <c r="N254" s="6"/>
      <c r="O254" s="6"/>
      <c r="P254" s="6"/>
    </row>
    <row r="255" spans="1:16" ht="15" customHeight="1">
      <c r="A255" s="1"/>
      <c r="B255" s="1"/>
      <c r="C255" s="1"/>
      <c r="D255" s="1"/>
      <c r="E255" s="6"/>
      <c r="F255" s="1"/>
      <c r="G255" s="1"/>
      <c r="H255" s="6"/>
      <c r="I255" s="6"/>
      <c r="J255" s="6"/>
      <c r="K255" s="6"/>
      <c r="L255" s="6"/>
      <c r="M255" s="6"/>
      <c r="N255" s="6"/>
      <c r="O255" s="6"/>
      <c r="P255" s="6"/>
    </row>
    <row r="256" spans="1:16" ht="15" customHeight="1">
      <c r="A256" s="1"/>
      <c r="B256" s="1"/>
      <c r="C256" s="1"/>
      <c r="D256" s="1"/>
      <c r="E256" s="6"/>
      <c r="F256" s="1"/>
      <c r="G256" s="1"/>
      <c r="H256" s="6"/>
      <c r="I256" s="6"/>
      <c r="J256" s="6"/>
      <c r="K256" s="6"/>
      <c r="L256" s="6"/>
      <c r="M256" s="6"/>
      <c r="N256" s="6"/>
      <c r="O256" s="6"/>
      <c r="P256" s="6"/>
    </row>
    <row r="257" spans="1:16" ht="15" customHeight="1">
      <c r="A257" s="1"/>
      <c r="B257" s="1"/>
      <c r="C257" s="1"/>
      <c r="D257" s="1"/>
      <c r="E257" s="6"/>
      <c r="F257" s="1"/>
      <c r="G257" s="1"/>
      <c r="H257" s="6"/>
      <c r="I257" s="6"/>
      <c r="J257" s="6"/>
      <c r="K257" s="6"/>
      <c r="L257" s="6"/>
      <c r="M257" s="6"/>
      <c r="N257" s="6"/>
      <c r="O257" s="6"/>
      <c r="P257" s="6"/>
    </row>
    <row r="258" spans="1:16" ht="15" customHeight="1">
      <c r="A258" s="1"/>
      <c r="B258" s="1"/>
      <c r="C258" s="1"/>
      <c r="D258" s="1"/>
      <c r="E258" s="6"/>
      <c r="F258" s="1"/>
      <c r="G258" s="1"/>
      <c r="H258" s="6"/>
      <c r="I258" s="6"/>
      <c r="J258" s="6"/>
      <c r="K258" s="6"/>
      <c r="L258" s="6"/>
      <c r="M258" s="6"/>
      <c r="N258" s="6"/>
      <c r="O258" s="6"/>
      <c r="P258" s="6"/>
    </row>
    <row r="259" spans="1:16" ht="15" customHeight="1">
      <c r="A259" s="1"/>
      <c r="B259" s="1"/>
      <c r="C259" s="1"/>
      <c r="D259" s="1"/>
      <c r="E259" s="6"/>
      <c r="F259" s="1"/>
      <c r="G259" s="1"/>
      <c r="H259" s="6"/>
      <c r="I259" s="6"/>
      <c r="J259" s="6"/>
      <c r="K259" s="6"/>
      <c r="L259" s="6"/>
      <c r="M259" s="6"/>
      <c r="N259" s="6"/>
      <c r="O259" s="6"/>
      <c r="P259" s="6"/>
    </row>
    <row r="260" spans="1:16" ht="15" customHeight="1">
      <c r="A260" s="1"/>
      <c r="B260" s="1"/>
      <c r="C260" s="1"/>
      <c r="D260" s="1"/>
      <c r="E260" s="6"/>
      <c r="F260" s="1"/>
      <c r="G260" s="1"/>
      <c r="H260" s="6"/>
      <c r="I260" s="6"/>
      <c r="J260" s="6"/>
      <c r="K260" s="6"/>
      <c r="L260" s="6"/>
      <c r="M260" s="6"/>
      <c r="N260" s="6"/>
      <c r="O260" s="6"/>
      <c r="P260" s="6"/>
    </row>
    <row r="261" spans="1:16" ht="15" customHeight="1">
      <c r="A261" s="1"/>
      <c r="B261" s="1"/>
      <c r="C261" s="1"/>
      <c r="D261" s="1"/>
      <c r="E261" s="6"/>
      <c r="F261" s="1"/>
      <c r="G261" s="1"/>
      <c r="H261" s="6"/>
      <c r="I261" s="6"/>
      <c r="J261" s="6"/>
      <c r="K261" s="6"/>
      <c r="L261" s="6"/>
      <c r="M261" s="6"/>
      <c r="N261" s="6"/>
      <c r="O261" s="6"/>
      <c r="P261" s="6"/>
    </row>
    <row r="262" spans="1:16" ht="15" customHeight="1">
      <c r="A262" s="1"/>
      <c r="B262" s="1"/>
      <c r="C262" s="1"/>
      <c r="D262" s="1"/>
      <c r="E262" s="6"/>
      <c r="F262" s="1"/>
      <c r="G262" s="1"/>
      <c r="H262" s="6"/>
      <c r="I262" s="6"/>
      <c r="J262" s="6"/>
      <c r="K262" s="6"/>
      <c r="L262" s="6"/>
      <c r="M262" s="6"/>
      <c r="N262" s="6"/>
      <c r="O262" s="6"/>
      <c r="P262" s="6"/>
    </row>
    <row r="263" spans="1:16" ht="15" customHeight="1">
      <c r="A263" s="1"/>
      <c r="B263" s="1"/>
      <c r="C263" s="1"/>
      <c r="D263" s="1"/>
      <c r="E263" s="6"/>
      <c r="F263" s="1"/>
      <c r="G263" s="1"/>
      <c r="H263" s="6"/>
      <c r="I263" s="6"/>
      <c r="J263" s="6"/>
      <c r="K263" s="6"/>
      <c r="L263" s="6"/>
      <c r="M263" s="6"/>
      <c r="N263" s="6"/>
      <c r="O263" s="6"/>
      <c r="P263" s="6"/>
    </row>
    <row r="264" spans="1:16" ht="15" customHeight="1">
      <c r="A264" s="1"/>
      <c r="B264" s="1"/>
      <c r="C264" s="1"/>
      <c r="D264" s="1"/>
      <c r="E264" s="6"/>
      <c r="F264" s="1"/>
      <c r="G264" s="1"/>
      <c r="H264" s="6"/>
      <c r="I264" s="6"/>
      <c r="J264" s="6"/>
      <c r="K264" s="6"/>
      <c r="L264" s="6"/>
      <c r="M264" s="6"/>
      <c r="N264" s="6"/>
      <c r="O264" s="6"/>
      <c r="P264" s="6"/>
    </row>
    <row r="265" spans="1:16" ht="15" customHeight="1">
      <c r="A265" s="1"/>
      <c r="B265" s="1"/>
      <c r="C265" s="1"/>
      <c r="D265" s="1"/>
      <c r="E265" s="6"/>
      <c r="F265" s="1"/>
      <c r="G265" s="1"/>
      <c r="H265" s="6"/>
      <c r="I265" s="6"/>
      <c r="J265" s="6"/>
      <c r="K265" s="6"/>
      <c r="L265" s="6"/>
      <c r="M265" s="6"/>
      <c r="N265" s="6"/>
      <c r="O265" s="6"/>
      <c r="P265" s="6"/>
    </row>
    <row r="266" spans="1:16" ht="15" customHeight="1">
      <c r="A266" s="1"/>
      <c r="B266" s="1"/>
      <c r="C266" s="1"/>
      <c r="D266" s="1"/>
      <c r="E266" s="6"/>
      <c r="F266" s="1"/>
      <c r="G266" s="1"/>
      <c r="H266" s="6"/>
      <c r="I266" s="6"/>
      <c r="J266" s="6"/>
      <c r="K266" s="6"/>
      <c r="L266" s="6"/>
      <c r="M266" s="6"/>
      <c r="N266" s="6"/>
      <c r="O266" s="6"/>
      <c r="P266" s="6"/>
    </row>
    <row r="267" spans="1:16" ht="15" customHeight="1">
      <c r="A267" s="1"/>
      <c r="B267" s="1"/>
      <c r="C267" s="1"/>
      <c r="D267" s="1"/>
      <c r="E267" s="6"/>
      <c r="F267" s="1"/>
      <c r="G267" s="1"/>
      <c r="H267" s="6"/>
      <c r="I267" s="6"/>
      <c r="J267" s="6"/>
      <c r="K267" s="6"/>
      <c r="L267" s="6"/>
      <c r="M267" s="6"/>
      <c r="N267" s="6"/>
      <c r="O267" s="6"/>
      <c r="P267" s="6"/>
    </row>
    <row r="268" spans="1:16" ht="15" customHeight="1">
      <c r="A268" s="1"/>
      <c r="B268" s="1"/>
      <c r="C268" s="1"/>
      <c r="D268" s="1"/>
      <c r="E268" s="6"/>
      <c r="F268" s="1"/>
      <c r="G268" s="1"/>
      <c r="H268" s="6"/>
      <c r="I268" s="6"/>
      <c r="J268" s="6"/>
      <c r="K268" s="6"/>
      <c r="L268" s="6"/>
      <c r="M268" s="6"/>
      <c r="N268" s="6"/>
      <c r="O268" s="6"/>
      <c r="P268" s="6"/>
    </row>
    <row r="269" spans="1:16" ht="15" customHeight="1">
      <c r="A269" s="1"/>
      <c r="B269" s="1"/>
      <c r="C269" s="1"/>
      <c r="D269" s="1"/>
      <c r="E269" s="6"/>
      <c r="F269" s="1"/>
      <c r="G269" s="1"/>
      <c r="H269" s="6"/>
      <c r="I269" s="6"/>
      <c r="J269" s="6"/>
      <c r="K269" s="6"/>
      <c r="L269" s="6"/>
      <c r="M269" s="6"/>
      <c r="N269" s="6"/>
      <c r="O269" s="6"/>
      <c r="P269" s="6"/>
    </row>
    <row r="270" spans="1:16" ht="15.75" customHeight="1">
      <c r="A270" s="123"/>
      <c r="B270" s="115"/>
      <c r="C270" s="115"/>
      <c r="D270" s="115"/>
      <c r="E270" s="6"/>
      <c r="F270" s="6"/>
      <c r="G270" s="6"/>
      <c r="H270" s="6"/>
      <c r="I270" s="6"/>
      <c r="J270" s="6"/>
      <c r="K270" s="6"/>
      <c r="L270" s="6"/>
      <c r="M270" s="6"/>
      <c r="N270" s="6"/>
      <c r="O270" s="6"/>
      <c r="P270" s="6"/>
    </row>
    <row r="271" spans="1:16" ht="15.75" customHeight="1">
      <c r="A271" s="22"/>
      <c r="B271" s="22"/>
      <c r="C271" s="22"/>
      <c r="D271" s="22"/>
      <c r="E271" s="6"/>
      <c r="F271" s="6"/>
      <c r="G271" s="6"/>
      <c r="H271" s="6"/>
      <c r="I271" s="6"/>
      <c r="J271" s="6"/>
      <c r="K271" s="6"/>
      <c r="L271" s="6"/>
      <c r="M271" s="6"/>
      <c r="N271" s="6"/>
      <c r="O271" s="6"/>
      <c r="P271" s="6"/>
    </row>
    <row r="272" spans="1:16" ht="15.75" customHeight="1">
      <c r="A272" s="28"/>
      <c r="I272" s="6"/>
      <c r="J272" s="6"/>
      <c r="K272" s="6"/>
      <c r="L272" s="6"/>
      <c r="M272" s="6"/>
      <c r="N272" s="6"/>
      <c r="O272" s="6"/>
      <c r="P272" s="6"/>
    </row>
    <row r="273" spans="1:16" ht="15.75" customHeight="1">
      <c r="A273" s="28"/>
      <c r="I273" s="6"/>
      <c r="J273" s="6"/>
      <c r="K273" s="6"/>
      <c r="L273" s="6"/>
      <c r="M273" s="6"/>
      <c r="N273" s="6"/>
      <c r="O273" s="6"/>
      <c r="P273" s="6"/>
    </row>
    <row r="274" spans="1:16" ht="15.75" customHeight="1">
      <c r="A274" s="28"/>
      <c r="I274" s="6"/>
      <c r="J274" s="6"/>
      <c r="K274" s="6"/>
      <c r="L274" s="6"/>
      <c r="M274" s="6"/>
      <c r="N274" s="6"/>
      <c r="O274" s="6"/>
      <c r="P274" s="6"/>
    </row>
    <row r="275" spans="1:16" ht="15.75" customHeight="1">
      <c r="A275" s="31"/>
      <c r="I275" s="6"/>
      <c r="J275" s="6"/>
      <c r="K275" s="6"/>
      <c r="L275" s="6"/>
      <c r="M275" s="6"/>
      <c r="N275" s="6"/>
      <c r="O275" s="6"/>
      <c r="P275" s="6"/>
    </row>
    <row r="276" spans="1:16" ht="15.75" customHeight="1">
      <c r="A276" s="31"/>
      <c r="I276" s="6"/>
      <c r="J276" s="6"/>
      <c r="K276" s="6"/>
      <c r="L276" s="6"/>
      <c r="M276" s="6"/>
      <c r="N276" s="6"/>
      <c r="O276" s="6"/>
      <c r="P276" s="6"/>
    </row>
    <row r="277" spans="1:16" ht="15.75" customHeight="1">
      <c r="A277" s="28"/>
      <c r="I277" s="6"/>
      <c r="J277" s="6"/>
      <c r="K277" s="6"/>
      <c r="L277" s="6"/>
      <c r="M277" s="6"/>
      <c r="N277" s="6"/>
      <c r="O277" s="6"/>
      <c r="P277" s="6"/>
    </row>
    <row r="278" spans="1:16" ht="15.75" customHeight="1">
      <c r="A278" s="28"/>
      <c r="I278" s="6"/>
      <c r="J278" s="6"/>
      <c r="K278" s="6"/>
      <c r="L278" s="6"/>
      <c r="M278" s="6"/>
      <c r="N278" s="6"/>
      <c r="O278" s="6"/>
      <c r="P278" s="6"/>
    </row>
    <row r="279" spans="1:16" ht="15.75" customHeight="1">
      <c r="A279" s="28"/>
      <c r="I279" s="6"/>
      <c r="J279" s="6"/>
      <c r="K279" s="6"/>
      <c r="L279" s="6"/>
      <c r="M279" s="6"/>
      <c r="N279" s="6"/>
      <c r="O279" s="6"/>
      <c r="P279" s="6"/>
    </row>
    <row r="280" spans="1:16" ht="15.75" customHeight="1">
      <c r="A280" s="28"/>
      <c r="I280" s="6"/>
      <c r="J280" s="6"/>
      <c r="K280" s="6"/>
      <c r="L280" s="6"/>
      <c r="M280" s="6"/>
      <c r="N280" s="6"/>
      <c r="O280" s="6"/>
      <c r="P280" s="6"/>
    </row>
    <row r="281" spans="1:16" ht="15.75" customHeight="1">
      <c r="A281" s="28"/>
      <c r="I281" s="6"/>
      <c r="J281" s="6"/>
      <c r="K281" s="6"/>
      <c r="L281" s="6"/>
      <c r="M281" s="6"/>
      <c r="N281" s="6"/>
      <c r="O281" s="6"/>
      <c r="P281" s="6"/>
    </row>
    <row r="282" spans="1:16" ht="15.75" customHeight="1">
      <c r="A282" s="28"/>
      <c r="I282" s="6"/>
      <c r="J282" s="6"/>
      <c r="K282" s="6"/>
      <c r="L282" s="6"/>
      <c r="M282" s="6"/>
      <c r="N282" s="6"/>
      <c r="O282" s="6"/>
      <c r="P282" s="6"/>
    </row>
  </sheetData>
  <mergeCells count="2">
    <mergeCell ref="A270:D270"/>
    <mergeCell ref="A16:D1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31"/>
  <sheetViews>
    <sheetView workbookViewId="0">
      <pane ySplit="2" topLeftCell="A3" activePane="bottomLeft" state="frozen"/>
      <selection pane="bottomLeft" activeCell="B4" sqref="B4"/>
    </sheetView>
  </sheetViews>
  <sheetFormatPr defaultColWidth="17.28515625" defaultRowHeight="15" customHeight="1"/>
  <cols>
    <col min="1" max="5" width="8.7109375" customWidth="1"/>
    <col min="6" max="6" width="13.5703125" customWidth="1"/>
    <col min="7" max="7" width="10.5703125" customWidth="1"/>
    <col min="8" max="9" width="9.140625" customWidth="1"/>
    <col min="10" max="10" width="8.7109375" customWidth="1"/>
    <col min="11" max="11" width="9.140625" customWidth="1"/>
    <col min="12" max="21" width="8.7109375" customWidth="1"/>
    <col min="22" max="22" width="0.140625" customWidth="1"/>
    <col min="23" max="25" width="8.7109375" customWidth="1"/>
    <col min="26" max="26" width="18" customWidth="1"/>
    <col min="27" max="27" width="9.140625" customWidth="1"/>
    <col min="28" max="29" width="8.7109375" customWidth="1"/>
    <col min="30" max="30" width="18.28515625" customWidth="1"/>
    <col min="31" max="31" width="9.140625" customWidth="1"/>
    <col min="32" max="32" width="17.28515625" customWidth="1"/>
  </cols>
  <sheetData>
    <row r="1" spans="1:31" ht="18" customHeight="1">
      <c r="A1" s="1"/>
      <c r="B1" s="1"/>
      <c r="C1" s="1"/>
      <c r="D1" s="1"/>
      <c r="E1" s="124" t="s">
        <v>0</v>
      </c>
      <c r="F1" s="115"/>
      <c r="G1" s="115"/>
      <c r="H1" s="115"/>
      <c r="I1" s="115"/>
      <c r="J1" s="115"/>
      <c r="K1" s="115"/>
      <c r="L1" s="115"/>
      <c r="M1" s="115"/>
      <c r="N1" s="115"/>
      <c r="O1" s="115"/>
      <c r="P1" s="115"/>
      <c r="Q1" s="115"/>
      <c r="R1" s="115"/>
      <c r="S1" s="115"/>
      <c r="T1" s="115"/>
      <c r="U1" s="115"/>
      <c r="V1" s="115"/>
      <c r="W1" s="115"/>
      <c r="X1" s="115"/>
      <c r="Y1" s="1"/>
      <c r="Z1" s="2" t="s">
        <v>1</v>
      </c>
      <c r="AA1" s="1"/>
      <c r="AB1" s="1"/>
      <c r="AC1" s="1"/>
      <c r="AD1" s="2" t="s">
        <v>2</v>
      </c>
      <c r="AE1" s="1"/>
    </row>
    <row r="2" spans="1:31" ht="15" customHeight="1">
      <c r="A2" s="3" t="s">
        <v>3</v>
      </c>
      <c r="B2" s="3" t="s">
        <v>5</v>
      </c>
      <c r="C2" s="3" t="s">
        <v>6</v>
      </c>
      <c r="D2" s="3" t="s">
        <v>7</v>
      </c>
      <c r="E2" s="3" t="s">
        <v>8</v>
      </c>
      <c r="F2" s="3" t="s">
        <v>9</v>
      </c>
      <c r="G2" s="3" t="s">
        <v>10</v>
      </c>
      <c r="H2" s="3" t="s">
        <v>11</v>
      </c>
      <c r="I2" s="3" t="s">
        <v>12</v>
      </c>
      <c r="J2" s="3" t="s">
        <v>13</v>
      </c>
      <c r="K2" s="3" t="s">
        <v>14</v>
      </c>
      <c r="L2" s="3" t="s">
        <v>15</v>
      </c>
      <c r="M2" s="1" t="s">
        <v>16</v>
      </c>
      <c r="N2" s="1" t="s">
        <v>17</v>
      </c>
      <c r="O2" s="1" t="s">
        <v>18</v>
      </c>
      <c r="P2" s="1" t="s">
        <v>19</v>
      </c>
      <c r="Q2" s="1" t="s">
        <v>20</v>
      </c>
      <c r="R2" s="1" t="s">
        <v>21</v>
      </c>
      <c r="S2" s="1" t="s">
        <v>22</v>
      </c>
      <c r="T2" s="1" t="s">
        <v>23</v>
      </c>
      <c r="U2" s="1" t="s">
        <v>24</v>
      </c>
      <c r="V2" s="1" t="s">
        <v>25</v>
      </c>
      <c r="W2" s="1" t="s">
        <v>26</v>
      </c>
      <c r="X2" s="1" t="s">
        <v>27</v>
      </c>
      <c r="Y2" s="6"/>
      <c r="Z2" s="1" t="s">
        <v>36</v>
      </c>
      <c r="AA2" s="1" t="s">
        <v>27</v>
      </c>
      <c r="AB2" s="6"/>
      <c r="AC2" s="6"/>
      <c r="AD2" s="1" t="s">
        <v>36</v>
      </c>
      <c r="AE2" s="1" t="s">
        <v>27</v>
      </c>
    </row>
    <row r="3" spans="1:31" ht="15" customHeight="1">
      <c r="A3" s="1" t="s">
        <v>37</v>
      </c>
      <c r="B3" s="1" t="s">
        <v>39</v>
      </c>
      <c r="C3" s="1">
        <v>1</v>
      </c>
      <c r="D3" s="1">
        <v>1</v>
      </c>
      <c r="E3" s="1">
        <v>0</v>
      </c>
      <c r="F3" s="1">
        <v>0</v>
      </c>
      <c r="G3" s="1">
        <v>0</v>
      </c>
      <c r="H3" s="1">
        <v>0</v>
      </c>
      <c r="I3" s="1">
        <v>16.399999999999999</v>
      </c>
      <c r="J3" s="1">
        <v>0</v>
      </c>
      <c r="K3" s="1">
        <v>0</v>
      </c>
      <c r="L3" s="1">
        <v>13.5</v>
      </c>
      <c r="M3" s="1">
        <v>1.3</v>
      </c>
      <c r="N3" s="1">
        <v>0.5</v>
      </c>
      <c r="O3" s="1">
        <v>0.1</v>
      </c>
      <c r="P3" s="1">
        <v>0</v>
      </c>
      <c r="Q3" s="1">
        <v>4.9000000000000004</v>
      </c>
      <c r="R3" s="1">
        <v>1.3</v>
      </c>
      <c r="S3" s="1">
        <v>2.4</v>
      </c>
      <c r="T3" s="1">
        <v>0</v>
      </c>
      <c r="U3" s="1">
        <v>16.100000000000001</v>
      </c>
      <c r="V3" s="1">
        <v>1.3</v>
      </c>
      <c r="W3" s="1">
        <f t="shared" ref="W3:W16" si="0">SUM(E3:V3)</f>
        <v>57.8</v>
      </c>
      <c r="X3" s="6"/>
      <c r="Y3" s="6"/>
      <c r="Z3" s="30">
        <v>10.199999999999999</v>
      </c>
      <c r="AA3" s="1"/>
      <c r="AB3" s="6"/>
      <c r="AC3" s="6"/>
      <c r="AD3" s="1">
        <v>15.3</v>
      </c>
      <c r="AE3" s="1"/>
    </row>
    <row r="4" spans="1:31" ht="15" customHeight="1">
      <c r="A4" s="1"/>
      <c r="B4" s="1"/>
      <c r="C4" s="1"/>
      <c r="D4" s="1">
        <v>2</v>
      </c>
      <c r="E4" s="1">
        <v>0</v>
      </c>
      <c r="F4" s="1">
        <v>0</v>
      </c>
      <c r="G4" s="1">
        <v>0</v>
      </c>
      <c r="H4" s="1">
        <v>0</v>
      </c>
      <c r="I4" s="1">
        <v>25.8</v>
      </c>
      <c r="J4" s="1">
        <v>0</v>
      </c>
      <c r="K4" s="1">
        <v>0</v>
      </c>
      <c r="L4" s="1">
        <v>5.9</v>
      </c>
      <c r="M4" s="1">
        <v>2.2999999999999998</v>
      </c>
      <c r="N4" s="1">
        <v>0</v>
      </c>
      <c r="O4" s="1">
        <v>0</v>
      </c>
      <c r="P4" s="1">
        <v>0</v>
      </c>
      <c r="Q4" s="1">
        <v>2.1</v>
      </c>
      <c r="R4" s="1">
        <v>0.4</v>
      </c>
      <c r="S4" s="1">
        <v>4.0999999999999996</v>
      </c>
      <c r="T4" s="1">
        <v>0</v>
      </c>
      <c r="U4" s="1">
        <v>5.5</v>
      </c>
      <c r="V4" s="1">
        <v>0.9</v>
      </c>
      <c r="W4" s="1">
        <f t="shared" si="0"/>
        <v>47</v>
      </c>
      <c r="X4" s="6"/>
      <c r="Y4" s="6"/>
      <c r="Z4" s="30">
        <v>11.5</v>
      </c>
      <c r="AA4" s="1"/>
      <c r="AB4" s="6"/>
      <c r="AC4" s="6"/>
      <c r="AD4" s="1">
        <v>3.3</v>
      </c>
      <c r="AE4" s="1"/>
    </row>
    <row r="5" spans="1:31" ht="15" customHeight="1">
      <c r="A5" s="1"/>
      <c r="B5" s="1"/>
      <c r="C5" s="1"/>
      <c r="D5" s="1">
        <v>3</v>
      </c>
      <c r="E5" s="1">
        <v>10</v>
      </c>
      <c r="F5" s="1">
        <v>0</v>
      </c>
      <c r="G5" s="1">
        <v>0</v>
      </c>
      <c r="H5" s="1">
        <v>0</v>
      </c>
      <c r="I5" s="1">
        <v>17.5</v>
      </c>
      <c r="J5" s="1">
        <v>0.3</v>
      </c>
      <c r="K5" s="1">
        <v>0</v>
      </c>
      <c r="L5" s="1">
        <v>3.9</v>
      </c>
      <c r="M5" s="1">
        <v>8.6</v>
      </c>
      <c r="N5" s="1">
        <v>0</v>
      </c>
      <c r="O5" s="1">
        <v>0.1</v>
      </c>
      <c r="P5" s="1">
        <v>3.3</v>
      </c>
      <c r="Q5" s="1">
        <v>3</v>
      </c>
      <c r="R5" s="1">
        <v>1.2</v>
      </c>
      <c r="S5" s="1">
        <v>3.8</v>
      </c>
      <c r="T5" s="1">
        <v>0</v>
      </c>
      <c r="U5" s="1">
        <v>20.100000000000001</v>
      </c>
      <c r="V5" s="1">
        <v>2.8</v>
      </c>
      <c r="W5" s="1">
        <f t="shared" si="0"/>
        <v>74.599999999999994</v>
      </c>
      <c r="X5" s="6"/>
      <c r="Y5" s="6"/>
      <c r="Z5" s="30">
        <v>10.8</v>
      </c>
      <c r="AA5" s="1"/>
      <c r="AB5" s="6"/>
      <c r="AC5" s="6"/>
      <c r="AD5" s="35">
        <v>23.6</v>
      </c>
      <c r="AE5" s="1"/>
    </row>
    <row r="6" spans="1:31" ht="15" customHeight="1">
      <c r="A6" s="1"/>
      <c r="B6" s="1"/>
      <c r="C6" s="1"/>
      <c r="D6" s="1">
        <v>4</v>
      </c>
      <c r="E6" s="1">
        <v>1.3</v>
      </c>
      <c r="F6" s="1">
        <v>0</v>
      </c>
      <c r="G6" s="1">
        <v>0</v>
      </c>
      <c r="H6" s="1">
        <v>0</v>
      </c>
      <c r="I6" s="1">
        <v>17.399999999999999</v>
      </c>
      <c r="J6" s="1">
        <v>0</v>
      </c>
      <c r="K6" s="1">
        <v>0</v>
      </c>
      <c r="L6" s="1">
        <v>6.6</v>
      </c>
      <c r="M6" s="1">
        <v>0.7</v>
      </c>
      <c r="N6" s="1">
        <v>0</v>
      </c>
      <c r="O6" s="1">
        <v>0.1</v>
      </c>
      <c r="P6" s="1">
        <v>0.3</v>
      </c>
      <c r="Q6" s="1">
        <v>7.8</v>
      </c>
      <c r="R6" s="1">
        <v>0.3</v>
      </c>
      <c r="S6" s="1">
        <v>2.1</v>
      </c>
      <c r="T6" s="1">
        <v>0</v>
      </c>
      <c r="U6" s="1">
        <v>29.2</v>
      </c>
      <c r="V6" s="1">
        <v>2.2999999999999998</v>
      </c>
      <c r="W6" s="1">
        <f t="shared" si="0"/>
        <v>68.099999999999994</v>
      </c>
      <c r="X6" s="6"/>
      <c r="Y6" s="6"/>
      <c r="Z6" s="30">
        <v>16.7</v>
      </c>
      <c r="AA6" s="1"/>
      <c r="AB6" s="6"/>
      <c r="AC6" s="6"/>
      <c r="AD6" s="1">
        <v>3.9</v>
      </c>
      <c r="AE6" s="1"/>
    </row>
    <row r="7" spans="1:31" ht="15" customHeight="1">
      <c r="A7" s="1"/>
      <c r="B7" s="1"/>
      <c r="C7" s="1"/>
      <c r="D7" s="1">
        <v>5</v>
      </c>
      <c r="E7" s="1">
        <v>0.2</v>
      </c>
      <c r="F7" s="1">
        <v>0.2</v>
      </c>
      <c r="G7" s="1">
        <v>0</v>
      </c>
      <c r="H7" s="1">
        <v>0</v>
      </c>
      <c r="I7" s="1">
        <v>10.7</v>
      </c>
      <c r="J7" s="1">
        <v>0</v>
      </c>
      <c r="K7" s="1">
        <v>0</v>
      </c>
      <c r="L7" s="1">
        <v>14.1</v>
      </c>
      <c r="M7" s="1">
        <v>1.4</v>
      </c>
      <c r="N7" s="1">
        <v>0</v>
      </c>
      <c r="O7" s="1">
        <v>0.2</v>
      </c>
      <c r="P7" s="1">
        <v>2.6</v>
      </c>
      <c r="Q7" s="1">
        <v>2.5</v>
      </c>
      <c r="R7" s="1">
        <v>0.4</v>
      </c>
      <c r="S7" s="1">
        <v>3.2</v>
      </c>
      <c r="T7" s="1">
        <v>0</v>
      </c>
      <c r="U7" s="1">
        <v>30.9</v>
      </c>
      <c r="V7" s="1">
        <v>5.9</v>
      </c>
      <c r="W7" s="1">
        <f t="shared" si="0"/>
        <v>72.300000000000011</v>
      </c>
      <c r="X7" s="1">
        <f>AVERAGE(W3:W7)</f>
        <v>63.959999999999994</v>
      </c>
      <c r="Y7" s="6"/>
      <c r="Z7" s="30">
        <v>10.9</v>
      </c>
      <c r="AA7" s="30">
        <f>AVERAGE(Z3:Z7)</f>
        <v>12.02</v>
      </c>
      <c r="AB7" s="6"/>
      <c r="AC7" s="6"/>
      <c r="AD7" s="1">
        <v>4.7</v>
      </c>
      <c r="AE7" s="1">
        <f>AVERAGE(AD3:AD7)</f>
        <v>10.16</v>
      </c>
    </row>
    <row r="8" spans="1:31" ht="15" customHeight="1">
      <c r="A8" s="1"/>
      <c r="B8" s="1"/>
      <c r="C8" s="1">
        <v>2</v>
      </c>
      <c r="D8" s="1">
        <v>1</v>
      </c>
      <c r="E8" s="1">
        <v>1.88</v>
      </c>
      <c r="F8" s="1">
        <v>0</v>
      </c>
      <c r="G8" s="1">
        <v>0.19</v>
      </c>
      <c r="H8" s="1">
        <v>0</v>
      </c>
      <c r="I8" s="1">
        <v>11.91</v>
      </c>
      <c r="J8" s="1">
        <v>0</v>
      </c>
      <c r="K8" s="1">
        <v>0</v>
      </c>
      <c r="L8" s="1">
        <v>11.72</v>
      </c>
      <c r="M8" s="1">
        <v>4.43</v>
      </c>
      <c r="N8" s="1">
        <v>0</v>
      </c>
      <c r="O8" s="1">
        <v>2.35</v>
      </c>
      <c r="P8" s="1">
        <v>0</v>
      </c>
      <c r="Q8" s="1">
        <v>0</v>
      </c>
      <c r="R8" s="1">
        <v>0</v>
      </c>
      <c r="S8" s="1">
        <v>2.99</v>
      </c>
      <c r="T8" s="1">
        <v>0</v>
      </c>
      <c r="U8" s="1">
        <v>24.5</v>
      </c>
      <c r="V8" s="1">
        <v>5</v>
      </c>
      <c r="W8" s="1">
        <f t="shared" si="0"/>
        <v>64.97</v>
      </c>
      <c r="X8" s="6"/>
      <c r="Y8" s="6"/>
      <c r="Z8" s="30">
        <v>1.4</v>
      </c>
      <c r="AA8" s="1"/>
      <c r="AB8" s="6"/>
      <c r="AC8" s="6"/>
      <c r="AD8" s="1">
        <v>4.5</v>
      </c>
      <c r="AE8" s="1"/>
    </row>
    <row r="9" spans="1:31" ht="15" customHeight="1">
      <c r="A9" s="1"/>
      <c r="B9" s="1"/>
      <c r="C9" s="1"/>
      <c r="D9" s="1">
        <v>2</v>
      </c>
      <c r="E9" s="1">
        <v>0.05</v>
      </c>
      <c r="F9" s="1">
        <v>0</v>
      </c>
      <c r="G9" s="1">
        <v>0</v>
      </c>
      <c r="H9" s="1">
        <v>0</v>
      </c>
      <c r="I9" s="1">
        <v>27.84</v>
      </c>
      <c r="J9" s="1">
        <v>0</v>
      </c>
      <c r="K9" s="1">
        <v>0</v>
      </c>
      <c r="L9" s="1">
        <v>6.56</v>
      </c>
      <c r="M9" s="1">
        <v>0.48</v>
      </c>
      <c r="N9" s="1">
        <v>0</v>
      </c>
      <c r="O9" s="1">
        <v>0</v>
      </c>
      <c r="P9" s="1">
        <v>0</v>
      </c>
      <c r="Q9" s="1">
        <v>0.18</v>
      </c>
      <c r="R9" s="1">
        <v>0</v>
      </c>
      <c r="S9" s="1">
        <v>4.82</v>
      </c>
      <c r="T9" s="1">
        <v>0</v>
      </c>
      <c r="U9" s="1">
        <v>28.04</v>
      </c>
      <c r="V9" s="1">
        <v>9.6300000000000008</v>
      </c>
      <c r="W9" s="1">
        <f t="shared" si="0"/>
        <v>77.599999999999994</v>
      </c>
      <c r="X9" s="6"/>
      <c r="Y9" s="6"/>
      <c r="Z9" s="30">
        <v>10</v>
      </c>
      <c r="AA9" s="1"/>
      <c r="AB9" s="6"/>
      <c r="AC9" s="6"/>
      <c r="AD9" s="1">
        <v>4.8</v>
      </c>
      <c r="AE9" s="1"/>
    </row>
    <row r="10" spans="1:31" ht="15" customHeight="1">
      <c r="A10" s="1"/>
      <c r="B10" s="1"/>
      <c r="C10" s="1"/>
      <c r="D10" s="1">
        <v>3</v>
      </c>
      <c r="E10" s="1">
        <v>0</v>
      </c>
      <c r="F10" s="1">
        <v>0</v>
      </c>
      <c r="G10" s="1">
        <v>0</v>
      </c>
      <c r="H10" s="1">
        <v>0</v>
      </c>
      <c r="I10" s="1">
        <v>10.199999999999999</v>
      </c>
      <c r="J10" s="1">
        <v>0</v>
      </c>
      <c r="K10" s="1">
        <v>0</v>
      </c>
      <c r="L10" s="1">
        <v>5.6</v>
      </c>
      <c r="M10" s="1">
        <v>2.6</v>
      </c>
      <c r="N10" s="1">
        <v>0</v>
      </c>
      <c r="O10" s="1">
        <v>0</v>
      </c>
      <c r="P10" s="1">
        <v>0</v>
      </c>
      <c r="Q10" s="1">
        <v>0.3</v>
      </c>
      <c r="R10" s="1">
        <v>0.3</v>
      </c>
      <c r="S10" s="1">
        <v>5.5</v>
      </c>
      <c r="T10" s="1">
        <v>0.6</v>
      </c>
      <c r="U10" s="1">
        <v>18.399999999999999</v>
      </c>
      <c r="V10" s="1">
        <v>2</v>
      </c>
      <c r="W10" s="1">
        <f t="shared" si="0"/>
        <v>45.5</v>
      </c>
      <c r="X10" s="6"/>
      <c r="Y10" s="6"/>
      <c r="Z10" s="30">
        <v>10.6</v>
      </c>
      <c r="AA10" s="1"/>
      <c r="AB10" s="6"/>
      <c r="AC10" s="6"/>
      <c r="AD10" s="1">
        <v>2.1</v>
      </c>
      <c r="AE10" s="1"/>
    </row>
    <row r="11" spans="1:31" ht="15" customHeight="1">
      <c r="A11" s="1"/>
      <c r="B11" s="1"/>
      <c r="C11" s="1"/>
      <c r="D11" s="1">
        <v>4</v>
      </c>
      <c r="E11" s="1">
        <v>0.6</v>
      </c>
      <c r="F11" s="1">
        <v>0</v>
      </c>
      <c r="G11" s="1">
        <v>0</v>
      </c>
      <c r="H11" s="1">
        <v>0</v>
      </c>
      <c r="I11" s="1">
        <v>15.2</v>
      </c>
      <c r="J11" s="1">
        <v>0</v>
      </c>
      <c r="K11" s="1">
        <v>0</v>
      </c>
      <c r="L11" s="1">
        <v>15.1</v>
      </c>
      <c r="M11" s="1">
        <v>3.1</v>
      </c>
      <c r="N11" s="1">
        <v>0</v>
      </c>
      <c r="O11" s="1">
        <v>0.1</v>
      </c>
      <c r="P11" s="1">
        <v>0.9</v>
      </c>
      <c r="Q11" s="1">
        <v>2</v>
      </c>
      <c r="R11" s="1">
        <v>0.5</v>
      </c>
      <c r="S11" s="1">
        <v>1.7</v>
      </c>
      <c r="T11" s="1">
        <v>0</v>
      </c>
      <c r="U11" s="1">
        <v>12.1</v>
      </c>
      <c r="V11" s="1">
        <v>6</v>
      </c>
      <c r="W11" s="1">
        <f t="shared" si="0"/>
        <v>57.300000000000004</v>
      </c>
      <c r="X11" s="1"/>
      <c r="Y11" s="6"/>
      <c r="Z11" s="48">
        <f>AVERAGE(Z8,Z9,Z10,Z12)</f>
        <v>7.0250000000000004</v>
      </c>
      <c r="AA11" s="1"/>
      <c r="AB11" s="6"/>
      <c r="AC11" s="6"/>
      <c r="AD11" s="1">
        <v>2.9</v>
      </c>
      <c r="AE11" s="1"/>
    </row>
    <row r="12" spans="1:31" ht="15" customHeight="1">
      <c r="A12" s="1"/>
      <c r="B12" s="1"/>
      <c r="C12" s="1"/>
      <c r="D12" s="1">
        <v>5</v>
      </c>
      <c r="E12" s="1">
        <v>0</v>
      </c>
      <c r="F12" s="1">
        <v>0</v>
      </c>
      <c r="G12" s="1">
        <v>0</v>
      </c>
      <c r="H12" s="1">
        <v>0</v>
      </c>
      <c r="I12" s="1">
        <v>18.510000000000002</v>
      </c>
      <c r="J12" s="1">
        <v>0</v>
      </c>
      <c r="K12" s="1">
        <v>0</v>
      </c>
      <c r="L12" s="1">
        <v>14.55</v>
      </c>
      <c r="M12" s="1">
        <v>4.38</v>
      </c>
      <c r="N12" s="1">
        <v>0</v>
      </c>
      <c r="O12" s="1">
        <v>0</v>
      </c>
      <c r="P12" s="1">
        <v>0.09</v>
      </c>
      <c r="Q12" s="1">
        <v>5.32</v>
      </c>
      <c r="R12" s="1">
        <v>0</v>
      </c>
      <c r="S12" s="1">
        <v>2.3199999999999998</v>
      </c>
      <c r="T12" s="1">
        <v>0</v>
      </c>
      <c r="U12" s="1">
        <v>20.309999999999999</v>
      </c>
      <c r="V12" s="1">
        <v>0.9</v>
      </c>
      <c r="W12" s="1">
        <f t="shared" si="0"/>
        <v>66.38000000000001</v>
      </c>
      <c r="X12" s="1">
        <f>AVERAGE(W8:W12)</f>
        <v>62.35</v>
      </c>
      <c r="Y12" s="6"/>
      <c r="Z12" s="30">
        <v>6.1</v>
      </c>
      <c r="AA12" s="30">
        <f>AVERAGE(Z8:Z12)</f>
        <v>7.0250000000000004</v>
      </c>
      <c r="AB12" s="6"/>
      <c r="AC12" s="6"/>
      <c r="AD12" s="1">
        <v>9.1</v>
      </c>
      <c r="AE12" s="1">
        <f>AVERAGE(AD8:AD12)</f>
        <v>4.68</v>
      </c>
    </row>
    <row r="13" spans="1:31" ht="15" customHeight="1">
      <c r="A13" s="1"/>
      <c r="B13" s="1"/>
      <c r="C13" s="1">
        <v>3</v>
      </c>
      <c r="D13" s="1">
        <v>1</v>
      </c>
      <c r="E13" s="1">
        <v>0.1</v>
      </c>
      <c r="F13" s="1">
        <v>0</v>
      </c>
      <c r="G13" s="1">
        <v>0</v>
      </c>
      <c r="H13" s="1">
        <v>0</v>
      </c>
      <c r="I13" s="1">
        <v>19.600000000000001</v>
      </c>
      <c r="J13" s="1">
        <v>0</v>
      </c>
      <c r="K13" s="1">
        <v>0</v>
      </c>
      <c r="L13" s="1">
        <v>3.9</v>
      </c>
      <c r="M13" s="1">
        <v>1.2</v>
      </c>
      <c r="N13" s="1">
        <v>0</v>
      </c>
      <c r="O13" s="1">
        <v>0</v>
      </c>
      <c r="P13" s="1">
        <v>0</v>
      </c>
      <c r="Q13" s="1">
        <v>0</v>
      </c>
      <c r="R13" s="1">
        <v>2.2000000000000002</v>
      </c>
      <c r="S13" s="1">
        <v>2.8</v>
      </c>
      <c r="T13" s="1">
        <v>0</v>
      </c>
      <c r="U13" s="1">
        <v>17.8</v>
      </c>
      <c r="V13" s="1">
        <v>0.3</v>
      </c>
      <c r="W13" s="1">
        <f t="shared" si="0"/>
        <v>47.9</v>
      </c>
      <c r="X13" s="6"/>
      <c r="Y13" s="6"/>
      <c r="Z13" s="30">
        <v>9.6999999999999993</v>
      </c>
      <c r="AA13" s="1"/>
      <c r="AB13" s="6"/>
      <c r="AC13" s="6"/>
      <c r="AD13" s="1">
        <v>3.1</v>
      </c>
      <c r="AE13" s="1"/>
    </row>
    <row r="14" spans="1:31" ht="15" customHeight="1">
      <c r="A14" s="1"/>
      <c r="B14" s="1"/>
      <c r="C14" s="1"/>
      <c r="D14" s="1">
        <v>2</v>
      </c>
      <c r="E14" s="1">
        <v>0</v>
      </c>
      <c r="F14" s="1">
        <v>0</v>
      </c>
      <c r="G14" s="1">
        <v>0</v>
      </c>
      <c r="H14" s="1">
        <v>0</v>
      </c>
      <c r="I14" s="1">
        <v>17</v>
      </c>
      <c r="J14" s="1">
        <v>0</v>
      </c>
      <c r="K14" s="1">
        <v>0</v>
      </c>
      <c r="L14" s="1">
        <v>5.8</v>
      </c>
      <c r="M14" s="1">
        <v>2.4</v>
      </c>
      <c r="N14" s="1">
        <v>0</v>
      </c>
      <c r="O14" s="1">
        <v>0</v>
      </c>
      <c r="P14" s="1">
        <v>0.6</v>
      </c>
      <c r="Q14" s="1">
        <v>1.3</v>
      </c>
      <c r="R14" s="1">
        <v>0.7</v>
      </c>
      <c r="S14" s="1">
        <v>2.4</v>
      </c>
      <c r="T14" s="1">
        <v>0</v>
      </c>
      <c r="U14" s="1">
        <v>23</v>
      </c>
      <c r="V14" s="1">
        <v>6</v>
      </c>
      <c r="W14" s="1">
        <f t="shared" si="0"/>
        <v>59.2</v>
      </c>
      <c r="X14" s="6"/>
      <c r="Y14" s="6"/>
      <c r="Z14" s="30">
        <v>15.2</v>
      </c>
      <c r="AA14" s="1"/>
      <c r="AB14" s="6"/>
      <c r="AC14" s="6"/>
      <c r="AD14" s="1">
        <v>4.2</v>
      </c>
      <c r="AE14" s="1"/>
    </row>
    <row r="15" spans="1:31" ht="15" customHeight="1">
      <c r="A15" s="1"/>
      <c r="B15" s="1"/>
      <c r="C15" s="1"/>
      <c r="D15" s="1">
        <v>3</v>
      </c>
      <c r="E15" s="1">
        <v>0</v>
      </c>
      <c r="F15" s="1">
        <v>0</v>
      </c>
      <c r="G15" s="1">
        <v>0</v>
      </c>
      <c r="H15" s="1">
        <v>0</v>
      </c>
      <c r="I15" s="1">
        <v>21.96</v>
      </c>
      <c r="J15" s="1">
        <v>0</v>
      </c>
      <c r="K15" s="1">
        <v>0</v>
      </c>
      <c r="L15" s="1">
        <v>8.51</v>
      </c>
      <c r="M15" s="1">
        <v>2.5499999999999998</v>
      </c>
      <c r="N15" s="1">
        <v>0</v>
      </c>
      <c r="O15" s="1">
        <v>0.02</v>
      </c>
      <c r="P15" s="1">
        <v>0.43</v>
      </c>
      <c r="Q15" s="1">
        <v>0.24</v>
      </c>
      <c r="R15" s="1">
        <v>0</v>
      </c>
      <c r="S15" s="1">
        <v>4.75</v>
      </c>
      <c r="T15" s="1">
        <v>0</v>
      </c>
      <c r="U15" s="1">
        <v>28.33</v>
      </c>
      <c r="V15" s="1">
        <v>4.5999999999999996</v>
      </c>
      <c r="W15" s="1">
        <f t="shared" si="0"/>
        <v>71.389999999999986</v>
      </c>
      <c r="X15" s="1"/>
      <c r="Y15" s="6"/>
      <c r="Z15" s="30">
        <v>9.1999999999999993</v>
      </c>
      <c r="AA15" s="1"/>
      <c r="AB15" s="6"/>
      <c r="AC15" s="6"/>
      <c r="AD15" s="1">
        <v>5.4</v>
      </c>
      <c r="AE15" s="1"/>
    </row>
    <row r="16" spans="1:31" ht="15" customHeight="1">
      <c r="A16" s="1"/>
      <c r="B16" s="1"/>
      <c r="C16" s="1"/>
      <c r="D16" s="1">
        <v>4</v>
      </c>
      <c r="E16" s="1">
        <v>0</v>
      </c>
      <c r="F16" s="1">
        <v>0</v>
      </c>
      <c r="G16" s="1">
        <v>0</v>
      </c>
      <c r="H16" s="1">
        <v>0</v>
      </c>
      <c r="I16" s="1">
        <v>13</v>
      </c>
      <c r="J16" s="1">
        <v>0</v>
      </c>
      <c r="K16" s="1">
        <v>0</v>
      </c>
      <c r="L16" s="1">
        <v>5.8</v>
      </c>
      <c r="M16" s="1">
        <v>2</v>
      </c>
      <c r="N16" s="1">
        <v>0</v>
      </c>
      <c r="O16" s="1">
        <v>0</v>
      </c>
      <c r="P16" s="1">
        <v>0</v>
      </c>
      <c r="Q16" s="1">
        <v>0.8</v>
      </c>
      <c r="R16" s="1">
        <v>0.2</v>
      </c>
      <c r="S16" s="1">
        <v>7.7</v>
      </c>
      <c r="T16" s="1">
        <v>0</v>
      </c>
      <c r="U16" s="1">
        <v>16.600000000000001</v>
      </c>
      <c r="V16" s="1">
        <v>8.8000000000000007</v>
      </c>
      <c r="W16" s="1">
        <f t="shared" si="0"/>
        <v>54.900000000000006</v>
      </c>
      <c r="X16" s="6"/>
      <c r="Y16" s="6"/>
      <c r="Z16" s="30">
        <v>3.4</v>
      </c>
      <c r="AA16" s="1"/>
      <c r="AB16" s="6"/>
      <c r="AC16" s="6"/>
      <c r="AD16" s="1">
        <v>5.5</v>
      </c>
      <c r="AE16" s="1"/>
    </row>
    <row r="17" spans="1:31" ht="15" customHeight="1">
      <c r="A17" s="1"/>
      <c r="B17" s="1"/>
      <c r="C17" s="1"/>
      <c r="D17" s="1">
        <v>5</v>
      </c>
      <c r="E17" s="10">
        <v>0</v>
      </c>
      <c r="F17" s="10">
        <v>0</v>
      </c>
      <c r="G17" s="10">
        <v>0</v>
      </c>
      <c r="H17" s="10">
        <v>0</v>
      </c>
      <c r="I17" s="10">
        <v>0</v>
      </c>
      <c r="J17" s="10">
        <v>0</v>
      </c>
      <c r="K17" s="10">
        <v>0</v>
      </c>
      <c r="L17" s="10">
        <v>0</v>
      </c>
      <c r="M17" s="10">
        <v>0</v>
      </c>
      <c r="N17" s="10">
        <v>0</v>
      </c>
      <c r="O17" s="10">
        <v>0</v>
      </c>
      <c r="P17" s="10">
        <v>0</v>
      </c>
      <c r="Q17" s="10">
        <v>0</v>
      </c>
      <c r="R17" s="10">
        <v>0</v>
      </c>
      <c r="S17" s="10">
        <v>0</v>
      </c>
      <c r="T17" s="10">
        <v>0</v>
      </c>
      <c r="U17" s="10">
        <v>0</v>
      </c>
      <c r="V17" s="10">
        <v>0</v>
      </c>
      <c r="W17" s="8">
        <f>AVERAGE(W13:W16)</f>
        <v>58.347499999999997</v>
      </c>
      <c r="X17" s="1">
        <f>AVERAGE(W13:W17)</f>
        <v>58.347499999999989</v>
      </c>
      <c r="Y17" s="6"/>
      <c r="Z17" s="30">
        <v>11.1</v>
      </c>
      <c r="AA17" s="30">
        <f>AVERAGE(Z13:Z17)</f>
        <v>9.7199999999999989</v>
      </c>
      <c r="AB17" s="6"/>
      <c r="AC17" s="6"/>
      <c r="AD17" s="1">
        <v>5</v>
      </c>
      <c r="AE17" s="1">
        <f>AVERAGE(AD13:AD17)</f>
        <v>4.6400000000000006</v>
      </c>
    </row>
    <row r="18" spans="1:31" ht="15" customHeight="1">
      <c r="A18" s="1"/>
      <c r="B18" s="1"/>
      <c r="C18" s="1">
        <v>4</v>
      </c>
      <c r="D18" s="1">
        <v>1</v>
      </c>
      <c r="E18" s="1">
        <v>0</v>
      </c>
      <c r="F18" s="1">
        <v>0</v>
      </c>
      <c r="G18" s="1">
        <v>0</v>
      </c>
      <c r="H18" s="1">
        <v>0</v>
      </c>
      <c r="I18" s="1">
        <v>16.54</v>
      </c>
      <c r="J18" s="1">
        <v>0</v>
      </c>
      <c r="K18" s="1">
        <v>0</v>
      </c>
      <c r="L18" s="1">
        <v>8.49</v>
      </c>
      <c r="M18" s="1">
        <v>5</v>
      </c>
      <c r="N18" s="1">
        <v>0</v>
      </c>
      <c r="O18" s="1">
        <v>0</v>
      </c>
      <c r="P18" s="1">
        <v>0</v>
      </c>
      <c r="Q18" s="1">
        <v>0</v>
      </c>
      <c r="R18" s="1">
        <v>0</v>
      </c>
      <c r="S18" s="1">
        <v>3.84</v>
      </c>
      <c r="T18" s="1">
        <v>2.0499999999999998</v>
      </c>
      <c r="U18" s="1">
        <v>33.25</v>
      </c>
      <c r="V18" s="1">
        <v>0.57999999999999996</v>
      </c>
      <c r="W18" s="1">
        <f t="shared" ref="W18:W54" si="1">SUM(E18:V18)</f>
        <v>69.75</v>
      </c>
      <c r="X18" s="6"/>
      <c r="Y18" s="6"/>
      <c r="Z18" s="30">
        <v>8.3000000000000007</v>
      </c>
      <c r="AA18" s="1"/>
      <c r="AB18" s="6"/>
      <c r="AC18" s="6"/>
      <c r="AD18" s="1">
        <v>3</v>
      </c>
      <c r="AE18" s="1"/>
    </row>
    <row r="19" spans="1:31" ht="15" customHeight="1">
      <c r="A19" s="1"/>
      <c r="B19" s="1"/>
      <c r="C19" s="1"/>
      <c r="D19" s="1">
        <v>2</v>
      </c>
      <c r="E19" s="1">
        <v>0</v>
      </c>
      <c r="F19" s="1">
        <v>0</v>
      </c>
      <c r="G19" s="1">
        <v>0</v>
      </c>
      <c r="H19" s="1">
        <v>0</v>
      </c>
      <c r="I19" s="1">
        <v>21.1</v>
      </c>
      <c r="J19" s="1">
        <v>0</v>
      </c>
      <c r="K19" s="1">
        <v>0</v>
      </c>
      <c r="L19" s="1">
        <v>4.7</v>
      </c>
      <c r="M19" s="1">
        <v>4.9000000000000004</v>
      </c>
      <c r="N19" s="1">
        <v>0</v>
      </c>
      <c r="O19" s="1">
        <v>0.2</v>
      </c>
      <c r="P19" s="1">
        <v>0</v>
      </c>
      <c r="Q19" s="1">
        <v>0</v>
      </c>
      <c r="R19" s="1">
        <v>0.8</v>
      </c>
      <c r="S19" s="1">
        <v>3.2</v>
      </c>
      <c r="T19" s="1">
        <v>0</v>
      </c>
      <c r="U19" s="1">
        <v>9.6</v>
      </c>
      <c r="V19" s="1">
        <v>1.4</v>
      </c>
      <c r="W19" s="1">
        <f t="shared" si="1"/>
        <v>45.900000000000006</v>
      </c>
      <c r="X19" s="6"/>
      <c r="Y19" s="6"/>
      <c r="Z19" s="30">
        <v>6.2</v>
      </c>
      <c r="AA19" s="1"/>
      <c r="AB19" s="6"/>
      <c r="AC19" s="6"/>
      <c r="AD19" s="1">
        <v>4.8</v>
      </c>
      <c r="AE19" s="1"/>
    </row>
    <row r="20" spans="1:31" ht="15" customHeight="1">
      <c r="A20" s="1"/>
      <c r="B20" s="1"/>
      <c r="C20" s="1"/>
      <c r="D20" s="1">
        <v>3</v>
      </c>
      <c r="E20" s="1">
        <v>0</v>
      </c>
      <c r="F20" s="1">
        <v>0</v>
      </c>
      <c r="G20" s="1">
        <v>0</v>
      </c>
      <c r="H20" s="1">
        <v>0</v>
      </c>
      <c r="I20" s="1">
        <v>14.4</v>
      </c>
      <c r="J20" s="1">
        <v>0</v>
      </c>
      <c r="K20" s="1">
        <v>0</v>
      </c>
      <c r="L20" s="1">
        <v>8.5</v>
      </c>
      <c r="M20" s="1">
        <v>6.9</v>
      </c>
      <c r="N20" s="1">
        <v>0</v>
      </c>
      <c r="O20" s="1">
        <v>0.1</v>
      </c>
      <c r="P20" s="1">
        <v>0</v>
      </c>
      <c r="Q20" s="1">
        <v>0.8</v>
      </c>
      <c r="R20" s="1">
        <v>0.6</v>
      </c>
      <c r="S20" s="1">
        <v>2.1</v>
      </c>
      <c r="T20" s="1">
        <v>0</v>
      </c>
      <c r="U20" s="1">
        <v>24.9</v>
      </c>
      <c r="V20" s="1">
        <v>4.9000000000000004</v>
      </c>
      <c r="W20" s="1">
        <f t="shared" si="1"/>
        <v>63.199999999999996</v>
      </c>
      <c r="X20" s="1"/>
      <c r="Y20" s="6"/>
      <c r="Z20" s="30">
        <v>6.6</v>
      </c>
      <c r="AA20" s="1"/>
      <c r="AB20" s="6"/>
      <c r="AC20" s="6"/>
      <c r="AD20" s="1">
        <v>7.4</v>
      </c>
      <c r="AE20" s="1"/>
    </row>
    <row r="21" spans="1:31" ht="15" customHeight="1">
      <c r="A21" s="1"/>
      <c r="B21" s="1"/>
      <c r="C21" s="1"/>
      <c r="D21" s="1">
        <v>4</v>
      </c>
      <c r="E21" s="1">
        <v>0</v>
      </c>
      <c r="F21" s="1">
        <v>0</v>
      </c>
      <c r="G21" s="1">
        <v>0</v>
      </c>
      <c r="H21" s="1">
        <v>0</v>
      </c>
      <c r="I21" s="1">
        <v>9.3699999999999992</v>
      </c>
      <c r="J21" s="1">
        <v>0</v>
      </c>
      <c r="K21" s="1">
        <v>0</v>
      </c>
      <c r="L21" s="1">
        <v>10.76</v>
      </c>
      <c r="M21" s="1">
        <v>7.53</v>
      </c>
      <c r="N21" s="1">
        <v>0</v>
      </c>
      <c r="O21" s="1">
        <v>0</v>
      </c>
      <c r="P21" s="1">
        <v>0</v>
      </c>
      <c r="Q21" s="1">
        <v>1.57</v>
      </c>
      <c r="R21" s="1">
        <v>0</v>
      </c>
      <c r="S21" s="1">
        <v>4.54</v>
      </c>
      <c r="T21" s="1">
        <v>0.1</v>
      </c>
      <c r="U21" s="1">
        <v>28.25</v>
      </c>
      <c r="V21" s="1">
        <v>2.13</v>
      </c>
      <c r="W21" s="1">
        <f t="shared" si="1"/>
        <v>64.25</v>
      </c>
      <c r="X21" s="6"/>
      <c r="Y21" s="6"/>
      <c r="Z21" s="30">
        <v>11.6</v>
      </c>
      <c r="AA21" s="1"/>
      <c r="AB21" s="6"/>
      <c r="AC21" s="6"/>
      <c r="AD21" s="1">
        <v>3.3</v>
      </c>
      <c r="AE21" s="1"/>
    </row>
    <row r="22" spans="1:31" ht="15" customHeight="1">
      <c r="A22" s="1"/>
      <c r="B22" s="1"/>
      <c r="C22" s="1"/>
      <c r="D22" s="1">
        <v>5</v>
      </c>
      <c r="E22" s="1">
        <v>0</v>
      </c>
      <c r="F22" s="1">
        <v>0</v>
      </c>
      <c r="G22" s="1">
        <v>0</v>
      </c>
      <c r="H22" s="1">
        <v>0</v>
      </c>
      <c r="I22" s="1">
        <v>15.3</v>
      </c>
      <c r="J22" s="1">
        <v>0</v>
      </c>
      <c r="K22" s="1">
        <v>0</v>
      </c>
      <c r="L22" s="1">
        <v>11.1</v>
      </c>
      <c r="M22" s="1">
        <v>6.9</v>
      </c>
      <c r="N22" s="1">
        <v>0</v>
      </c>
      <c r="O22" s="1">
        <v>0.1</v>
      </c>
      <c r="P22" s="1">
        <v>0.6</v>
      </c>
      <c r="Q22" s="1">
        <v>0.6</v>
      </c>
      <c r="R22" s="1">
        <v>0.1</v>
      </c>
      <c r="S22" s="1">
        <v>5.3</v>
      </c>
      <c r="T22" s="1">
        <v>0</v>
      </c>
      <c r="U22" s="1">
        <v>19.8</v>
      </c>
      <c r="V22" s="1">
        <v>0.9</v>
      </c>
      <c r="W22" s="1">
        <f t="shared" si="1"/>
        <v>60.699999999999996</v>
      </c>
      <c r="X22" s="1">
        <f>AVERAGE(W18:W22)</f>
        <v>60.760000000000005</v>
      </c>
      <c r="Y22" s="6"/>
      <c r="Z22" s="30">
        <v>15.4</v>
      </c>
      <c r="AA22" s="30">
        <f>AVERAGE(Z18:Z22)</f>
        <v>9.620000000000001</v>
      </c>
      <c r="AB22" s="6"/>
      <c r="AC22" s="6"/>
      <c r="AD22" s="1">
        <v>3.7</v>
      </c>
      <c r="AE22" s="1">
        <f>AVERAGE(AD18:AD22)</f>
        <v>4.4399999999999995</v>
      </c>
    </row>
    <row r="23" spans="1:31" ht="15" customHeight="1">
      <c r="A23" s="1" t="s">
        <v>37</v>
      </c>
      <c r="B23" s="1" t="s">
        <v>77</v>
      </c>
      <c r="C23" s="1">
        <v>1</v>
      </c>
      <c r="D23" s="1">
        <v>1</v>
      </c>
      <c r="E23" s="1">
        <v>0</v>
      </c>
      <c r="F23" s="1">
        <v>0</v>
      </c>
      <c r="G23" s="1">
        <v>0</v>
      </c>
      <c r="H23" s="1">
        <v>0</v>
      </c>
      <c r="I23" s="1">
        <v>28.04</v>
      </c>
      <c r="J23" s="1">
        <v>0</v>
      </c>
      <c r="K23" s="1">
        <v>0</v>
      </c>
      <c r="L23" s="1">
        <v>3.51</v>
      </c>
      <c r="M23" s="1">
        <v>16.14</v>
      </c>
      <c r="N23" s="1">
        <v>0</v>
      </c>
      <c r="O23" s="1">
        <v>0</v>
      </c>
      <c r="P23" s="1">
        <v>0</v>
      </c>
      <c r="Q23" s="1">
        <v>0</v>
      </c>
      <c r="R23" s="1">
        <v>0</v>
      </c>
      <c r="S23" s="1">
        <v>0.3</v>
      </c>
      <c r="T23" s="1">
        <v>0</v>
      </c>
      <c r="U23" s="1">
        <v>7.54</v>
      </c>
      <c r="V23" s="1">
        <v>3.92</v>
      </c>
      <c r="W23" s="1">
        <f t="shared" si="1"/>
        <v>59.449999999999996</v>
      </c>
      <c r="X23" s="6"/>
      <c r="Y23" s="6"/>
      <c r="Z23" s="30">
        <v>8</v>
      </c>
      <c r="AA23" s="1"/>
      <c r="AB23" s="6"/>
      <c r="AC23" s="6"/>
      <c r="AD23" s="1">
        <v>1.2</v>
      </c>
      <c r="AE23" s="1"/>
    </row>
    <row r="24" spans="1:31" ht="15" customHeight="1">
      <c r="A24" s="1"/>
      <c r="B24" s="1"/>
      <c r="C24" s="1"/>
      <c r="D24" s="1">
        <v>2</v>
      </c>
      <c r="E24" s="1">
        <v>0</v>
      </c>
      <c r="F24" s="1">
        <v>0</v>
      </c>
      <c r="G24" s="1">
        <v>0</v>
      </c>
      <c r="H24" s="1">
        <v>0</v>
      </c>
      <c r="I24" s="1">
        <v>33.840000000000003</v>
      </c>
      <c r="J24" s="1">
        <v>0</v>
      </c>
      <c r="K24" s="1">
        <v>0</v>
      </c>
      <c r="L24" s="1">
        <v>2.5099999999999998</v>
      </c>
      <c r="M24" s="1">
        <v>12.77</v>
      </c>
      <c r="N24" s="1">
        <v>0</v>
      </c>
      <c r="O24" s="1">
        <v>0</v>
      </c>
      <c r="P24" s="1">
        <v>0</v>
      </c>
      <c r="Q24" s="1">
        <v>0</v>
      </c>
      <c r="R24" s="1">
        <v>0</v>
      </c>
      <c r="S24" s="1">
        <v>0.66</v>
      </c>
      <c r="T24" s="1">
        <v>0</v>
      </c>
      <c r="U24" s="1">
        <v>4.91</v>
      </c>
      <c r="V24" s="1">
        <v>0.85</v>
      </c>
      <c r="W24" s="1">
        <f t="shared" si="1"/>
        <v>55.54</v>
      </c>
      <c r="X24" s="6"/>
      <c r="Y24" s="6"/>
      <c r="Z24" s="30">
        <v>6.1</v>
      </c>
      <c r="AA24" s="1"/>
      <c r="AB24" s="6"/>
      <c r="AC24" s="6"/>
      <c r="AD24" s="1">
        <v>2.1</v>
      </c>
      <c r="AE24" s="1"/>
    </row>
    <row r="25" spans="1:31" ht="15" customHeight="1">
      <c r="A25" s="1"/>
      <c r="B25" s="1"/>
      <c r="C25" s="1"/>
      <c r="D25" s="1">
        <v>3</v>
      </c>
      <c r="E25" s="1">
        <v>0</v>
      </c>
      <c r="F25" s="1">
        <v>0</v>
      </c>
      <c r="G25" s="1">
        <v>0</v>
      </c>
      <c r="H25" s="1">
        <v>0</v>
      </c>
      <c r="I25" s="1">
        <v>37.79</v>
      </c>
      <c r="J25" s="1">
        <v>0</v>
      </c>
      <c r="K25" s="1">
        <v>0</v>
      </c>
      <c r="L25" s="1">
        <v>0</v>
      </c>
      <c r="M25" s="1">
        <v>17.059999999999999</v>
      </c>
      <c r="N25" s="1">
        <v>0</v>
      </c>
      <c r="O25" s="1">
        <v>0.2</v>
      </c>
      <c r="P25" s="1">
        <v>0</v>
      </c>
      <c r="Q25" s="1">
        <v>5.03</v>
      </c>
      <c r="R25" s="1">
        <v>0</v>
      </c>
      <c r="S25" s="1">
        <v>1.77</v>
      </c>
      <c r="T25" s="1">
        <v>0</v>
      </c>
      <c r="U25" s="1">
        <v>6.64</v>
      </c>
      <c r="V25" s="1">
        <v>0.86</v>
      </c>
      <c r="W25" s="1">
        <f t="shared" si="1"/>
        <v>69.349999999999994</v>
      </c>
      <c r="X25" s="6"/>
      <c r="Y25" s="6"/>
      <c r="Z25" s="30">
        <v>9.4</v>
      </c>
      <c r="AA25" s="1"/>
      <c r="AB25" s="6"/>
      <c r="AC25" s="6"/>
      <c r="AD25" s="1">
        <v>1.9</v>
      </c>
      <c r="AE25" s="1"/>
    </row>
    <row r="26" spans="1:31" ht="15" customHeight="1">
      <c r="A26" s="1"/>
      <c r="B26" s="1"/>
      <c r="C26" s="1"/>
      <c r="D26" s="1">
        <v>4</v>
      </c>
      <c r="E26" s="1">
        <v>0</v>
      </c>
      <c r="F26" s="1">
        <v>0</v>
      </c>
      <c r="G26" s="1">
        <v>0</v>
      </c>
      <c r="H26" s="1">
        <v>0</v>
      </c>
      <c r="I26" s="1">
        <v>32.5</v>
      </c>
      <c r="J26" s="1">
        <v>0</v>
      </c>
      <c r="K26" s="1">
        <v>0</v>
      </c>
      <c r="L26" s="1">
        <v>5.2</v>
      </c>
      <c r="M26" s="1">
        <v>9.15</v>
      </c>
      <c r="N26" s="1">
        <v>0</v>
      </c>
      <c r="O26" s="1">
        <v>0.01</v>
      </c>
      <c r="P26" s="1">
        <v>0</v>
      </c>
      <c r="Q26" s="1">
        <v>0</v>
      </c>
      <c r="R26" s="1">
        <v>0</v>
      </c>
      <c r="S26" s="1">
        <v>2.06</v>
      </c>
      <c r="T26" s="1">
        <v>0</v>
      </c>
      <c r="U26" s="1">
        <v>11.2</v>
      </c>
      <c r="V26" s="1">
        <v>2.52</v>
      </c>
      <c r="W26" s="1">
        <f t="shared" si="1"/>
        <v>62.640000000000008</v>
      </c>
      <c r="X26" s="6"/>
      <c r="Y26" s="6"/>
      <c r="Z26" s="30">
        <v>6.2</v>
      </c>
      <c r="AA26" s="1"/>
      <c r="AB26" s="6"/>
      <c r="AC26" s="6"/>
      <c r="AD26" s="1">
        <v>1.1000000000000001</v>
      </c>
      <c r="AE26" s="1"/>
    </row>
    <row r="27" spans="1:31" ht="15" customHeight="1">
      <c r="A27" s="1"/>
      <c r="B27" s="1"/>
      <c r="C27" s="1"/>
      <c r="D27" s="1">
        <v>5</v>
      </c>
      <c r="E27" s="1">
        <v>0</v>
      </c>
      <c r="F27" s="1">
        <v>0</v>
      </c>
      <c r="G27" s="1">
        <v>0</v>
      </c>
      <c r="H27" s="1">
        <v>0</v>
      </c>
      <c r="I27" s="1">
        <v>54.19</v>
      </c>
      <c r="J27" s="1">
        <v>0</v>
      </c>
      <c r="K27" s="1">
        <v>0</v>
      </c>
      <c r="L27" s="1">
        <v>4.13</v>
      </c>
      <c r="M27" s="1">
        <v>2.91</v>
      </c>
      <c r="N27" s="1">
        <v>0</v>
      </c>
      <c r="O27" s="1">
        <v>0.86</v>
      </c>
      <c r="P27" s="1">
        <v>0</v>
      </c>
      <c r="Q27" s="1">
        <v>0.26</v>
      </c>
      <c r="R27" s="1">
        <v>0</v>
      </c>
      <c r="S27" s="1">
        <v>0.93</v>
      </c>
      <c r="T27" s="1">
        <v>0</v>
      </c>
      <c r="U27" s="1">
        <v>2.29</v>
      </c>
      <c r="V27" s="1">
        <v>0.28000000000000003</v>
      </c>
      <c r="W27" s="1">
        <f t="shared" si="1"/>
        <v>65.850000000000009</v>
      </c>
      <c r="X27" s="1">
        <f>AVERAGE(W23:W27)</f>
        <v>62.565999999999995</v>
      </c>
      <c r="Y27" s="6"/>
      <c r="Z27" s="30">
        <v>5.4</v>
      </c>
      <c r="AA27" s="30">
        <f>AVERAGE(Z23:Z27)</f>
        <v>7.0200000000000005</v>
      </c>
      <c r="AB27" s="6"/>
      <c r="AC27" s="6"/>
      <c r="AD27" s="1">
        <v>1.7</v>
      </c>
      <c r="AE27" s="1">
        <f>AVERAGE(AD23:AD27)</f>
        <v>1.5999999999999999</v>
      </c>
    </row>
    <row r="28" spans="1:31" ht="15" customHeight="1">
      <c r="A28" s="1"/>
      <c r="B28" s="1"/>
      <c r="C28" s="1">
        <v>2</v>
      </c>
      <c r="D28" s="1">
        <v>1</v>
      </c>
      <c r="E28" s="1">
        <v>0</v>
      </c>
      <c r="F28" s="1">
        <v>0</v>
      </c>
      <c r="G28" s="1">
        <v>0</v>
      </c>
      <c r="H28" s="1">
        <v>0</v>
      </c>
      <c r="I28" s="1">
        <v>39.51</v>
      </c>
      <c r="J28" s="1">
        <v>0</v>
      </c>
      <c r="K28" s="1">
        <v>0</v>
      </c>
      <c r="L28" s="1">
        <v>7.46</v>
      </c>
      <c r="M28" s="1">
        <v>0.46</v>
      </c>
      <c r="N28" s="1">
        <v>0</v>
      </c>
      <c r="O28" s="1">
        <v>0</v>
      </c>
      <c r="P28" s="1">
        <v>0</v>
      </c>
      <c r="Q28" s="1">
        <v>0</v>
      </c>
      <c r="R28" s="1">
        <v>0</v>
      </c>
      <c r="S28" s="1">
        <v>0.8</v>
      </c>
      <c r="T28" s="1">
        <v>0</v>
      </c>
      <c r="U28" s="1">
        <v>13.53</v>
      </c>
      <c r="V28" s="1">
        <v>0.19</v>
      </c>
      <c r="W28" s="1">
        <f t="shared" si="1"/>
        <v>61.949999999999996</v>
      </c>
      <c r="X28" s="1"/>
      <c r="Y28" s="6"/>
      <c r="Z28" s="30">
        <v>6.9</v>
      </c>
      <c r="AA28" s="1"/>
      <c r="AB28" s="6"/>
      <c r="AC28" s="6"/>
      <c r="AD28" s="1">
        <v>3</v>
      </c>
      <c r="AE28" s="1"/>
    </row>
    <row r="29" spans="1:31" ht="15" customHeight="1">
      <c r="A29" s="1"/>
      <c r="B29" s="1"/>
      <c r="C29" s="1"/>
      <c r="D29" s="1">
        <v>2</v>
      </c>
      <c r="E29" s="1">
        <v>0</v>
      </c>
      <c r="F29" s="1">
        <v>0</v>
      </c>
      <c r="G29" s="1">
        <v>0</v>
      </c>
      <c r="H29" s="1">
        <v>0</v>
      </c>
      <c r="I29" s="1">
        <v>18.05</v>
      </c>
      <c r="J29" s="1">
        <v>0</v>
      </c>
      <c r="K29" s="1">
        <v>0</v>
      </c>
      <c r="L29" s="1">
        <v>18.989999999999998</v>
      </c>
      <c r="M29" s="1">
        <v>4.8899999999999997</v>
      </c>
      <c r="N29" s="1">
        <v>0</v>
      </c>
      <c r="O29" s="1">
        <v>0</v>
      </c>
      <c r="P29" s="1">
        <v>0</v>
      </c>
      <c r="Q29" s="1">
        <v>0</v>
      </c>
      <c r="R29" s="1">
        <v>0</v>
      </c>
      <c r="S29" s="1">
        <v>3.81</v>
      </c>
      <c r="T29" s="1">
        <v>0</v>
      </c>
      <c r="U29" s="1">
        <v>14.81</v>
      </c>
      <c r="V29" s="1">
        <v>5.08</v>
      </c>
      <c r="W29" s="1">
        <f t="shared" si="1"/>
        <v>65.63000000000001</v>
      </c>
      <c r="X29" s="1"/>
      <c r="Y29" s="6"/>
      <c r="Z29" s="30">
        <v>6.6</v>
      </c>
      <c r="AA29" s="1"/>
      <c r="AB29" s="6"/>
      <c r="AC29" s="6"/>
      <c r="AD29" s="1">
        <v>2.6</v>
      </c>
      <c r="AE29" s="1"/>
    </row>
    <row r="30" spans="1:31" ht="15" customHeight="1">
      <c r="A30" s="1"/>
      <c r="B30" s="1"/>
      <c r="C30" s="1"/>
      <c r="D30" s="1">
        <v>3</v>
      </c>
      <c r="E30" s="1">
        <v>0</v>
      </c>
      <c r="F30" s="1">
        <v>0</v>
      </c>
      <c r="G30" s="1">
        <v>0</v>
      </c>
      <c r="H30" s="1">
        <v>0</v>
      </c>
      <c r="I30" s="1">
        <v>14.26</v>
      </c>
      <c r="J30" s="1">
        <v>0</v>
      </c>
      <c r="K30" s="1">
        <v>0</v>
      </c>
      <c r="L30" s="1">
        <v>7.61</v>
      </c>
      <c r="M30" s="1">
        <v>52.1</v>
      </c>
      <c r="N30" s="1">
        <v>0</v>
      </c>
      <c r="O30" s="1">
        <v>0</v>
      </c>
      <c r="P30" s="1">
        <v>0</v>
      </c>
      <c r="Q30" s="1">
        <v>0.49</v>
      </c>
      <c r="R30" s="1">
        <v>0</v>
      </c>
      <c r="S30" s="1">
        <v>1.78</v>
      </c>
      <c r="T30" s="1">
        <v>0</v>
      </c>
      <c r="U30" s="1">
        <v>9.3699999999999992</v>
      </c>
      <c r="V30" s="1">
        <v>5.9</v>
      </c>
      <c r="W30" s="1">
        <f t="shared" si="1"/>
        <v>91.51</v>
      </c>
      <c r="X30" s="1"/>
      <c r="Y30" s="6"/>
      <c r="Z30" s="30">
        <v>8</v>
      </c>
      <c r="AA30" s="1"/>
      <c r="AB30" s="6"/>
      <c r="AC30" s="6"/>
      <c r="AD30" s="1">
        <v>3.3</v>
      </c>
      <c r="AE30" s="1"/>
    </row>
    <row r="31" spans="1:31" ht="15" customHeight="1">
      <c r="A31" s="1"/>
      <c r="B31" s="1"/>
      <c r="C31" s="1"/>
      <c r="D31" s="1">
        <v>4</v>
      </c>
      <c r="E31" s="1">
        <v>0</v>
      </c>
      <c r="F31" s="1">
        <v>0</v>
      </c>
      <c r="G31" s="1">
        <v>0</v>
      </c>
      <c r="H31" s="1">
        <v>0</v>
      </c>
      <c r="I31" s="1">
        <v>14.35</v>
      </c>
      <c r="J31" s="1">
        <v>0</v>
      </c>
      <c r="K31" s="1">
        <v>0</v>
      </c>
      <c r="L31" s="1">
        <v>14.36</v>
      </c>
      <c r="M31" s="1">
        <v>14.5</v>
      </c>
      <c r="N31" s="1">
        <v>0</v>
      </c>
      <c r="O31" s="1">
        <v>0</v>
      </c>
      <c r="P31" s="1">
        <v>0</v>
      </c>
      <c r="Q31" s="1">
        <v>0.14000000000000001</v>
      </c>
      <c r="R31" s="1">
        <v>0</v>
      </c>
      <c r="S31" s="1">
        <v>0.78</v>
      </c>
      <c r="T31" s="1">
        <v>0</v>
      </c>
      <c r="U31" s="1">
        <v>18.72</v>
      </c>
      <c r="V31" s="1">
        <v>6.4</v>
      </c>
      <c r="W31" s="1">
        <f t="shared" si="1"/>
        <v>69.25</v>
      </c>
      <c r="X31" s="1"/>
      <c r="Y31" s="6"/>
      <c r="Z31" s="30">
        <v>6.8</v>
      </c>
      <c r="AA31" s="1"/>
      <c r="AB31" s="6"/>
      <c r="AC31" s="6"/>
      <c r="AD31" s="1">
        <v>2.9</v>
      </c>
      <c r="AE31" s="1"/>
    </row>
    <row r="32" spans="1:31" ht="15" customHeight="1">
      <c r="A32" s="1"/>
      <c r="B32" s="1"/>
      <c r="C32" s="1"/>
      <c r="D32" s="1">
        <v>5</v>
      </c>
      <c r="E32" s="1">
        <v>0</v>
      </c>
      <c r="F32" s="1">
        <v>0</v>
      </c>
      <c r="G32" s="1">
        <v>0</v>
      </c>
      <c r="H32" s="1">
        <v>0</v>
      </c>
      <c r="I32" s="1">
        <v>23.92</v>
      </c>
      <c r="J32" s="1">
        <v>0</v>
      </c>
      <c r="K32" s="1">
        <v>0</v>
      </c>
      <c r="L32" s="1">
        <v>7.29</v>
      </c>
      <c r="M32" s="1">
        <v>38.269999999999996</v>
      </c>
      <c r="N32" s="1">
        <v>0</v>
      </c>
      <c r="O32" s="1">
        <v>0</v>
      </c>
      <c r="P32" s="1">
        <v>0</v>
      </c>
      <c r="Q32" s="1">
        <v>0</v>
      </c>
      <c r="R32" s="1">
        <v>0</v>
      </c>
      <c r="S32" s="1">
        <v>0.73</v>
      </c>
      <c r="T32" s="1">
        <v>0</v>
      </c>
      <c r="U32" s="1">
        <v>0</v>
      </c>
      <c r="V32" s="1">
        <v>1.94</v>
      </c>
      <c r="W32" s="1">
        <f t="shared" si="1"/>
        <v>72.149999999999991</v>
      </c>
      <c r="X32" s="1">
        <f>AVERAGE(W28:W32)</f>
        <v>72.097999999999999</v>
      </c>
      <c r="Y32" s="6"/>
      <c r="Z32" s="30">
        <v>8</v>
      </c>
      <c r="AA32" s="30">
        <f>AVERAGE(Z28:Z32)</f>
        <v>7.26</v>
      </c>
      <c r="AB32" s="6"/>
      <c r="AC32" s="6"/>
      <c r="AD32" s="1">
        <v>2.8</v>
      </c>
      <c r="AE32" s="1">
        <f>AVERAGE(AD28:AD32)</f>
        <v>2.9199999999999995</v>
      </c>
    </row>
    <row r="33" spans="1:31" ht="15" customHeight="1">
      <c r="A33" s="1"/>
      <c r="B33" s="1"/>
      <c r="C33" s="1">
        <v>3</v>
      </c>
      <c r="D33" s="1">
        <v>1</v>
      </c>
      <c r="E33" s="1">
        <v>2.34</v>
      </c>
      <c r="F33" s="1">
        <v>0</v>
      </c>
      <c r="G33" s="1">
        <v>0</v>
      </c>
      <c r="H33" s="1">
        <v>0</v>
      </c>
      <c r="I33" s="1">
        <v>24.950000000000003</v>
      </c>
      <c r="J33" s="1">
        <v>0</v>
      </c>
      <c r="K33" s="1">
        <v>0</v>
      </c>
      <c r="L33" s="1">
        <v>6.51</v>
      </c>
      <c r="M33" s="1">
        <v>6.85</v>
      </c>
      <c r="N33" s="1">
        <v>0</v>
      </c>
      <c r="O33" s="1">
        <v>0</v>
      </c>
      <c r="P33" s="1">
        <v>0.09</v>
      </c>
      <c r="Q33" s="1">
        <v>0.45</v>
      </c>
      <c r="R33" s="1">
        <v>0</v>
      </c>
      <c r="S33" s="1">
        <v>0.38</v>
      </c>
      <c r="T33" s="1">
        <v>0</v>
      </c>
      <c r="U33" s="1">
        <v>23.61</v>
      </c>
      <c r="V33" s="1">
        <v>2.69</v>
      </c>
      <c r="W33" s="1">
        <f t="shared" si="1"/>
        <v>67.87</v>
      </c>
      <c r="X33" s="1"/>
      <c r="Y33" s="6"/>
      <c r="Z33" s="30">
        <v>8.5</v>
      </c>
      <c r="AA33" s="1"/>
      <c r="AB33" s="6"/>
      <c r="AC33" s="6"/>
      <c r="AD33" s="1">
        <v>6.5</v>
      </c>
      <c r="AE33" s="1"/>
    </row>
    <row r="34" spans="1:31" ht="15" customHeight="1">
      <c r="A34" s="1"/>
      <c r="B34" s="1"/>
      <c r="C34" s="1"/>
      <c r="D34" s="1">
        <v>2</v>
      </c>
      <c r="E34" s="1">
        <v>0</v>
      </c>
      <c r="F34" s="1">
        <v>0</v>
      </c>
      <c r="G34" s="1">
        <v>0</v>
      </c>
      <c r="H34" s="1">
        <v>0</v>
      </c>
      <c r="I34" s="1">
        <v>18.93</v>
      </c>
      <c r="J34" s="1">
        <v>0</v>
      </c>
      <c r="K34" s="1">
        <v>0</v>
      </c>
      <c r="L34" s="1">
        <v>3.06</v>
      </c>
      <c r="M34" s="1">
        <v>51.31</v>
      </c>
      <c r="N34" s="1">
        <v>0</v>
      </c>
      <c r="O34" s="1">
        <v>0</v>
      </c>
      <c r="P34" s="1">
        <v>0.15</v>
      </c>
      <c r="Q34" s="1">
        <v>0</v>
      </c>
      <c r="R34" s="1">
        <v>0</v>
      </c>
      <c r="S34" s="1">
        <v>0</v>
      </c>
      <c r="T34" s="1">
        <v>0</v>
      </c>
      <c r="U34" s="1">
        <v>2.71</v>
      </c>
      <c r="V34" s="1">
        <v>0</v>
      </c>
      <c r="W34" s="1">
        <f t="shared" si="1"/>
        <v>76.16</v>
      </c>
      <c r="X34" s="1"/>
      <c r="Y34" s="6"/>
      <c r="Z34" s="30">
        <v>5.8</v>
      </c>
      <c r="AA34" s="1"/>
      <c r="AB34" s="6"/>
      <c r="AC34" s="6"/>
      <c r="AD34" s="1">
        <v>2.2000000000000002</v>
      </c>
      <c r="AE34" s="1"/>
    </row>
    <row r="35" spans="1:31" ht="15" customHeight="1">
      <c r="A35" s="1"/>
      <c r="B35" s="1"/>
      <c r="C35" s="1"/>
      <c r="D35" s="1">
        <v>3</v>
      </c>
      <c r="E35" s="1">
        <v>0</v>
      </c>
      <c r="F35" s="1">
        <v>0</v>
      </c>
      <c r="G35" s="1">
        <v>0</v>
      </c>
      <c r="H35" s="1">
        <v>0</v>
      </c>
      <c r="I35" s="1">
        <v>34.870000000000005</v>
      </c>
      <c r="J35" s="1">
        <v>0</v>
      </c>
      <c r="K35" s="1">
        <v>0</v>
      </c>
      <c r="L35" s="1">
        <v>1.92</v>
      </c>
      <c r="M35" s="1">
        <v>6.93</v>
      </c>
      <c r="N35" s="1">
        <v>0</v>
      </c>
      <c r="O35" s="1">
        <v>0</v>
      </c>
      <c r="P35" s="1">
        <v>0</v>
      </c>
      <c r="Q35" s="1">
        <v>7.16</v>
      </c>
      <c r="R35" s="1">
        <v>0</v>
      </c>
      <c r="S35" s="1">
        <v>0.89</v>
      </c>
      <c r="T35" s="1">
        <v>0</v>
      </c>
      <c r="U35" s="1">
        <v>2.23</v>
      </c>
      <c r="V35" s="1">
        <v>7.41</v>
      </c>
      <c r="W35" s="1">
        <f t="shared" si="1"/>
        <v>61.410000000000011</v>
      </c>
      <c r="X35" s="1"/>
      <c r="Y35" s="6"/>
      <c r="Z35" s="30">
        <v>8.5</v>
      </c>
      <c r="AA35" s="1"/>
      <c r="AB35" s="6"/>
      <c r="AC35" s="6"/>
      <c r="AD35" s="1">
        <v>1.2</v>
      </c>
      <c r="AE35" s="1"/>
    </row>
    <row r="36" spans="1:31" ht="15" customHeight="1">
      <c r="A36" s="1"/>
      <c r="B36" s="1"/>
      <c r="C36" s="1"/>
      <c r="D36" s="1">
        <v>4</v>
      </c>
      <c r="E36" s="1">
        <v>1.48</v>
      </c>
      <c r="F36" s="1">
        <v>0</v>
      </c>
      <c r="G36" s="1">
        <v>0</v>
      </c>
      <c r="H36" s="1">
        <v>0</v>
      </c>
      <c r="I36" s="1">
        <v>21.63</v>
      </c>
      <c r="J36" s="1">
        <v>0</v>
      </c>
      <c r="K36" s="1">
        <v>0</v>
      </c>
      <c r="L36" s="1">
        <v>6.64</v>
      </c>
      <c r="M36" s="1">
        <v>11.85</v>
      </c>
      <c r="N36" s="1">
        <v>0</v>
      </c>
      <c r="O36" s="1">
        <v>0</v>
      </c>
      <c r="P36" s="1">
        <v>0</v>
      </c>
      <c r="Q36" s="1">
        <v>0.3</v>
      </c>
      <c r="R36" s="1">
        <v>0</v>
      </c>
      <c r="S36" s="1">
        <v>0.99</v>
      </c>
      <c r="T36" s="1">
        <v>0</v>
      </c>
      <c r="U36" s="1">
        <v>29.36</v>
      </c>
      <c r="V36" s="1">
        <v>7.31</v>
      </c>
      <c r="W36" s="1">
        <f t="shared" si="1"/>
        <v>79.56</v>
      </c>
      <c r="X36" s="1"/>
      <c r="Y36" s="6"/>
      <c r="Z36" s="30">
        <v>8.1</v>
      </c>
      <c r="AA36" s="1"/>
      <c r="AB36" s="6"/>
      <c r="AC36" s="6"/>
      <c r="AD36" s="1">
        <v>1.9</v>
      </c>
      <c r="AE36" s="1"/>
    </row>
    <row r="37" spans="1:31" ht="15" customHeight="1">
      <c r="A37" s="1"/>
      <c r="B37" s="1"/>
      <c r="C37" s="1"/>
      <c r="D37" s="1">
        <v>5</v>
      </c>
      <c r="E37" s="1">
        <v>0.16</v>
      </c>
      <c r="F37" s="1">
        <v>0</v>
      </c>
      <c r="G37" s="1">
        <v>0</v>
      </c>
      <c r="H37" s="1">
        <v>0</v>
      </c>
      <c r="I37" s="1">
        <v>28.08</v>
      </c>
      <c r="J37" s="1">
        <v>0</v>
      </c>
      <c r="K37" s="1">
        <v>0</v>
      </c>
      <c r="L37" s="1">
        <v>11.43</v>
      </c>
      <c r="M37" s="1">
        <v>8.11</v>
      </c>
      <c r="N37" s="1">
        <v>0</v>
      </c>
      <c r="O37" s="1">
        <v>0</v>
      </c>
      <c r="P37" s="1">
        <v>0</v>
      </c>
      <c r="Q37" s="1">
        <v>3.18</v>
      </c>
      <c r="R37" s="1">
        <v>0</v>
      </c>
      <c r="S37" s="1">
        <v>0.72</v>
      </c>
      <c r="T37" s="1">
        <v>0</v>
      </c>
      <c r="U37" s="1">
        <v>7.39</v>
      </c>
      <c r="V37" s="1">
        <v>7.37</v>
      </c>
      <c r="W37" s="1">
        <f t="shared" si="1"/>
        <v>66.44</v>
      </c>
      <c r="X37" s="1">
        <f>AVERAGE(W33:W37)</f>
        <v>70.287999999999997</v>
      </c>
      <c r="Y37" s="6"/>
      <c r="Z37" s="30">
        <v>3.9</v>
      </c>
      <c r="AA37" s="30">
        <f>AVERAGE(Z33:Z37)</f>
        <v>6.9599999999999991</v>
      </c>
      <c r="AB37" s="6"/>
      <c r="AC37" s="6"/>
      <c r="AD37" s="1">
        <v>2.1</v>
      </c>
      <c r="AE37" s="1">
        <f>AVERAGE(AD33:AD37)</f>
        <v>2.78</v>
      </c>
    </row>
    <row r="38" spans="1:31" ht="15" customHeight="1">
      <c r="A38" s="1"/>
      <c r="B38" s="1"/>
      <c r="C38" s="1">
        <v>4</v>
      </c>
      <c r="D38" s="1">
        <v>1</v>
      </c>
      <c r="E38" s="1">
        <v>0</v>
      </c>
      <c r="F38" s="1">
        <v>0</v>
      </c>
      <c r="G38" s="1">
        <v>0</v>
      </c>
      <c r="H38" s="1">
        <v>0</v>
      </c>
      <c r="I38" s="1">
        <v>17.25</v>
      </c>
      <c r="J38" s="1">
        <v>0</v>
      </c>
      <c r="K38" s="1">
        <v>0</v>
      </c>
      <c r="L38" s="1">
        <v>10.87</v>
      </c>
      <c r="M38" s="1">
        <v>13.3</v>
      </c>
      <c r="N38" s="1">
        <v>0</v>
      </c>
      <c r="O38" s="1">
        <v>0</v>
      </c>
      <c r="P38" s="1">
        <v>0</v>
      </c>
      <c r="Q38" s="1">
        <v>2.09</v>
      </c>
      <c r="R38" s="1">
        <v>0</v>
      </c>
      <c r="S38" s="1">
        <v>0.85</v>
      </c>
      <c r="T38" s="1">
        <v>0</v>
      </c>
      <c r="U38" s="1">
        <v>22.74</v>
      </c>
      <c r="V38" s="1">
        <v>1.18</v>
      </c>
      <c r="W38" s="1">
        <f t="shared" si="1"/>
        <v>68.280000000000015</v>
      </c>
      <c r="X38" s="1"/>
      <c r="Y38" s="6"/>
      <c r="Z38" s="30">
        <v>8</v>
      </c>
      <c r="AA38" s="1"/>
      <c r="AB38" s="6"/>
      <c r="AC38" s="6"/>
      <c r="AD38" s="1">
        <v>6.1</v>
      </c>
      <c r="AE38" s="1"/>
    </row>
    <row r="39" spans="1:31" ht="15" customHeight="1">
      <c r="A39" s="1"/>
      <c r="B39" s="1"/>
      <c r="C39" s="1"/>
      <c r="D39" s="1">
        <v>2</v>
      </c>
      <c r="E39" s="1">
        <v>0</v>
      </c>
      <c r="F39" s="1">
        <v>0</v>
      </c>
      <c r="G39" s="1">
        <v>0</v>
      </c>
      <c r="H39" s="1">
        <v>0</v>
      </c>
      <c r="I39" s="1">
        <v>27.2</v>
      </c>
      <c r="J39" s="1">
        <v>0</v>
      </c>
      <c r="K39" s="1">
        <v>0</v>
      </c>
      <c r="L39" s="1">
        <v>7.23</v>
      </c>
      <c r="M39" s="1">
        <v>12.31</v>
      </c>
      <c r="N39" s="1">
        <v>0</v>
      </c>
      <c r="O39" s="1">
        <v>0</v>
      </c>
      <c r="P39" s="1">
        <v>0</v>
      </c>
      <c r="Q39" s="1">
        <v>0</v>
      </c>
      <c r="R39" s="1">
        <v>0</v>
      </c>
      <c r="S39" s="1">
        <v>2.44</v>
      </c>
      <c r="T39" s="1">
        <v>0</v>
      </c>
      <c r="U39" s="1">
        <v>10.83</v>
      </c>
      <c r="V39" s="1">
        <v>0.94</v>
      </c>
      <c r="W39" s="1">
        <f t="shared" si="1"/>
        <v>60.949999999999996</v>
      </c>
      <c r="X39" s="1"/>
      <c r="Y39" s="6"/>
      <c r="Z39" s="30">
        <v>9.6999999999999993</v>
      </c>
      <c r="AA39" s="1"/>
      <c r="AB39" s="6"/>
      <c r="AC39" s="6"/>
      <c r="AD39" s="1">
        <v>1.8</v>
      </c>
      <c r="AE39" s="1"/>
    </row>
    <row r="40" spans="1:31" ht="15" customHeight="1">
      <c r="A40" s="1"/>
      <c r="B40" s="1"/>
      <c r="C40" s="1"/>
      <c r="D40" s="1">
        <v>3</v>
      </c>
      <c r="E40" s="1">
        <v>0.11</v>
      </c>
      <c r="F40" s="1">
        <v>0</v>
      </c>
      <c r="G40" s="1">
        <v>0</v>
      </c>
      <c r="H40" s="1">
        <v>0</v>
      </c>
      <c r="I40" s="1">
        <v>33.31</v>
      </c>
      <c r="J40" s="1">
        <v>0</v>
      </c>
      <c r="K40" s="1">
        <v>0</v>
      </c>
      <c r="L40" s="1">
        <v>3.1</v>
      </c>
      <c r="M40" s="1">
        <v>17.239999999999998</v>
      </c>
      <c r="N40" s="1">
        <v>0</v>
      </c>
      <c r="O40" s="1">
        <v>0.08</v>
      </c>
      <c r="P40" s="1">
        <v>2.2200000000000002</v>
      </c>
      <c r="Q40" s="1">
        <v>4.58</v>
      </c>
      <c r="R40" s="1">
        <v>0</v>
      </c>
      <c r="S40" s="1">
        <v>1.71</v>
      </c>
      <c r="T40" s="1">
        <v>0</v>
      </c>
      <c r="U40" s="1">
        <v>10.95</v>
      </c>
      <c r="V40" s="1">
        <v>0</v>
      </c>
      <c r="W40" s="1">
        <f t="shared" si="1"/>
        <v>73.3</v>
      </c>
      <c r="X40" s="1"/>
      <c r="Y40" s="6"/>
      <c r="Z40" s="30">
        <v>6.6</v>
      </c>
      <c r="AA40" s="1"/>
      <c r="AB40" s="6"/>
      <c r="AC40" s="6"/>
      <c r="AD40" s="1">
        <v>1.6</v>
      </c>
      <c r="AE40" s="1"/>
    </row>
    <row r="41" spans="1:31" ht="15" customHeight="1">
      <c r="A41" s="1"/>
      <c r="B41" s="1"/>
      <c r="C41" s="1"/>
      <c r="D41" s="1">
        <v>4</v>
      </c>
      <c r="E41" s="1">
        <v>0</v>
      </c>
      <c r="F41" s="1">
        <v>0</v>
      </c>
      <c r="G41" s="1">
        <v>0</v>
      </c>
      <c r="H41" s="1">
        <v>0</v>
      </c>
      <c r="I41" s="1">
        <v>31.509999999999998</v>
      </c>
      <c r="J41" s="1">
        <v>0</v>
      </c>
      <c r="K41" s="1">
        <v>0</v>
      </c>
      <c r="L41" s="1">
        <v>6.41</v>
      </c>
      <c r="M41" s="1">
        <v>1.65</v>
      </c>
      <c r="N41" s="1">
        <v>0</v>
      </c>
      <c r="O41" s="1">
        <v>0.44</v>
      </c>
      <c r="P41" s="1">
        <v>0</v>
      </c>
      <c r="Q41" s="1">
        <v>15.38</v>
      </c>
      <c r="R41" s="1">
        <v>0</v>
      </c>
      <c r="S41" s="1">
        <v>1.59</v>
      </c>
      <c r="T41" s="1">
        <v>0</v>
      </c>
      <c r="U41" s="1">
        <v>13.72</v>
      </c>
      <c r="V41" s="1">
        <v>1.25</v>
      </c>
      <c r="W41" s="1">
        <f t="shared" si="1"/>
        <v>71.95</v>
      </c>
      <c r="X41" s="1"/>
      <c r="Y41" s="6"/>
      <c r="Z41" s="30">
        <v>6.3</v>
      </c>
      <c r="AA41" s="1"/>
      <c r="AB41" s="6"/>
      <c r="AC41" s="6"/>
      <c r="AD41" s="1">
        <v>1</v>
      </c>
      <c r="AE41" s="1"/>
    </row>
    <row r="42" spans="1:31" ht="15" customHeight="1">
      <c r="A42" s="1"/>
      <c r="B42" s="1"/>
      <c r="C42" s="1"/>
      <c r="D42" s="1">
        <v>5</v>
      </c>
      <c r="E42" s="1">
        <v>0</v>
      </c>
      <c r="F42" s="1">
        <v>0</v>
      </c>
      <c r="G42" s="1">
        <v>0</v>
      </c>
      <c r="H42" s="1">
        <v>0</v>
      </c>
      <c r="I42" s="1">
        <v>14.41</v>
      </c>
      <c r="J42" s="1">
        <v>0</v>
      </c>
      <c r="K42" s="1">
        <v>0</v>
      </c>
      <c r="L42" s="1">
        <v>1.19</v>
      </c>
      <c r="M42" s="1">
        <v>4.93</v>
      </c>
      <c r="N42" s="1">
        <v>0</v>
      </c>
      <c r="O42" s="1">
        <v>0.24</v>
      </c>
      <c r="P42" s="1">
        <v>0</v>
      </c>
      <c r="Q42" s="1">
        <v>0.18</v>
      </c>
      <c r="R42" s="1">
        <v>0</v>
      </c>
      <c r="S42" s="1">
        <v>0.6</v>
      </c>
      <c r="T42" s="1">
        <v>0</v>
      </c>
      <c r="U42" s="1">
        <v>31.75</v>
      </c>
      <c r="V42" s="1">
        <v>0</v>
      </c>
      <c r="W42" s="1">
        <f t="shared" si="1"/>
        <v>53.3</v>
      </c>
      <c r="X42" s="1">
        <f>AVERAGE(W38:W42)</f>
        <v>65.556000000000012</v>
      </c>
      <c r="Y42" s="6"/>
      <c r="Z42" s="30">
        <v>8.1</v>
      </c>
      <c r="AA42" s="30">
        <f>AVERAGE(Z38:Z42)</f>
        <v>7.7399999999999993</v>
      </c>
      <c r="AB42" s="6"/>
      <c r="AC42" s="6"/>
      <c r="AD42" s="1">
        <v>6.3</v>
      </c>
      <c r="AE42" s="1">
        <f>AVERAGE(AD38:AD42)</f>
        <v>3.3600000000000003</v>
      </c>
    </row>
    <row r="43" spans="1:31" ht="15" customHeight="1">
      <c r="A43" s="1" t="s">
        <v>37</v>
      </c>
      <c r="B43" s="1" t="s">
        <v>85</v>
      </c>
      <c r="C43" s="1">
        <v>1</v>
      </c>
      <c r="D43" s="1">
        <v>1</v>
      </c>
      <c r="E43" s="1">
        <v>0.3</v>
      </c>
      <c r="F43" s="1">
        <v>49.3</v>
      </c>
      <c r="G43" s="1">
        <v>0</v>
      </c>
      <c r="H43" s="1">
        <v>0</v>
      </c>
      <c r="I43" s="1">
        <v>15.8</v>
      </c>
      <c r="J43" s="1">
        <v>0</v>
      </c>
      <c r="K43" s="1">
        <v>0</v>
      </c>
      <c r="L43" s="1">
        <v>0.3</v>
      </c>
      <c r="M43" s="1">
        <v>13.5</v>
      </c>
      <c r="N43" s="1">
        <v>0.2</v>
      </c>
      <c r="O43" s="1">
        <v>0</v>
      </c>
      <c r="P43" s="1">
        <v>0</v>
      </c>
      <c r="Q43" s="1">
        <v>1.6</v>
      </c>
      <c r="R43" s="1">
        <v>2.9</v>
      </c>
      <c r="S43" s="1">
        <v>1</v>
      </c>
      <c r="T43" s="1">
        <v>0</v>
      </c>
      <c r="U43" s="1">
        <v>0</v>
      </c>
      <c r="V43" s="1">
        <v>1</v>
      </c>
      <c r="W43" s="1">
        <f t="shared" si="1"/>
        <v>85.899999999999991</v>
      </c>
      <c r="X43" s="6"/>
      <c r="Y43" s="6"/>
      <c r="Z43" s="30">
        <v>2.7</v>
      </c>
      <c r="AA43" s="1"/>
      <c r="AB43" s="6"/>
      <c r="AC43" s="6"/>
      <c r="AD43" s="1">
        <v>0.4</v>
      </c>
      <c r="AE43" s="1"/>
    </row>
    <row r="44" spans="1:31" ht="15" customHeight="1">
      <c r="A44" s="1"/>
      <c r="B44" s="1"/>
      <c r="C44" s="1"/>
      <c r="D44" s="1">
        <v>2</v>
      </c>
      <c r="E44" s="1">
        <v>2.5</v>
      </c>
      <c r="F44" s="1">
        <v>11.1</v>
      </c>
      <c r="G44" s="1">
        <v>0</v>
      </c>
      <c r="H44" s="1">
        <v>0</v>
      </c>
      <c r="I44" s="1">
        <v>20.6</v>
      </c>
      <c r="J44" s="1">
        <v>0</v>
      </c>
      <c r="K44" s="1">
        <v>0</v>
      </c>
      <c r="L44" s="1">
        <v>7.8</v>
      </c>
      <c r="M44" s="1">
        <v>14.6</v>
      </c>
      <c r="N44" s="1">
        <v>0.4</v>
      </c>
      <c r="O44" s="1">
        <v>0.2</v>
      </c>
      <c r="P44" s="1">
        <v>0.7</v>
      </c>
      <c r="Q44" s="1">
        <v>0</v>
      </c>
      <c r="R44" s="1">
        <v>0</v>
      </c>
      <c r="S44" s="1">
        <v>1.9</v>
      </c>
      <c r="T44" s="1">
        <v>0</v>
      </c>
      <c r="U44" s="1">
        <v>31.6</v>
      </c>
      <c r="V44" s="1">
        <v>4.7</v>
      </c>
      <c r="W44" s="1">
        <f t="shared" si="1"/>
        <v>96.100000000000009</v>
      </c>
      <c r="X44" s="6"/>
      <c r="Y44" s="6"/>
      <c r="Z44" s="30">
        <v>5.4</v>
      </c>
      <c r="AA44" s="1"/>
      <c r="AB44" s="6"/>
      <c r="AC44" s="6"/>
      <c r="AD44" s="1">
        <v>2.2999999999999998</v>
      </c>
      <c r="AE44" s="1"/>
    </row>
    <row r="45" spans="1:31" ht="15" customHeight="1">
      <c r="A45" s="1"/>
      <c r="B45" s="1"/>
      <c r="C45" s="1"/>
      <c r="D45" s="1">
        <v>3</v>
      </c>
      <c r="E45" s="1">
        <v>0</v>
      </c>
      <c r="F45" s="1">
        <v>19.3</v>
      </c>
      <c r="G45" s="1">
        <v>0</v>
      </c>
      <c r="H45" s="1">
        <v>0</v>
      </c>
      <c r="I45" s="1">
        <v>22.9</v>
      </c>
      <c r="J45" s="1">
        <v>0</v>
      </c>
      <c r="K45" s="1">
        <v>0</v>
      </c>
      <c r="L45" s="1">
        <v>2.6</v>
      </c>
      <c r="M45" s="1">
        <v>19.3</v>
      </c>
      <c r="N45" s="1">
        <v>0</v>
      </c>
      <c r="O45" s="1">
        <v>0</v>
      </c>
      <c r="P45" s="1">
        <v>0</v>
      </c>
      <c r="Q45" s="1">
        <v>0</v>
      </c>
      <c r="R45" s="1">
        <v>2.6</v>
      </c>
      <c r="S45" s="1">
        <v>1.5</v>
      </c>
      <c r="T45" s="1">
        <v>0</v>
      </c>
      <c r="U45" s="1">
        <v>25.3</v>
      </c>
      <c r="V45" s="1">
        <v>0.2</v>
      </c>
      <c r="W45" s="1">
        <f t="shared" si="1"/>
        <v>93.7</v>
      </c>
      <c r="X45" s="6"/>
      <c r="Y45" s="6"/>
      <c r="Z45" s="30">
        <v>5.0999999999999996</v>
      </c>
      <c r="AA45" s="1"/>
      <c r="AB45" s="6"/>
      <c r="AC45" s="6"/>
      <c r="AD45" s="1">
        <v>1.4</v>
      </c>
      <c r="AE45" s="1"/>
    </row>
    <row r="46" spans="1:31" ht="15" customHeight="1">
      <c r="A46" s="1"/>
      <c r="B46" s="1"/>
      <c r="C46" s="1"/>
      <c r="D46" s="1">
        <v>4</v>
      </c>
      <c r="E46" s="1">
        <v>0</v>
      </c>
      <c r="F46" s="1">
        <v>21.7</v>
      </c>
      <c r="G46" s="1">
        <v>0</v>
      </c>
      <c r="H46" s="1">
        <v>0</v>
      </c>
      <c r="I46" s="1">
        <v>17</v>
      </c>
      <c r="J46" s="1">
        <v>0</v>
      </c>
      <c r="K46" s="1">
        <v>0</v>
      </c>
      <c r="L46" s="1">
        <v>2.2000000000000002</v>
      </c>
      <c r="M46" s="1">
        <v>15.1</v>
      </c>
      <c r="N46" s="1">
        <v>0</v>
      </c>
      <c r="O46" s="1">
        <v>0</v>
      </c>
      <c r="P46" s="1">
        <v>0</v>
      </c>
      <c r="Q46" s="1">
        <v>0</v>
      </c>
      <c r="R46" s="1">
        <v>1.5</v>
      </c>
      <c r="S46" s="1">
        <v>0.8</v>
      </c>
      <c r="T46" s="1">
        <v>0</v>
      </c>
      <c r="U46" s="1">
        <v>16.7</v>
      </c>
      <c r="V46" s="1">
        <v>0.1</v>
      </c>
      <c r="W46" s="1">
        <f t="shared" si="1"/>
        <v>75.099999999999994</v>
      </c>
      <c r="X46" s="6"/>
      <c r="Y46" s="6"/>
      <c r="Z46" s="30">
        <v>2.7</v>
      </c>
      <c r="AA46" s="1"/>
      <c r="AB46" s="6"/>
      <c r="AC46" s="6"/>
      <c r="AD46" s="1">
        <v>1</v>
      </c>
      <c r="AE46" s="1"/>
    </row>
    <row r="47" spans="1:31" ht="15" customHeight="1">
      <c r="A47" s="1"/>
      <c r="B47" s="1"/>
      <c r="C47" s="1"/>
      <c r="D47" s="1">
        <v>5</v>
      </c>
      <c r="E47" s="1">
        <v>0</v>
      </c>
      <c r="F47" s="1">
        <v>2</v>
      </c>
      <c r="G47" s="1">
        <v>0</v>
      </c>
      <c r="H47" s="1">
        <v>0</v>
      </c>
      <c r="I47" s="1">
        <v>19.5</v>
      </c>
      <c r="J47" s="1">
        <v>0</v>
      </c>
      <c r="K47" s="1">
        <v>0</v>
      </c>
      <c r="L47" s="1">
        <v>2.9</v>
      </c>
      <c r="M47" s="1">
        <v>4.2</v>
      </c>
      <c r="N47" s="1">
        <v>0.6</v>
      </c>
      <c r="O47" s="1">
        <v>0.2</v>
      </c>
      <c r="P47" s="1">
        <v>0</v>
      </c>
      <c r="Q47" s="1">
        <v>0</v>
      </c>
      <c r="R47" s="1">
        <v>1</v>
      </c>
      <c r="S47" s="1">
        <v>2.2000000000000002</v>
      </c>
      <c r="T47" s="1">
        <v>0</v>
      </c>
      <c r="U47" s="1">
        <v>39.799999999999997</v>
      </c>
      <c r="V47" s="1">
        <v>1.1000000000000001</v>
      </c>
      <c r="W47" s="1">
        <f t="shared" si="1"/>
        <v>73.5</v>
      </c>
      <c r="X47" s="1">
        <f>AVERAGE(W43:W47)</f>
        <v>84.859999999999985</v>
      </c>
      <c r="Y47" s="6"/>
      <c r="Z47" s="30">
        <v>4.8</v>
      </c>
      <c r="AA47" s="30">
        <f>AVERAGE(Z43:Z47)</f>
        <v>4.1400000000000006</v>
      </c>
      <c r="AB47" s="6"/>
      <c r="AC47" s="6"/>
      <c r="AD47" s="1">
        <v>11.2</v>
      </c>
      <c r="AE47" s="1">
        <f>AVERAGE(AD43:AD47)</f>
        <v>3.2599999999999993</v>
      </c>
    </row>
    <row r="48" spans="1:31" ht="15" customHeight="1">
      <c r="A48" s="1"/>
      <c r="B48" s="1"/>
      <c r="C48" s="1">
        <v>2</v>
      </c>
      <c r="D48" s="1">
        <v>1</v>
      </c>
      <c r="E48" s="1">
        <v>0</v>
      </c>
      <c r="F48" s="1">
        <v>0</v>
      </c>
      <c r="G48" s="1">
        <v>40.76</v>
      </c>
      <c r="H48" s="1">
        <v>0</v>
      </c>
      <c r="I48" s="1">
        <v>14.29</v>
      </c>
      <c r="J48" s="1">
        <v>0</v>
      </c>
      <c r="K48" s="1">
        <v>0</v>
      </c>
      <c r="L48" s="1">
        <v>0</v>
      </c>
      <c r="M48" s="1">
        <v>0.68</v>
      </c>
      <c r="N48" s="1">
        <v>0</v>
      </c>
      <c r="O48" s="1">
        <v>0</v>
      </c>
      <c r="P48" s="1">
        <v>0</v>
      </c>
      <c r="Q48" s="1">
        <v>0</v>
      </c>
      <c r="R48" s="1">
        <v>0</v>
      </c>
      <c r="S48" s="1">
        <v>0.28999999999999998</v>
      </c>
      <c r="T48" s="1">
        <v>0</v>
      </c>
      <c r="U48" s="1">
        <v>6.26</v>
      </c>
      <c r="V48" s="1">
        <v>8.8699999999999992</v>
      </c>
      <c r="W48" s="1">
        <f t="shared" si="1"/>
        <v>71.149999999999991</v>
      </c>
      <c r="X48" s="1"/>
      <c r="Y48" s="6"/>
      <c r="Z48" s="60">
        <f>AVERAGE(Z49:Z52)</f>
        <v>3.4000000000000004</v>
      </c>
      <c r="AA48" s="1"/>
      <c r="AB48" s="6"/>
      <c r="AC48" s="6"/>
      <c r="AD48" s="60">
        <f>AVERAGE(AD49:AD52)</f>
        <v>1.9249999999999998</v>
      </c>
      <c r="AE48" s="1"/>
    </row>
    <row r="49" spans="1:31" ht="15" customHeight="1">
      <c r="A49" s="1"/>
      <c r="B49" s="1"/>
      <c r="C49" s="1"/>
      <c r="D49" s="1">
        <v>2</v>
      </c>
      <c r="E49" s="1">
        <v>0</v>
      </c>
      <c r="F49" s="1">
        <v>0</v>
      </c>
      <c r="G49" s="1">
        <v>44.19</v>
      </c>
      <c r="H49" s="1">
        <v>0</v>
      </c>
      <c r="I49" s="1">
        <v>18.36</v>
      </c>
      <c r="J49" s="1">
        <v>0</v>
      </c>
      <c r="K49" s="1">
        <v>0</v>
      </c>
      <c r="L49" s="1"/>
      <c r="M49" s="1">
        <v>8.48</v>
      </c>
      <c r="N49" s="1">
        <v>0.6</v>
      </c>
      <c r="O49" s="1">
        <v>0</v>
      </c>
      <c r="P49" s="1">
        <v>0</v>
      </c>
      <c r="Q49" s="1">
        <v>0</v>
      </c>
      <c r="R49" s="1">
        <v>0</v>
      </c>
      <c r="S49" s="1">
        <v>0.43</v>
      </c>
      <c r="T49" s="1">
        <v>0</v>
      </c>
      <c r="U49" s="1">
        <v>0.54</v>
      </c>
      <c r="V49" s="1">
        <v>1.72</v>
      </c>
      <c r="W49" s="1">
        <f t="shared" si="1"/>
        <v>74.320000000000007</v>
      </c>
      <c r="X49" s="1"/>
      <c r="Y49" s="6"/>
      <c r="Z49" s="30">
        <v>2.7</v>
      </c>
      <c r="AA49" s="1"/>
      <c r="AB49" s="6"/>
      <c r="AC49" s="6"/>
      <c r="AD49" s="1">
        <v>2.2999999999999998</v>
      </c>
      <c r="AE49" s="1"/>
    </row>
    <row r="50" spans="1:31" ht="15" customHeight="1">
      <c r="A50" s="1"/>
      <c r="B50" s="1"/>
      <c r="C50" s="1"/>
      <c r="D50" s="1">
        <v>3</v>
      </c>
      <c r="E50" s="1">
        <v>0</v>
      </c>
      <c r="F50" s="1">
        <v>17.100000000000001</v>
      </c>
      <c r="G50" s="1">
        <v>0</v>
      </c>
      <c r="H50" s="1">
        <v>0</v>
      </c>
      <c r="I50" s="1">
        <v>13.8</v>
      </c>
      <c r="J50" s="1">
        <v>0</v>
      </c>
      <c r="K50" s="1">
        <v>0</v>
      </c>
      <c r="L50" s="1">
        <v>0.1</v>
      </c>
      <c r="M50" s="1">
        <v>0.6</v>
      </c>
      <c r="N50" s="1">
        <v>0</v>
      </c>
      <c r="O50" s="1">
        <v>0</v>
      </c>
      <c r="P50" s="1">
        <v>0.6</v>
      </c>
      <c r="Q50" s="1">
        <v>0</v>
      </c>
      <c r="R50" s="1">
        <v>0</v>
      </c>
      <c r="S50" s="1">
        <v>1.4</v>
      </c>
      <c r="T50" s="1">
        <v>0</v>
      </c>
      <c r="U50" s="1">
        <v>28.1</v>
      </c>
      <c r="V50" s="1">
        <v>13.9</v>
      </c>
      <c r="W50" s="1">
        <f t="shared" si="1"/>
        <v>75.600000000000009</v>
      </c>
      <c r="X50" s="1"/>
      <c r="Y50" s="6"/>
      <c r="Z50" s="30">
        <v>4.5</v>
      </c>
      <c r="AA50" s="1"/>
      <c r="AB50" s="6"/>
      <c r="AC50" s="6"/>
      <c r="AD50" s="1">
        <v>2.4</v>
      </c>
      <c r="AE50" s="1"/>
    </row>
    <row r="51" spans="1:31" ht="15" customHeight="1">
      <c r="A51" s="1"/>
      <c r="B51" s="1"/>
      <c r="C51" s="1"/>
      <c r="D51" s="1">
        <v>4</v>
      </c>
      <c r="E51" s="1">
        <v>0</v>
      </c>
      <c r="F51" s="1">
        <v>0</v>
      </c>
      <c r="G51" s="1">
        <v>19.22</v>
      </c>
      <c r="H51" s="1">
        <v>0</v>
      </c>
      <c r="I51" s="1">
        <v>12.81</v>
      </c>
      <c r="J51" s="1">
        <v>0</v>
      </c>
      <c r="K51" s="1">
        <v>0</v>
      </c>
      <c r="L51" s="1">
        <v>2</v>
      </c>
      <c r="M51" s="1">
        <v>0.74</v>
      </c>
      <c r="N51" s="1">
        <v>0.41</v>
      </c>
      <c r="O51" s="1">
        <v>0</v>
      </c>
      <c r="P51" s="1">
        <v>0.31</v>
      </c>
      <c r="Q51" s="1">
        <v>0</v>
      </c>
      <c r="R51" s="1">
        <v>0</v>
      </c>
      <c r="S51" s="1">
        <v>1.02</v>
      </c>
      <c r="T51" s="1">
        <v>0</v>
      </c>
      <c r="U51" s="1">
        <v>35.83</v>
      </c>
      <c r="V51" s="1">
        <v>0</v>
      </c>
      <c r="W51" s="1">
        <f t="shared" si="1"/>
        <v>72.34</v>
      </c>
      <c r="X51" s="1"/>
      <c r="Y51" s="6"/>
      <c r="Z51" s="30">
        <v>3.7</v>
      </c>
      <c r="AA51" s="1"/>
      <c r="AB51" s="6"/>
      <c r="AC51" s="6"/>
      <c r="AD51" s="1">
        <v>1.2</v>
      </c>
      <c r="AE51" s="1"/>
    </row>
    <row r="52" spans="1:31" ht="15" customHeight="1">
      <c r="A52" s="1"/>
      <c r="B52" s="1"/>
      <c r="C52" s="1"/>
      <c r="D52" s="1">
        <v>5</v>
      </c>
      <c r="E52" s="1">
        <v>0.32</v>
      </c>
      <c r="F52" s="1">
        <v>0</v>
      </c>
      <c r="G52" s="1">
        <v>33.42</v>
      </c>
      <c r="H52" s="1">
        <v>0</v>
      </c>
      <c r="I52" s="1">
        <v>15.59</v>
      </c>
      <c r="J52" s="1">
        <v>0</v>
      </c>
      <c r="K52" s="1">
        <v>0</v>
      </c>
      <c r="L52" s="1">
        <v>7.0000000000000007E-2</v>
      </c>
      <c r="M52" s="1">
        <v>2.85</v>
      </c>
      <c r="N52" s="1">
        <v>0</v>
      </c>
      <c r="O52" s="1">
        <v>0</v>
      </c>
      <c r="P52" s="1">
        <v>0</v>
      </c>
      <c r="Q52" s="1">
        <v>0.39</v>
      </c>
      <c r="R52" s="1">
        <v>0</v>
      </c>
      <c r="S52" s="1">
        <v>0.35</v>
      </c>
      <c r="T52" s="1">
        <v>0</v>
      </c>
      <c r="U52" s="1">
        <v>3.54</v>
      </c>
      <c r="V52" s="1">
        <v>1.55</v>
      </c>
      <c r="W52" s="1">
        <f t="shared" si="1"/>
        <v>58.08</v>
      </c>
      <c r="X52" s="1">
        <f>AVERAGE(W48:W52)</f>
        <v>70.297999999999988</v>
      </c>
      <c r="Y52" s="6"/>
      <c r="Z52" s="30">
        <v>2.7</v>
      </c>
      <c r="AA52" s="30">
        <f>AVERAGE(Z48:Z52)</f>
        <v>3.4</v>
      </c>
      <c r="AB52" s="6"/>
      <c r="AC52" s="6"/>
      <c r="AD52" s="1">
        <v>1.8</v>
      </c>
      <c r="AE52" s="30">
        <f>AVERAGE(AD48:AD52)</f>
        <v>1.925</v>
      </c>
    </row>
    <row r="53" spans="1:31" ht="15" customHeight="1">
      <c r="A53" s="1"/>
      <c r="B53" s="1"/>
      <c r="C53" s="1">
        <v>3</v>
      </c>
      <c r="D53" s="1">
        <v>1</v>
      </c>
      <c r="E53" s="1">
        <v>3.02</v>
      </c>
      <c r="F53" s="1">
        <v>0</v>
      </c>
      <c r="G53" s="1">
        <v>0</v>
      </c>
      <c r="H53" s="1">
        <v>0</v>
      </c>
      <c r="I53" s="1">
        <v>14.68</v>
      </c>
      <c r="J53" s="1">
        <v>0</v>
      </c>
      <c r="K53" s="1">
        <v>0</v>
      </c>
      <c r="L53" s="1">
        <v>2.5299999999999998</v>
      </c>
      <c r="M53" s="1">
        <v>8.6199999999999992</v>
      </c>
      <c r="N53" s="1">
        <v>0</v>
      </c>
      <c r="O53" s="1">
        <v>0.68</v>
      </c>
      <c r="P53" s="1">
        <v>0.13</v>
      </c>
      <c r="Q53" s="1">
        <v>0</v>
      </c>
      <c r="R53" s="1">
        <v>0</v>
      </c>
      <c r="S53" s="1">
        <v>1.67</v>
      </c>
      <c r="T53" s="1">
        <v>0</v>
      </c>
      <c r="U53" s="1">
        <v>37.26</v>
      </c>
      <c r="V53" s="1">
        <v>7.19</v>
      </c>
      <c r="W53" s="1">
        <f t="shared" si="1"/>
        <v>75.78</v>
      </c>
      <c r="X53" s="1"/>
      <c r="Y53" s="6"/>
      <c r="Z53" s="30">
        <v>3.6</v>
      </c>
      <c r="AA53" s="1"/>
      <c r="AB53" s="6"/>
      <c r="AC53" s="6"/>
      <c r="AD53" s="1">
        <v>1.3</v>
      </c>
      <c r="AE53" s="1"/>
    </row>
    <row r="54" spans="1:31" ht="15" customHeight="1">
      <c r="A54" s="1"/>
      <c r="B54" s="1"/>
      <c r="C54" s="1"/>
      <c r="D54" s="1">
        <v>2</v>
      </c>
      <c r="E54" s="1">
        <v>4.53</v>
      </c>
      <c r="F54" s="1">
        <v>0</v>
      </c>
      <c r="G54" s="1">
        <v>1.95</v>
      </c>
      <c r="H54" s="1">
        <v>0</v>
      </c>
      <c r="I54" s="1">
        <v>12.38</v>
      </c>
      <c r="J54" s="1">
        <v>0</v>
      </c>
      <c r="K54" s="1">
        <v>0</v>
      </c>
      <c r="L54" s="1">
        <v>1.64</v>
      </c>
      <c r="M54" s="1">
        <v>6.17</v>
      </c>
      <c r="N54" s="1">
        <v>0</v>
      </c>
      <c r="O54" s="1">
        <v>0</v>
      </c>
      <c r="P54" s="1">
        <v>0.28999999999999998</v>
      </c>
      <c r="Q54" s="1">
        <v>0</v>
      </c>
      <c r="R54" s="1">
        <v>0</v>
      </c>
      <c r="S54" s="1">
        <v>0.86</v>
      </c>
      <c r="T54" s="1">
        <v>0</v>
      </c>
      <c r="U54" s="1">
        <v>17.2</v>
      </c>
      <c r="V54" s="1">
        <v>5.5</v>
      </c>
      <c r="W54" s="1">
        <f t="shared" si="1"/>
        <v>50.519999999999996</v>
      </c>
      <c r="X54" s="1"/>
      <c r="Y54" s="6"/>
      <c r="Z54" s="30">
        <v>3.8</v>
      </c>
      <c r="AA54" s="1"/>
      <c r="AB54" s="6"/>
      <c r="AC54" s="6"/>
      <c r="AD54" s="1">
        <v>2.2999999999999998</v>
      </c>
      <c r="AE54" s="1"/>
    </row>
    <row r="55" spans="1:31" ht="15" customHeight="1">
      <c r="A55" s="1"/>
      <c r="B55" s="1"/>
      <c r="C55" s="1"/>
      <c r="D55" s="1">
        <v>3</v>
      </c>
      <c r="E55" s="10">
        <v>0</v>
      </c>
      <c r="F55" s="10">
        <v>0</v>
      </c>
      <c r="G55" s="10">
        <v>0</v>
      </c>
      <c r="H55" s="10">
        <v>0</v>
      </c>
      <c r="I55" s="10">
        <v>0</v>
      </c>
      <c r="J55" s="10">
        <v>0</v>
      </c>
      <c r="K55" s="10">
        <v>0</v>
      </c>
      <c r="L55" s="10">
        <v>0</v>
      </c>
      <c r="M55" s="10">
        <v>0</v>
      </c>
      <c r="N55" s="10">
        <v>0</v>
      </c>
      <c r="O55" s="10">
        <v>0</v>
      </c>
      <c r="P55" s="10">
        <v>0</v>
      </c>
      <c r="Q55" s="10">
        <v>0</v>
      </c>
      <c r="R55" s="10">
        <v>0</v>
      </c>
      <c r="S55" s="10">
        <v>0</v>
      </c>
      <c r="T55" s="10">
        <v>0</v>
      </c>
      <c r="U55" s="10">
        <v>0</v>
      </c>
      <c r="V55" s="10">
        <v>0</v>
      </c>
      <c r="W55" s="8">
        <f>AVERAGE(W56:W57,W53:W54)</f>
        <v>82.185000000000002</v>
      </c>
      <c r="X55" s="1"/>
      <c r="Y55" s="6"/>
      <c r="Z55" s="30">
        <v>3.7</v>
      </c>
      <c r="AA55" s="1"/>
      <c r="AB55" s="6"/>
      <c r="AC55" s="6"/>
      <c r="AD55" s="1">
        <v>2.6</v>
      </c>
      <c r="AE55" s="1"/>
    </row>
    <row r="56" spans="1:31" ht="15" customHeight="1">
      <c r="A56" s="1"/>
      <c r="B56" s="1"/>
      <c r="C56" s="1"/>
      <c r="D56" s="1">
        <v>4</v>
      </c>
      <c r="E56" s="1">
        <v>4.83</v>
      </c>
      <c r="F56" s="1">
        <v>0</v>
      </c>
      <c r="G56" s="1">
        <v>1.31</v>
      </c>
      <c r="H56" s="1">
        <v>0</v>
      </c>
      <c r="I56" s="1">
        <v>9.4</v>
      </c>
      <c r="J56" s="1">
        <v>0</v>
      </c>
      <c r="K56" s="1">
        <v>0</v>
      </c>
      <c r="L56" s="1">
        <v>0</v>
      </c>
      <c r="M56" s="1">
        <v>10.53</v>
      </c>
      <c r="N56" s="1">
        <v>0</v>
      </c>
      <c r="O56" s="1">
        <v>0</v>
      </c>
      <c r="P56" s="1">
        <v>0.89</v>
      </c>
      <c r="Q56" s="1">
        <v>0.41</v>
      </c>
      <c r="R56" s="1">
        <v>0</v>
      </c>
      <c r="S56" s="1">
        <v>3.6400000000000006</v>
      </c>
      <c r="T56" s="1">
        <v>0</v>
      </c>
      <c r="U56" s="1">
        <v>17.07</v>
      </c>
      <c r="V56" s="1">
        <v>27.08</v>
      </c>
      <c r="W56" s="1">
        <f t="shared" ref="W56:W82" si="2">SUM(E56:V56)</f>
        <v>75.16</v>
      </c>
      <c r="X56" s="1"/>
      <c r="Y56" s="6"/>
      <c r="Z56" s="30">
        <v>4.5999999999999996</v>
      </c>
      <c r="AA56" s="1"/>
      <c r="AB56" s="6"/>
      <c r="AC56" s="6"/>
      <c r="AD56" s="1">
        <v>2.1</v>
      </c>
      <c r="AE56" s="1"/>
    </row>
    <row r="57" spans="1:31" ht="15" customHeight="1">
      <c r="A57" s="1"/>
      <c r="B57" s="1"/>
      <c r="C57" s="1"/>
      <c r="D57" s="1">
        <v>5</v>
      </c>
      <c r="E57" s="1">
        <v>1.44</v>
      </c>
      <c r="F57" s="1">
        <v>0</v>
      </c>
      <c r="G57" s="1">
        <v>0.28000000000000003</v>
      </c>
      <c r="H57" s="1">
        <v>0</v>
      </c>
      <c r="I57" s="1">
        <v>13.7</v>
      </c>
      <c r="J57" s="1">
        <v>0</v>
      </c>
      <c r="K57" s="1">
        <v>0</v>
      </c>
      <c r="L57" s="1">
        <v>1.91</v>
      </c>
      <c r="M57" s="1">
        <v>7.53</v>
      </c>
      <c r="N57" s="1">
        <v>0</v>
      </c>
      <c r="O57" s="1">
        <v>0</v>
      </c>
      <c r="P57" s="1">
        <v>5.09</v>
      </c>
      <c r="Q57" s="1">
        <v>0.2</v>
      </c>
      <c r="R57" s="1">
        <v>0</v>
      </c>
      <c r="S57" s="1">
        <v>1.47</v>
      </c>
      <c r="T57" s="1">
        <v>0</v>
      </c>
      <c r="U57" s="35">
        <v>89.98</v>
      </c>
      <c r="V57" s="1">
        <v>5.68</v>
      </c>
      <c r="W57" s="35">
        <f t="shared" si="2"/>
        <v>127.28</v>
      </c>
      <c r="X57" s="1">
        <f>AVERAGE(W53:W57)</f>
        <v>82.184999999999988</v>
      </c>
      <c r="Y57" s="6"/>
      <c r="Z57" s="30">
        <v>3.8</v>
      </c>
      <c r="AA57" s="30">
        <f>AVERAGE(Z53:Z57)</f>
        <v>3.9</v>
      </c>
      <c r="AB57" s="6"/>
      <c r="AC57" s="6"/>
      <c r="AD57" s="1">
        <v>1.9</v>
      </c>
      <c r="AE57" s="1">
        <f>AVERAGE(AD53:AD57)</f>
        <v>2.04</v>
      </c>
    </row>
    <row r="58" spans="1:31" ht="15" customHeight="1">
      <c r="A58" s="1"/>
      <c r="B58" s="1"/>
      <c r="C58" s="1">
        <v>4</v>
      </c>
      <c r="D58" s="1">
        <v>1</v>
      </c>
      <c r="E58" s="1">
        <v>0</v>
      </c>
      <c r="F58" s="1">
        <v>0</v>
      </c>
      <c r="G58" s="1">
        <v>0.38</v>
      </c>
      <c r="H58" s="1">
        <v>0</v>
      </c>
      <c r="I58" s="1">
        <v>15.36</v>
      </c>
      <c r="J58" s="1">
        <v>0</v>
      </c>
      <c r="K58" s="1">
        <v>0</v>
      </c>
      <c r="L58" s="1">
        <v>1.21</v>
      </c>
      <c r="M58" s="1">
        <v>6.88</v>
      </c>
      <c r="N58" s="1">
        <v>0.2</v>
      </c>
      <c r="O58" s="1">
        <v>0</v>
      </c>
      <c r="P58" s="1">
        <v>0</v>
      </c>
      <c r="Q58" s="1">
        <v>0</v>
      </c>
      <c r="R58" s="1">
        <v>0</v>
      </c>
      <c r="S58" s="1">
        <v>0.74</v>
      </c>
      <c r="T58" s="1">
        <v>0</v>
      </c>
      <c r="U58" s="1">
        <v>40.159999999999997</v>
      </c>
      <c r="V58" s="1">
        <v>8.6199999999999992</v>
      </c>
      <c r="W58" s="1">
        <f t="shared" si="2"/>
        <v>73.55</v>
      </c>
      <c r="X58" s="1"/>
      <c r="Y58" s="6"/>
      <c r="Z58" s="30">
        <v>8.3000000000000007</v>
      </c>
      <c r="AA58" s="1"/>
      <c r="AB58" s="6"/>
      <c r="AC58" s="6"/>
      <c r="AD58" s="1">
        <v>1.4</v>
      </c>
      <c r="AE58" s="1"/>
    </row>
    <row r="59" spans="1:31" ht="15" customHeight="1">
      <c r="A59" s="1"/>
      <c r="B59" s="1"/>
      <c r="C59" s="1"/>
      <c r="D59" s="1">
        <v>2</v>
      </c>
      <c r="E59" s="1">
        <v>0</v>
      </c>
      <c r="F59" s="1">
        <v>0</v>
      </c>
      <c r="G59" s="1">
        <v>0</v>
      </c>
      <c r="H59" s="1">
        <v>0</v>
      </c>
      <c r="I59" s="1">
        <v>15.45</v>
      </c>
      <c r="J59" s="1">
        <v>0</v>
      </c>
      <c r="K59" s="1">
        <v>0</v>
      </c>
      <c r="L59" s="1">
        <v>1.29</v>
      </c>
      <c r="M59" s="1">
        <v>1.3</v>
      </c>
      <c r="N59" s="1">
        <v>0</v>
      </c>
      <c r="O59" s="1">
        <v>0.71</v>
      </c>
      <c r="P59" s="1">
        <v>0.28000000000000003</v>
      </c>
      <c r="Q59" s="1">
        <v>0.45</v>
      </c>
      <c r="R59" s="1">
        <v>0</v>
      </c>
      <c r="S59" s="1">
        <v>0</v>
      </c>
      <c r="T59" s="1">
        <v>0</v>
      </c>
      <c r="U59" s="1">
        <v>25.61</v>
      </c>
      <c r="V59" s="1">
        <v>6.7</v>
      </c>
      <c r="W59" s="1">
        <f t="shared" si="2"/>
        <v>51.790000000000006</v>
      </c>
      <c r="X59" s="1"/>
      <c r="Y59" s="6"/>
      <c r="Z59" s="62">
        <v>6.4</v>
      </c>
      <c r="AA59" s="1"/>
      <c r="AB59" s="6"/>
      <c r="AC59" s="6"/>
      <c r="AD59" s="1">
        <v>1.6</v>
      </c>
      <c r="AE59" s="1"/>
    </row>
    <row r="60" spans="1:31" ht="15" customHeight="1">
      <c r="A60" s="1"/>
      <c r="B60" s="1"/>
      <c r="C60" s="1"/>
      <c r="D60" s="1">
        <v>3</v>
      </c>
      <c r="E60" s="1">
        <v>0</v>
      </c>
      <c r="F60" s="1">
        <v>0</v>
      </c>
      <c r="G60" s="1">
        <v>1.0900000000000001</v>
      </c>
      <c r="H60" s="1">
        <v>0</v>
      </c>
      <c r="I60" s="1">
        <v>14.14</v>
      </c>
      <c r="J60" s="1">
        <v>0</v>
      </c>
      <c r="K60" s="1">
        <v>0</v>
      </c>
      <c r="L60" s="1">
        <v>0</v>
      </c>
      <c r="M60" s="1">
        <v>0.21</v>
      </c>
      <c r="N60" s="1">
        <v>0</v>
      </c>
      <c r="O60" s="1">
        <v>13.99</v>
      </c>
      <c r="P60" s="1">
        <v>0</v>
      </c>
      <c r="Q60" s="1">
        <v>0</v>
      </c>
      <c r="R60" s="1">
        <v>0</v>
      </c>
      <c r="S60" s="1">
        <v>0</v>
      </c>
      <c r="T60" s="1">
        <v>0</v>
      </c>
      <c r="U60" s="1">
        <v>22.96</v>
      </c>
      <c r="V60" s="1">
        <v>3.5</v>
      </c>
      <c r="W60" s="1">
        <f t="shared" si="2"/>
        <v>55.89</v>
      </c>
      <c r="X60" s="1"/>
      <c r="Y60" s="6"/>
      <c r="Z60" s="48">
        <v>7.9</v>
      </c>
      <c r="AA60" s="1"/>
      <c r="AB60" s="6"/>
      <c r="AC60" s="6"/>
      <c r="AD60" s="1">
        <v>3</v>
      </c>
      <c r="AE60" s="1"/>
    </row>
    <row r="61" spans="1:31" ht="15" customHeight="1">
      <c r="A61" s="1"/>
      <c r="B61" s="1"/>
      <c r="C61" s="1"/>
      <c r="D61" s="1">
        <v>4</v>
      </c>
      <c r="E61" s="1">
        <v>0</v>
      </c>
      <c r="F61" s="1">
        <v>0</v>
      </c>
      <c r="G61" s="1">
        <v>0</v>
      </c>
      <c r="H61" s="1">
        <v>0</v>
      </c>
      <c r="I61" s="1">
        <v>16.78</v>
      </c>
      <c r="J61" s="1">
        <v>0</v>
      </c>
      <c r="K61" s="1">
        <v>0</v>
      </c>
      <c r="L61" s="1">
        <v>0</v>
      </c>
      <c r="M61" s="1">
        <v>0</v>
      </c>
      <c r="N61" s="1">
        <v>0</v>
      </c>
      <c r="O61" s="1">
        <v>0</v>
      </c>
      <c r="P61" s="1">
        <v>0</v>
      </c>
      <c r="Q61" s="1">
        <v>0</v>
      </c>
      <c r="R61" s="1">
        <v>0</v>
      </c>
      <c r="S61" s="1">
        <v>0.37</v>
      </c>
      <c r="T61" s="1">
        <v>0</v>
      </c>
      <c r="U61" s="1">
        <v>37.159999999999997</v>
      </c>
      <c r="V61" s="1">
        <v>5.55</v>
      </c>
      <c r="W61" s="1">
        <f t="shared" si="2"/>
        <v>59.86</v>
      </c>
      <c r="X61" s="1"/>
      <c r="Y61" s="6"/>
      <c r="Z61" s="30">
        <v>8</v>
      </c>
      <c r="AA61" s="1"/>
      <c r="AB61" s="6"/>
      <c r="AC61" s="6"/>
      <c r="AD61" s="1">
        <v>1.6</v>
      </c>
      <c r="AE61" s="1"/>
    </row>
    <row r="62" spans="1:31" ht="15" customHeight="1">
      <c r="A62" s="1"/>
      <c r="B62" s="1"/>
      <c r="C62" s="1"/>
      <c r="D62" s="1">
        <v>5</v>
      </c>
      <c r="E62" s="1">
        <v>5.56</v>
      </c>
      <c r="F62" s="1">
        <v>0</v>
      </c>
      <c r="G62" s="1">
        <v>0</v>
      </c>
      <c r="H62" s="1">
        <v>0</v>
      </c>
      <c r="I62" s="1">
        <v>16.52</v>
      </c>
      <c r="J62" s="1">
        <v>0</v>
      </c>
      <c r="K62" s="1">
        <v>0</v>
      </c>
      <c r="L62" s="1">
        <v>0</v>
      </c>
      <c r="M62" s="1">
        <v>0</v>
      </c>
      <c r="N62" s="1">
        <v>0</v>
      </c>
      <c r="O62" s="1">
        <v>15.48</v>
      </c>
      <c r="P62" s="1">
        <v>20.98</v>
      </c>
      <c r="Q62" s="1">
        <v>0</v>
      </c>
      <c r="R62" s="1">
        <v>0</v>
      </c>
      <c r="S62" s="1">
        <v>0</v>
      </c>
      <c r="T62" s="1">
        <v>0</v>
      </c>
      <c r="U62" s="1">
        <v>5.45</v>
      </c>
      <c r="V62" s="1">
        <v>29.89</v>
      </c>
      <c r="W62" s="1">
        <f t="shared" si="2"/>
        <v>93.88000000000001</v>
      </c>
      <c r="X62" s="1">
        <f>AVERAGE(W58:W62)</f>
        <v>66.994</v>
      </c>
      <c r="Y62" s="6"/>
      <c r="Z62" s="30">
        <v>9.1999999999999993</v>
      </c>
      <c r="AA62" s="30">
        <f>AVERAGE(Z58:Z62)</f>
        <v>7.9599999999999991</v>
      </c>
      <c r="AB62" s="6"/>
      <c r="AC62" s="6"/>
      <c r="AD62" s="1">
        <v>2.7</v>
      </c>
      <c r="AE62" s="1">
        <f>AVERAGE(AD58:AD62)</f>
        <v>2.06</v>
      </c>
    </row>
    <row r="63" spans="1:31" ht="15" customHeight="1">
      <c r="A63" s="1" t="s">
        <v>37</v>
      </c>
      <c r="B63" s="1" t="s">
        <v>98</v>
      </c>
      <c r="C63" s="1">
        <v>1</v>
      </c>
      <c r="D63" s="1">
        <v>1</v>
      </c>
      <c r="E63" s="1">
        <v>0</v>
      </c>
      <c r="F63" s="1">
        <v>0.1</v>
      </c>
      <c r="G63" s="1">
        <v>0</v>
      </c>
      <c r="H63" s="1">
        <v>0</v>
      </c>
      <c r="I63" s="1">
        <v>14.6</v>
      </c>
      <c r="J63" s="1">
        <v>0</v>
      </c>
      <c r="K63" s="1">
        <v>0</v>
      </c>
      <c r="L63" s="1">
        <v>0.2</v>
      </c>
      <c r="M63" s="1">
        <v>8.3000000000000007</v>
      </c>
      <c r="N63" s="1">
        <v>0</v>
      </c>
      <c r="O63" s="1">
        <v>0</v>
      </c>
      <c r="P63" s="1">
        <v>1.4</v>
      </c>
      <c r="Q63" s="1">
        <v>0.3</v>
      </c>
      <c r="R63" s="1">
        <v>0.6</v>
      </c>
      <c r="S63" s="1">
        <v>1.5</v>
      </c>
      <c r="T63" s="1">
        <v>0</v>
      </c>
      <c r="U63" s="1">
        <v>9.4</v>
      </c>
      <c r="V63" s="1">
        <v>30.1</v>
      </c>
      <c r="W63" s="1">
        <f t="shared" si="2"/>
        <v>66.5</v>
      </c>
      <c r="X63" s="1"/>
      <c r="Y63" s="6"/>
      <c r="Z63" s="30">
        <v>22.9</v>
      </c>
      <c r="AA63" s="1"/>
      <c r="AB63" s="6"/>
      <c r="AC63" s="6"/>
      <c r="AD63" s="1">
        <v>2.1</v>
      </c>
      <c r="AE63" s="1"/>
    </row>
    <row r="64" spans="1:31" ht="15" customHeight="1">
      <c r="A64" s="1"/>
      <c r="B64" s="1"/>
      <c r="C64" s="1"/>
      <c r="D64" s="1">
        <v>2</v>
      </c>
      <c r="E64" s="1">
        <v>0</v>
      </c>
      <c r="F64" s="1">
        <v>0</v>
      </c>
      <c r="G64" s="1">
        <v>0</v>
      </c>
      <c r="H64" s="1">
        <v>0</v>
      </c>
      <c r="I64" s="1">
        <v>10.7</v>
      </c>
      <c r="J64" s="1">
        <v>0</v>
      </c>
      <c r="K64" s="1">
        <v>0</v>
      </c>
      <c r="L64" s="1">
        <v>1.4</v>
      </c>
      <c r="M64" s="1">
        <v>15.5</v>
      </c>
      <c r="N64" s="1">
        <v>0</v>
      </c>
      <c r="O64" s="1">
        <v>2</v>
      </c>
      <c r="P64" s="1">
        <v>1.1000000000000001</v>
      </c>
      <c r="Q64" s="1">
        <v>0.4</v>
      </c>
      <c r="R64" s="1">
        <v>0.2</v>
      </c>
      <c r="S64" s="1">
        <v>2.9</v>
      </c>
      <c r="T64" s="1">
        <v>0</v>
      </c>
      <c r="U64" s="1">
        <v>16.7</v>
      </c>
      <c r="V64" s="1">
        <v>22.8</v>
      </c>
      <c r="W64" s="1">
        <f t="shared" si="2"/>
        <v>73.7</v>
      </c>
      <c r="X64" s="1"/>
      <c r="Y64" s="6"/>
      <c r="Z64" s="30">
        <v>11.1</v>
      </c>
      <c r="AA64" s="1"/>
      <c r="AB64" s="6"/>
      <c r="AC64" s="6"/>
      <c r="AD64" s="1">
        <v>5</v>
      </c>
      <c r="AE64" s="1"/>
    </row>
    <row r="65" spans="1:31" ht="15" customHeight="1">
      <c r="A65" s="1"/>
      <c r="B65" s="1"/>
      <c r="C65" s="1"/>
      <c r="D65" s="1">
        <v>3</v>
      </c>
      <c r="E65" s="1">
        <v>0</v>
      </c>
      <c r="F65" s="1">
        <v>0</v>
      </c>
      <c r="G65" s="1">
        <v>0</v>
      </c>
      <c r="H65" s="1">
        <v>0</v>
      </c>
      <c r="I65" s="1">
        <v>16.61</v>
      </c>
      <c r="J65" s="1">
        <v>0</v>
      </c>
      <c r="K65" s="1">
        <v>0</v>
      </c>
      <c r="L65" s="1">
        <v>0.66</v>
      </c>
      <c r="M65" s="1">
        <v>31.14</v>
      </c>
      <c r="N65" s="1">
        <v>0</v>
      </c>
      <c r="O65" s="1">
        <v>0.12</v>
      </c>
      <c r="P65" s="1">
        <v>0.2</v>
      </c>
      <c r="Q65" s="1">
        <v>0</v>
      </c>
      <c r="R65" s="1">
        <v>0</v>
      </c>
      <c r="S65" s="1">
        <v>2.94</v>
      </c>
      <c r="T65" s="1">
        <v>0</v>
      </c>
      <c r="U65" s="1">
        <v>4.3899999999999997</v>
      </c>
      <c r="V65" s="1">
        <v>3.87</v>
      </c>
      <c r="W65" s="1">
        <f t="shared" si="2"/>
        <v>59.929999999999993</v>
      </c>
      <c r="X65" s="1"/>
      <c r="Y65" s="6"/>
      <c r="Z65" s="30">
        <v>16.3</v>
      </c>
      <c r="AA65" s="1"/>
      <c r="AB65" s="6"/>
      <c r="AC65" s="6"/>
      <c r="AD65" s="1">
        <v>2</v>
      </c>
      <c r="AE65" s="1"/>
    </row>
    <row r="66" spans="1:31" ht="15" customHeight="1">
      <c r="A66" s="1"/>
      <c r="B66" s="1"/>
      <c r="C66" s="1"/>
      <c r="D66" s="1">
        <v>4</v>
      </c>
      <c r="E66" s="1">
        <v>1.3</v>
      </c>
      <c r="F66" s="1">
        <v>0</v>
      </c>
      <c r="G66" s="1">
        <v>0.09</v>
      </c>
      <c r="H66" s="1">
        <v>0</v>
      </c>
      <c r="I66" s="1">
        <v>12.17</v>
      </c>
      <c r="J66" s="1">
        <v>0</v>
      </c>
      <c r="K66" s="1">
        <v>0</v>
      </c>
      <c r="L66" s="1">
        <v>0</v>
      </c>
      <c r="M66" s="1">
        <v>27.28</v>
      </c>
      <c r="N66" s="1">
        <v>0</v>
      </c>
      <c r="O66" s="1">
        <v>0</v>
      </c>
      <c r="P66" s="1">
        <v>16.850000000000001</v>
      </c>
      <c r="Q66" s="1">
        <v>0</v>
      </c>
      <c r="R66" s="1">
        <v>0</v>
      </c>
      <c r="S66" s="1">
        <v>2.61</v>
      </c>
      <c r="T66" s="1">
        <v>0</v>
      </c>
      <c r="U66" s="1">
        <v>7.1</v>
      </c>
      <c r="V66" s="1">
        <v>5.63</v>
      </c>
      <c r="W66" s="1">
        <f t="shared" si="2"/>
        <v>73.03</v>
      </c>
      <c r="X66" s="1"/>
      <c r="Y66" s="6"/>
      <c r="Z66" s="30">
        <v>18.7</v>
      </c>
      <c r="AA66" s="1"/>
      <c r="AB66" s="6"/>
      <c r="AC66" s="6"/>
      <c r="AD66" s="1">
        <v>7.1</v>
      </c>
      <c r="AE66" s="1"/>
    </row>
    <row r="67" spans="1:31" ht="15" customHeight="1">
      <c r="A67" s="1"/>
      <c r="B67" s="1"/>
      <c r="C67" s="1"/>
      <c r="D67" s="1">
        <v>5</v>
      </c>
      <c r="E67" s="1">
        <v>0</v>
      </c>
      <c r="F67" s="1">
        <v>0</v>
      </c>
      <c r="G67" s="1">
        <v>0</v>
      </c>
      <c r="H67" s="1">
        <v>0</v>
      </c>
      <c r="I67" s="1">
        <v>15.4</v>
      </c>
      <c r="J67" s="1">
        <v>0</v>
      </c>
      <c r="K67" s="1">
        <v>0</v>
      </c>
      <c r="L67" s="1">
        <v>0.3</v>
      </c>
      <c r="M67" s="1">
        <v>7.3</v>
      </c>
      <c r="N67" s="1">
        <v>0</v>
      </c>
      <c r="O67" s="1">
        <v>0</v>
      </c>
      <c r="P67" s="1">
        <v>3.4</v>
      </c>
      <c r="Q67" s="1">
        <v>0</v>
      </c>
      <c r="R67" s="1">
        <v>1</v>
      </c>
      <c r="S67" s="1">
        <v>3.1</v>
      </c>
      <c r="T67" s="1">
        <v>0</v>
      </c>
      <c r="U67" s="1">
        <v>24.9</v>
      </c>
      <c r="V67" s="1">
        <v>14.6</v>
      </c>
      <c r="W67" s="1">
        <f t="shared" si="2"/>
        <v>70</v>
      </c>
      <c r="X67" s="1">
        <f>AVERAGE(W63:W67)</f>
        <v>68.631999999999991</v>
      </c>
      <c r="Y67" s="6"/>
      <c r="Z67" s="30">
        <v>17.7</v>
      </c>
      <c r="AA67" s="30">
        <f>AVERAGE(Z63:Z67)</f>
        <v>17.34</v>
      </c>
      <c r="AB67" s="6"/>
      <c r="AC67" s="6"/>
      <c r="AD67" s="1">
        <v>3.2</v>
      </c>
      <c r="AE67" s="1">
        <f>AVERAGE(AD63:AD67)</f>
        <v>3.88</v>
      </c>
    </row>
    <row r="68" spans="1:31" ht="15" customHeight="1">
      <c r="A68" s="1"/>
      <c r="B68" s="1"/>
      <c r="C68" s="1">
        <v>2</v>
      </c>
      <c r="D68" s="1">
        <v>1</v>
      </c>
      <c r="E68" s="1">
        <v>3.47</v>
      </c>
      <c r="F68" s="1">
        <v>0</v>
      </c>
      <c r="G68" s="1">
        <v>0</v>
      </c>
      <c r="H68" s="1">
        <v>0</v>
      </c>
      <c r="I68" s="1">
        <v>13.88</v>
      </c>
      <c r="J68" s="1">
        <v>0</v>
      </c>
      <c r="K68" s="1">
        <v>0</v>
      </c>
      <c r="L68" s="1">
        <v>0.06</v>
      </c>
      <c r="M68" s="1">
        <v>10.01</v>
      </c>
      <c r="N68" s="1">
        <v>0</v>
      </c>
      <c r="O68" s="1">
        <v>0.01</v>
      </c>
      <c r="P68" s="1">
        <v>5.82</v>
      </c>
      <c r="Q68" s="1">
        <v>0</v>
      </c>
      <c r="R68" s="1">
        <v>0</v>
      </c>
      <c r="S68" s="1">
        <v>4.6100000000000003</v>
      </c>
      <c r="T68" s="1">
        <v>0</v>
      </c>
      <c r="U68" s="1">
        <v>14.21</v>
      </c>
      <c r="V68" s="1">
        <v>16.59</v>
      </c>
      <c r="W68" s="1">
        <f t="shared" si="2"/>
        <v>68.66</v>
      </c>
      <c r="X68" s="1"/>
      <c r="Y68" s="6"/>
      <c r="Z68" s="30">
        <v>17.399999999999999</v>
      </c>
      <c r="AA68" s="1"/>
      <c r="AB68" s="6"/>
      <c r="AC68" s="6"/>
      <c r="AD68" s="1">
        <v>2.4</v>
      </c>
      <c r="AE68" s="1"/>
    </row>
    <row r="69" spans="1:31" ht="15" customHeight="1">
      <c r="A69" s="1"/>
      <c r="B69" s="1"/>
      <c r="C69" s="1"/>
      <c r="D69" s="1">
        <v>2</v>
      </c>
      <c r="E69" s="1">
        <v>0</v>
      </c>
      <c r="F69" s="1">
        <v>0</v>
      </c>
      <c r="G69" s="1">
        <v>0</v>
      </c>
      <c r="H69" s="1">
        <v>0</v>
      </c>
      <c r="I69" s="1">
        <v>13.6</v>
      </c>
      <c r="J69" s="1">
        <v>0</v>
      </c>
      <c r="K69" s="1">
        <v>0</v>
      </c>
      <c r="L69" s="1">
        <v>0.4</v>
      </c>
      <c r="M69" s="1">
        <v>15.4</v>
      </c>
      <c r="N69" s="1">
        <v>0</v>
      </c>
      <c r="O69" s="1">
        <v>0.2</v>
      </c>
      <c r="P69" s="1">
        <v>13.1</v>
      </c>
      <c r="Q69" s="1">
        <v>0</v>
      </c>
      <c r="R69" s="1">
        <v>0.1</v>
      </c>
      <c r="S69" s="1">
        <v>1.7</v>
      </c>
      <c r="T69" s="1">
        <v>0</v>
      </c>
      <c r="U69" s="1">
        <v>10.5</v>
      </c>
      <c r="V69" s="1">
        <v>29.2</v>
      </c>
      <c r="W69" s="1">
        <f t="shared" si="2"/>
        <v>84.2</v>
      </c>
      <c r="X69" s="1"/>
      <c r="Y69" s="6"/>
      <c r="Z69" s="30">
        <v>12.6</v>
      </c>
      <c r="AA69" s="1"/>
      <c r="AB69" s="6"/>
      <c r="AC69" s="6"/>
      <c r="AD69" s="1">
        <v>1.9</v>
      </c>
      <c r="AE69" s="1"/>
    </row>
    <row r="70" spans="1:31" ht="15" customHeight="1">
      <c r="A70" s="1"/>
      <c r="B70" s="1"/>
      <c r="C70" s="1"/>
      <c r="D70" s="1">
        <v>3</v>
      </c>
      <c r="E70" s="1">
        <v>0</v>
      </c>
      <c r="F70" s="1">
        <v>0</v>
      </c>
      <c r="G70" s="1">
        <v>0</v>
      </c>
      <c r="H70" s="1">
        <v>0</v>
      </c>
      <c r="I70" s="1">
        <v>10.6</v>
      </c>
      <c r="J70" s="1">
        <v>0</v>
      </c>
      <c r="K70" s="1">
        <v>0</v>
      </c>
      <c r="L70" s="1">
        <v>0</v>
      </c>
      <c r="M70" s="1">
        <v>15.5</v>
      </c>
      <c r="N70" s="1">
        <v>0</v>
      </c>
      <c r="O70" s="1">
        <v>0</v>
      </c>
      <c r="P70" s="1">
        <v>1.3</v>
      </c>
      <c r="Q70" s="1">
        <v>0.8</v>
      </c>
      <c r="R70" s="1">
        <v>0</v>
      </c>
      <c r="S70" s="1">
        <v>1.6</v>
      </c>
      <c r="T70" s="1">
        <v>0</v>
      </c>
      <c r="U70" s="1">
        <v>8.6</v>
      </c>
      <c r="V70" s="1">
        <v>17</v>
      </c>
      <c r="W70" s="1">
        <f t="shared" si="2"/>
        <v>55.400000000000006</v>
      </c>
      <c r="X70" s="1"/>
      <c r="Y70" s="6"/>
      <c r="Z70" s="30">
        <v>15.6</v>
      </c>
      <c r="AA70" s="1"/>
      <c r="AB70" s="6"/>
      <c r="AC70" s="6"/>
      <c r="AD70" s="1">
        <v>2.1</v>
      </c>
      <c r="AE70" s="1"/>
    </row>
    <row r="71" spans="1:31" ht="15" customHeight="1">
      <c r="A71" s="1"/>
      <c r="B71" s="1"/>
      <c r="C71" s="1"/>
      <c r="D71" s="1">
        <v>4</v>
      </c>
      <c r="E71" s="1">
        <v>0</v>
      </c>
      <c r="F71" s="1">
        <v>0</v>
      </c>
      <c r="G71" s="1">
        <v>0</v>
      </c>
      <c r="H71" s="1">
        <v>0</v>
      </c>
      <c r="I71" s="1">
        <v>17.690000000000001</v>
      </c>
      <c r="J71" s="1">
        <v>0</v>
      </c>
      <c r="K71" s="1">
        <v>0</v>
      </c>
      <c r="L71" s="1">
        <v>0.31</v>
      </c>
      <c r="M71" s="1">
        <v>6.14</v>
      </c>
      <c r="N71" s="1">
        <v>0</v>
      </c>
      <c r="O71" s="1">
        <v>0</v>
      </c>
      <c r="P71" s="1">
        <v>2.79</v>
      </c>
      <c r="Q71" s="1">
        <v>0</v>
      </c>
      <c r="R71" s="1">
        <v>0</v>
      </c>
      <c r="S71" s="1">
        <v>2.65</v>
      </c>
      <c r="T71" s="1">
        <v>0</v>
      </c>
      <c r="U71" s="1">
        <v>20.11</v>
      </c>
      <c r="V71" s="1">
        <v>6.25</v>
      </c>
      <c r="W71" s="1">
        <f t="shared" si="2"/>
        <v>55.94</v>
      </c>
      <c r="X71" s="1"/>
      <c r="Y71" s="6"/>
      <c r="Z71" s="30">
        <v>16.899999999999999</v>
      </c>
      <c r="AA71" s="1"/>
      <c r="AB71" s="6"/>
      <c r="AC71" s="6"/>
      <c r="AD71" s="1">
        <v>1.3</v>
      </c>
      <c r="AE71" s="1"/>
    </row>
    <row r="72" spans="1:31" ht="15" customHeight="1">
      <c r="A72" s="1"/>
      <c r="B72" s="1"/>
      <c r="C72" s="1"/>
      <c r="D72" s="1">
        <v>5</v>
      </c>
      <c r="E72" s="1">
        <v>0</v>
      </c>
      <c r="F72" s="1">
        <v>0</v>
      </c>
      <c r="G72" s="1">
        <v>0</v>
      </c>
      <c r="H72" s="1">
        <v>0</v>
      </c>
      <c r="I72" s="1">
        <v>13.6</v>
      </c>
      <c r="J72" s="1">
        <v>0</v>
      </c>
      <c r="K72" s="1">
        <v>0</v>
      </c>
      <c r="L72" s="1">
        <v>0.2</v>
      </c>
      <c r="M72" s="1">
        <v>7.1</v>
      </c>
      <c r="N72" s="1">
        <v>0</v>
      </c>
      <c r="O72" s="1">
        <v>0.1</v>
      </c>
      <c r="P72" s="1">
        <v>15.1</v>
      </c>
      <c r="Q72" s="1">
        <v>0</v>
      </c>
      <c r="R72" s="1">
        <v>0.8</v>
      </c>
      <c r="S72" s="1">
        <v>3.8</v>
      </c>
      <c r="T72" s="1">
        <v>0</v>
      </c>
      <c r="U72" s="1">
        <v>17</v>
      </c>
      <c r="V72" s="1">
        <v>25.1</v>
      </c>
      <c r="W72" s="1">
        <f t="shared" si="2"/>
        <v>82.8</v>
      </c>
      <c r="X72" s="1">
        <f>AVERAGE(W68:W72)</f>
        <v>69.400000000000006</v>
      </c>
      <c r="Y72" s="6"/>
      <c r="Z72" s="30">
        <v>22.5</v>
      </c>
      <c r="AA72" s="30">
        <f>AVERAGE(Z68:Z72)</f>
        <v>17</v>
      </c>
      <c r="AB72" s="6"/>
      <c r="AC72" s="6"/>
      <c r="AD72" s="1">
        <v>2.8</v>
      </c>
      <c r="AE72" s="1">
        <f>AVERAGE(AD68:AD72)</f>
        <v>2.1</v>
      </c>
    </row>
    <row r="73" spans="1:31" ht="15" customHeight="1">
      <c r="A73" s="1"/>
      <c r="B73" s="1"/>
      <c r="C73" s="1">
        <v>3</v>
      </c>
      <c r="D73" s="1">
        <v>1</v>
      </c>
      <c r="E73" s="1">
        <v>0</v>
      </c>
      <c r="F73" s="1">
        <v>1.8</v>
      </c>
      <c r="G73" s="1">
        <v>0</v>
      </c>
      <c r="H73" s="1">
        <v>0</v>
      </c>
      <c r="I73" s="1">
        <v>11.7</v>
      </c>
      <c r="J73" s="1">
        <v>0</v>
      </c>
      <c r="K73" s="1">
        <v>0</v>
      </c>
      <c r="L73" s="1">
        <v>0.1</v>
      </c>
      <c r="M73" s="1">
        <v>9.9</v>
      </c>
      <c r="N73" s="1">
        <v>0</v>
      </c>
      <c r="O73" s="1">
        <v>0.1</v>
      </c>
      <c r="P73" s="1">
        <v>1.6</v>
      </c>
      <c r="Q73" s="1">
        <v>0.5</v>
      </c>
      <c r="R73" s="1">
        <v>0.7</v>
      </c>
      <c r="S73" s="1">
        <v>1.1000000000000001</v>
      </c>
      <c r="T73" s="1">
        <v>0</v>
      </c>
      <c r="U73" s="1">
        <v>11.6</v>
      </c>
      <c r="V73" s="1">
        <v>9.6</v>
      </c>
      <c r="W73" s="1">
        <f t="shared" si="2"/>
        <v>48.7</v>
      </c>
      <c r="X73" s="1"/>
      <c r="Y73" s="6"/>
      <c r="Z73" s="30">
        <v>20.5</v>
      </c>
      <c r="AA73" s="1"/>
      <c r="AB73" s="6"/>
      <c r="AC73" s="6"/>
      <c r="AD73" s="1">
        <v>1.9</v>
      </c>
      <c r="AE73" s="1"/>
    </row>
    <row r="74" spans="1:31" ht="15" customHeight="1">
      <c r="A74" s="1"/>
      <c r="B74" s="1"/>
      <c r="C74" s="1"/>
      <c r="D74" s="1">
        <v>2</v>
      </c>
      <c r="E74" s="1">
        <v>0.1</v>
      </c>
      <c r="F74" s="1">
        <v>0</v>
      </c>
      <c r="G74" s="1">
        <v>0</v>
      </c>
      <c r="H74" s="1">
        <v>0</v>
      </c>
      <c r="I74" s="1">
        <v>25</v>
      </c>
      <c r="J74" s="1">
        <v>0</v>
      </c>
      <c r="K74" s="1">
        <v>0</v>
      </c>
      <c r="L74" s="1">
        <v>0.2</v>
      </c>
      <c r="M74" s="1">
        <v>6.9</v>
      </c>
      <c r="N74" s="1">
        <v>0</v>
      </c>
      <c r="O74" s="1">
        <v>0</v>
      </c>
      <c r="P74" s="1">
        <v>0.3</v>
      </c>
      <c r="Q74" s="1">
        <v>0.6</v>
      </c>
      <c r="R74" s="1">
        <v>5.9</v>
      </c>
      <c r="S74" s="1">
        <v>1.2</v>
      </c>
      <c r="T74" s="1">
        <v>0</v>
      </c>
      <c r="U74" s="1">
        <v>3.3</v>
      </c>
      <c r="V74" s="1">
        <v>7.8</v>
      </c>
      <c r="W74" s="1">
        <f t="shared" si="2"/>
        <v>51.3</v>
      </c>
      <c r="X74" s="1"/>
      <c r="Y74" s="6"/>
      <c r="Z74" s="30">
        <v>23</v>
      </c>
      <c r="AA74" s="1"/>
      <c r="AB74" s="6"/>
      <c r="AC74" s="6"/>
      <c r="AD74" s="1">
        <v>6.1</v>
      </c>
      <c r="AE74" s="1"/>
    </row>
    <row r="75" spans="1:31" ht="15" customHeight="1">
      <c r="A75" s="1"/>
      <c r="B75" s="1"/>
      <c r="C75" s="1"/>
      <c r="D75" s="1">
        <v>3</v>
      </c>
      <c r="E75" s="1">
        <v>0</v>
      </c>
      <c r="F75" s="1">
        <v>0</v>
      </c>
      <c r="G75" s="1">
        <v>0</v>
      </c>
      <c r="H75" s="1">
        <v>0</v>
      </c>
      <c r="I75" s="1">
        <v>11.8</v>
      </c>
      <c r="J75" s="1">
        <v>0</v>
      </c>
      <c r="K75" s="1">
        <v>0</v>
      </c>
      <c r="L75" s="1">
        <v>0</v>
      </c>
      <c r="M75" s="1">
        <v>24</v>
      </c>
      <c r="N75" s="1">
        <v>0</v>
      </c>
      <c r="O75" s="1">
        <v>0</v>
      </c>
      <c r="P75" s="1">
        <v>1.6</v>
      </c>
      <c r="Q75" s="1">
        <v>0</v>
      </c>
      <c r="R75" s="1">
        <v>0.2</v>
      </c>
      <c r="S75" s="1">
        <v>4.4000000000000004</v>
      </c>
      <c r="T75" s="1">
        <v>0</v>
      </c>
      <c r="U75" s="1">
        <v>4.2</v>
      </c>
      <c r="V75" s="1">
        <v>15.7</v>
      </c>
      <c r="W75" s="1">
        <f t="shared" si="2"/>
        <v>61.900000000000006</v>
      </c>
      <c r="X75" s="1"/>
      <c r="Y75" s="6"/>
      <c r="Z75" s="30">
        <v>16.600000000000001</v>
      </c>
      <c r="AA75" s="1"/>
      <c r="AB75" s="6"/>
      <c r="AC75" s="6"/>
      <c r="AD75" s="1">
        <v>1.3</v>
      </c>
      <c r="AE75" s="1"/>
    </row>
    <row r="76" spans="1:31" ht="15" customHeight="1">
      <c r="A76" s="1"/>
      <c r="B76" s="1"/>
      <c r="C76" s="1"/>
      <c r="D76" s="1">
        <v>4</v>
      </c>
      <c r="E76" s="1">
        <v>0</v>
      </c>
      <c r="F76" s="1">
        <v>0.2</v>
      </c>
      <c r="G76" s="1">
        <v>0</v>
      </c>
      <c r="H76" s="1">
        <v>0</v>
      </c>
      <c r="I76" s="1">
        <v>12.4</v>
      </c>
      <c r="J76" s="1">
        <v>0</v>
      </c>
      <c r="K76" s="1">
        <v>0</v>
      </c>
      <c r="L76" s="1">
        <v>0.8</v>
      </c>
      <c r="M76" s="1">
        <v>11.5</v>
      </c>
      <c r="N76" s="1">
        <v>0</v>
      </c>
      <c r="O76" s="1">
        <v>0.1</v>
      </c>
      <c r="P76" s="1">
        <v>0.1</v>
      </c>
      <c r="Q76" s="1">
        <v>0</v>
      </c>
      <c r="R76" s="1">
        <v>0.3</v>
      </c>
      <c r="S76" s="1">
        <v>1.8</v>
      </c>
      <c r="T76" s="1">
        <v>0</v>
      </c>
      <c r="U76" s="1">
        <v>13.1</v>
      </c>
      <c r="V76" s="1">
        <v>4.0999999999999996</v>
      </c>
      <c r="W76" s="1">
        <f t="shared" si="2"/>
        <v>44.400000000000006</v>
      </c>
      <c r="X76" s="1"/>
      <c r="Y76" s="6"/>
      <c r="Z76" s="30">
        <v>33.1</v>
      </c>
      <c r="AA76" s="1"/>
      <c r="AB76" s="6"/>
      <c r="AC76" s="6"/>
      <c r="AD76" s="1">
        <v>2.8</v>
      </c>
      <c r="AE76" s="1"/>
    </row>
    <row r="77" spans="1:31" ht="15" customHeight="1">
      <c r="A77" s="1"/>
      <c r="B77" s="1"/>
      <c r="C77" s="1"/>
      <c r="D77" s="1">
        <v>5</v>
      </c>
      <c r="E77" s="1">
        <v>0</v>
      </c>
      <c r="F77" s="1">
        <v>0</v>
      </c>
      <c r="G77" s="1">
        <v>0</v>
      </c>
      <c r="H77" s="1">
        <v>0</v>
      </c>
      <c r="I77" s="1">
        <v>20</v>
      </c>
      <c r="J77" s="1">
        <v>0</v>
      </c>
      <c r="K77" s="1">
        <v>0</v>
      </c>
      <c r="L77" s="1">
        <v>0.5</v>
      </c>
      <c r="M77" s="1">
        <v>17.3</v>
      </c>
      <c r="N77" s="1">
        <v>0</v>
      </c>
      <c r="O77" s="1">
        <v>0.1</v>
      </c>
      <c r="P77" s="1">
        <v>2.5</v>
      </c>
      <c r="Q77" s="1">
        <v>1.5</v>
      </c>
      <c r="R77" s="1">
        <v>0.5</v>
      </c>
      <c r="S77" s="1">
        <v>2.7</v>
      </c>
      <c r="T77" s="1">
        <v>0</v>
      </c>
      <c r="U77" s="1">
        <v>16</v>
      </c>
      <c r="V77" s="1">
        <v>5.3</v>
      </c>
      <c r="W77" s="1">
        <f t="shared" si="2"/>
        <v>66.400000000000006</v>
      </c>
      <c r="X77" s="1">
        <f>AVERAGE(W73:W77)</f>
        <v>54.540000000000006</v>
      </c>
      <c r="Y77" s="6"/>
      <c r="Z77" s="30">
        <v>19.899999999999999</v>
      </c>
      <c r="AA77" s="30">
        <f>AVERAGE(Z73:Z77)</f>
        <v>22.619999999999997</v>
      </c>
      <c r="AB77" s="6"/>
      <c r="AC77" s="6"/>
      <c r="AD77" s="1">
        <v>2.6</v>
      </c>
      <c r="AE77" s="1">
        <f>AVERAGE(AD73:AD77)</f>
        <v>2.9400000000000004</v>
      </c>
    </row>
    <row r="78" spans="1:31" ht="15" customHeight="1">
      <c r="A78" s="1"/>
      <c r="B78" s="1"/>
      <c r="C78" s="1">
        <v>4</v>
      </c>
      <c r="D78" s="1">
        <v>1</v>
      </c>
      <c r="E78" s="1">
        <v>0.13</v>
      </c>
      <c r="F78" s="1">
        <v>0</v>
      </c>
      <c r="G78" s="1">
        <v>1.4</v>
      </c>
      <c r="H78" s="1">
        <v>0</v>
      </c>
      <c r="I78" s="1">
        <v>23.39</v>
      </c>
      <c r="J78" s="1">
        <v>0</v>
      </c>
      <c r="K78" s="1">
        <v>0</v>
      </c>
      <c r="L78" s="1">
        <v>0.7</v>
      </c>
      <c r="M78" s="1">
        <v>6.62</v>
      </c>
      <c r="N78" s="1">
        <v>0</v>
      </c>
      <c r="O78" s="1">
        <v>0.06</v>
      </c>
      <c r="P78" s="1">
        <v>6.31</v>
      </c>
      <c r="Q78" s="1">
        <v>0</v>
      </c>
      <c r="R78" s="1">
        <v>0</v>
      </c>
      <c r="S78" s="1">
        <v>2.4700000000000002</v>
      </c>
      <c r="T78" s="1">
        <v>0</v>
      </c>
      <c r="U78" s="1">
        <v>14.09</v>
      </c>
      <c r="V78" s="1">
        <v>1.58</v>
      </c>
      <c r="W78" s="1">
        <f t="shared" si="2"/>
        <v>56.75</v>
      </c>
      <c r="X78" s="1"/>
      <c r="Y78" s="6"/>
      <c r="Z78" s="30">
        <v>45.6</v>
      </c>
      <c r="AA78" s="1"/>
      <c r="AB78" s="6"/>
      <c r="AC78" s="6"/>
      <c r="AD78" s="1">
        <v>3.6</v>
      </c>
      <c r="AE78" s="1"/>
    </row>
    <row r="79" spans="1:31" ht="15" customHeight="1">
      <c r="A79" s="1"/>
      <c r="B79" s="1"/>
      <c r="C79" s="1"/>
      <c r="D79" s="1">
        <v>2</v>
      </c>
      <c r="E79" s="1">
        <v>0</v>
      </c>
      <c r="F79" s="1">
        <v>0.1</v>
      </c>
      <c r="G79" s="1">
        <v>0</v>
      </c>
      <c r="H79" s="1">
        <v>0</v>
      </c>
      <c r="I79" s="1">
        <v>9.1</v>
      </c>
      <c r="J79" s="1">
        <v>0</v>
      </c>
      <c r="K79" s="1">
        <v>0</v>
      </c>
      <c r="L79" s="1">
        <v>1</v>
      </c>
      <c r="M79" s="1">
        <v>9</v>
      </c>
      <c r="N79" s="1">
        <v>0</v>
      </c>
      <c r="O79" s="1">
        <v>0.1</v>
      </c>
      <c r="P79" s="1">
        <v>0.5</v>
      </c>
      <c r="Q79" s="1">
        <v>3.3</v>
      </c>
      <c r="R79" s="1">
        <v>0.3</v>
      </c>
      <c r="S79" s="1">
        <v>2.9</v>
      </c>
      <c r="T79" s="1">
        <v>0</v>
      </c>
      <c r="U79" s="1">
        <v>18.8</v>
      </c>
      <c r="V79" s="1">
        <v>14.4</v>
      </c>
      <c r="W79" s="1">
        <f t="shared" si="2"/>
        <v>59.5</v>
      </c>
      <c r="X79" s="1"/>
      <c r="Y79" s="6"/>
      <c r="Z79" s="30">
        <v>19.399999999999999</v>
      </c>
      <c r="AA79" s="1"/>
      <c r="AB79" s="6"/>
      <c r="AC79" s="6"/>
      <c r="AD79" s="1">
        <v>3</v>
      </c>
      <c r="AE79" s="1"/>
    </row>
    <row r="80" spans="1:31" ht="15" customHeight="1">
      <c r="A80" s="1"/>
      <c r="B80" s="1"/>
      <c r="C80" s="1"/>
      <c r="D80" s="1">
        <v>3</v>
      </c>
      <c r="E80" s="1">
        <v>0</v>
      </c>
      <c r="F80" s="1">
        <v>0</v>
      </c>
      <c r="G80" s="1">
        <v>0</v>
      </c>
      <c r="H80" s="1">
        <v>0</v>
      </c>
      <c r="I80" s="1">
        <v>17.3</v>
      </c>
      <c r="J80" s="1">
        <v>0</v>
      </c>
      <c r="K80" s="1">
        <v>0</v>
      </c>
      <c r="L80" s="1">
        <v>0.4</v>
      </c>
      <c r="M80" s="1">
        <v>11.6</v>
      </c>
      <c r="N80" s="1">
        <v>0</v>
      </c>
      <c r="O80" s="1">
        <v>0.1</v>
      </c>
      <c r="P80" s="1">
        <v>0.3</v>
      </c>
      <c r="Q80" s="1">
        <v>0.6</v>
      </c>
      <c r="R80" s="1">
        <v>3.4</v>
      </c>
      <c r="S80" s="1">
        <v>7.1</v>
      </c>
      <c r="T80" s="1">
        <v>0</v>
      </c>
      <c r="U80" s="1">
        <v>16.899999999999999</v>
      </c>
      <c r="V80" s="1">
        <v>16.899999999999999</v>
      </c>
      <c r="W80" s="1">
        <f t="shared" si="2"/>
        <v>74.599999999999994</v>
      </c>
      <c r="X80" s="1"/>
      <c r="Y80" s="6"/>
      <c r="Z80" s="30">
        <v>35.1</v>
      </c>
      <c r="AA80" s="1"/>
      <c r="AB80" s="6"/>
      <c r="AC80" s="6"/>
      <c r="AD80" s="1">
        <v>3.8</v>
      </c>
      <c r="AE80" s="1"/>
    </row>
    <row r="81" spans="1:31" ht="15" customHeight="1">
      <c r="A81" s="1"/>
      <c r="B81" s="1"/>
      <c r="C81" s="1"/>
      <c r="D81" s="1">
        <v>4</v>
      </c>
      <c r="E81" s="1">
        <v>0</v>
      </c>
      <c r="F81" s="1">
        <v>0.5</v>
      </c>
      <c r="G81" s="1">
        <v>0</v>
      </c>
      <c r="H81" s="1">
        <v>0</v>
      </c>
      <c r="I81" s="1">
        <v>17.899999999999999</v>
      </c>
      <c r="J81" s="1">
        <v>0</v>
      </c>
      <c r="K81" s="1">
        <v>0</v>
      </c>
      <c r="L81" s="1">
        <v>0.3</v>
      </c>
      <c r="M81" s="1">
        <v>3.6</v>
      </c>
      <c r="N81" s="1">
        <v>0</v>
      </c>
      <c r="O81" s="1">
        <v>0</v>
      </c>
      <c r="P81" s="1">
        <v>0.8</v>
      </c>
      <c r="Q81" s="1">
        <v>0.9</v>
      </c>
      <c r="R81" s="1">
        <v>1.1000000000000001</v>
      </c>
      <c r="S81" s="1">
        <v>8.9</v>
      </c>
      <c r="T81" s="1">
        <v>0</v>
      </c>
      <c r="U81" s="1">
        <v>15.4</v>
      </c>
      <c r="V81" s="1">
        <v>16.8</v>
      </c>
      <c r="W81" s="1">
        <f t="shared" si="2"/>
        <v>66.2</v>
      </c>
      <c r="X81" s="1"/>
      <c r="Y81" s="6"/>
      <c r="Z81" s="30">
        <v>32.6</v>
      </c>
      <c r="AA81" s="1"/>
      <c r="AB81" s="6"/>
      <c r="AC81" s="6"/>
      <c r="AD81" s="1">
        <v>1.8</v>
      </c>
      <c r="AE81" s="1"/>
    </row>
    <row r="82" spans="1:31" ht="15" customHeight="1">
      <c r="A82" s="1"/>
      <c r="B82" s="1"/>
      <c r="C82" s="1"/>
      <c r="D82" s="1">
        <v>5</v>
      </c>
      <c r="E82" s="1">
        <v>0</v>
      </c>
      <c r="F82" s="1">
        <v>0</v>
      </c>
      <c r="G82" s="1">
        <v>0</v>
      </c>
      <c r="H82" s="1">
        <v>0</v>
      </c>
      <c r="I82" s="1">
        <v>14.48</v>
      </c>
      <c r="J82" s="1">
        <v>0</v>
      </c>
      <c r="K82" s="1">
        <v>0</v>
      </c>
      <c r="L82" s="1">
        <v>0</v>
      </c>
      <c r="M82" s="1">
        <v>27.99</v>
      </c>
      <c r="N82" s="1">
        <v>0</v>
      </c>
      <c r="O82" s="1">
        <v>0</v>
      </c>
      <c r="P82" s="1">
        <v>2.08</v>
      </c>
      <c r="Q82" s="1">
        <v>0</v>
      </c>
      <c r="R82" s="1">
        <v>0</v>
      </c>
      <c r="S82" s="1">
        <v>2.94</v>
      </c>
      <c r="T82" s="1">
        <v>0</v>
      </c>
      <c r="U82" s="1">
        <v>12.64</v>
      </c>
      <c r="V82" s="1">
        <v>8.49</v>
      </c>
      <c r="W82" s="1">
        <f t="shared" si="2"/>
        <v>68.61999999999999</v>
      </c>
      <c r="X82" s="1">
        <f>AVERAGE(W78:W82)</f>
        <v>65.134</v>
      </c>
      <c r="Y82" s="6"/>
      <c r="Z82" s="30">
        <v>49.6</v>
      </c>
      <c r="AA82" s="30">
        <f>AVERAGE(Z78:Z82)</f>
        <v>36.459999999999994</v>
      </c>
      <c r="AB82" s="6"/>
      <c r="AC82" s="6"/>
      <c r="AD82" s="1">
        <v>3.4</v>
      </c>
      <c r="AE82" s="1">
        <f>AVERAGE(AD78:AD82)</f>
        <v>3.12</v>
      </c>
    </row>
    <row r="83" spans="1:31" ht="15" customHeight="1">
      <c r="A83" s="1" t="s">
        <v>37</v>
      </c>
      <c r="B83" s="1" t="s">
        <v>99</v>
      </c>
      <c r="C83" s="1">
        <v>1</v>
      </c>
      <c r="D83" s="1">
        <v>1</v>
      </c>
      <c r="E83" s="10" t="s">
        <v>100</v>
      </c>
      <c r="F83" s="10" t="s">
        <v>100</v>
      </c>
      <c r="G83" s="10" t="s">
        <v>100</v>
      </c>
      <c r="H83" s="10" t="s">
        <v>100</v>
      </c>
      <c r="I83" s="10" t="s">
        <v>100</v>
      </c>
      <c r="J83" s="10" t="s">
        <v>100</v>
      </c>
      <c r="K83" s="10" t="s">
        <v>100</v>
      </c>
      <c r="L83" s="10" t="s">
        <v>100</v>
      </c>
      <c r="M83" s="10" t="s">
        <v>100</v>
      </c>
      <c r="N83" s="10" t="s">
        <v>100</v>
      </c>
      <c r="O83" s="10" t="s">
        <v>100</v>
      </c>
      <c r="P83" s="10" t="s">
        <v>100</v>
      </c>
      <c r="Q83" s="10" t="s">
        <v>100</v>
      </c>
      <c r="R83" s="10" t="s">
        <v>100</v>
      </c>
      <c r="S83" s="10" t="s">
        <v>100</v>
      </c>
      <c r="T83" s="10" t="s">
        <v>100</v>
      </c>
      <c r="U83" s="10" t="s">
        <v>100</v>
      </c>
      <c r="V83" s="10" t="s">
        <v>100</v>
      </c>
      <c r="W83" s="1"/>
      <c r="X83" s="1"/>
      <c r="Y83" s="1"/>
      <c r="Z83" s="1" t="s">
        <v>100</v>
      </c>
      <c r="AA83" s="1"/>
      <c r="AB83" s="1"/>
      <c r="AC83" s="1"/>
      <c r="AD83" s="1" t="s">
        <v>100</v>
      </c>
      <c r="AE83" s="1"/>
    </row>
    <row r="84" spans="1:31" ht="15" customHeight="1">
      <c r="A84" s="1"/>
      <c r="B84" s="1"/>
      <c r="C84" s="1"/>
      <c r="D84" s="1">
        <v>2</v>
      </c>
      <c r="E84" s="10" t="s">
        <v>100</v>
      </c>
      <c r="F84" s="10" t="s">
        <v>100</v>
      </c>
      <c r="G84" s="10" t="s">
        <v>100</v>
      </c>
      <c r="H84" s="10" t="s">
        <v>100</v>
      </c>
      <c r="I84" s="10" t="s">
        <v>100</v>
      </c>
      <c r="J84" s="10" t="s">
        <v>100</v>
      </c>
      <c r="K84" s="10" t="s">
        <v>100</v>
      </c>
      <c r="L84" s="10" t="s">
        <v>100</v>
      </c>
      <c r="M84" s="10" t="s">
        <v>100</v>
      </c>
      <c r="N84" s="10" t="s">
        <v>100</v>
      </c>
      <c r="O84" s="10" t="s">
        <v>100</v>
      </c>
      <c r="P84" s="10" t="s">
        <v>100</v>
      </c>
      <c r="Q84" s="10" t="s">
        <v>100</v>
      </c>
      <c r="R84" s="10" t="s">
        <v>100</v>
      </c>
      <c r="S84" s="10" t="s">
        <v>100</v>
      </c>
      <c r="T84" s="10" t="s">
        <v>100</v>
      </c>
      <c r="U84" s="10" t="s">
        <v>100</v>
      </c>
      <c r="V84" s="10" t="s">
        <v>100</v>
      </c>
      <c r="W84" s="1"/>
      <c r="X84" s="1"/>
      <c r="Y84" s="1"/>
      <c r="Z84" s="1" t="s">
        <v>100</v>
      </c>
      <c r="AA84" s="1"/>
      <c r="AB84" s="1"/>
      <c r="AC84" s="1"/>
      <c r="AD84" s="1" t="s">
        <v>100</v>
      </c>
      <c r="AE84" s="1"/>
    </row>
    <row r="85" spans="1:31" ht="15" customHeight="1">
      <c r="A85" s="1"/>
      <c r="B85" s="1"/>
      <c r="C85" s="1"/>
      <c r="D85" s="1">
        <v>3</v>
      </c>
      <c r="E85" s="10" t="s">
        <v>100</v>
      </c>
      <c r="F85" s="10" t="s">
        <v>100</v>
      </c>
      <c r="G85" s="10" t="s">
        <v>100</v>
      </c>
      <c r="H85" s="10" t="s">
        <v>100</v>
      </c>
      <c r="I85" s="10" t="s">
        <v>100</v>
      </c>
      <c r="J85" s="10" t="s">
        <v>100</v>
      </c>
      <c r="K85" s="10" t="s">
        <v>100</v>
      </c>
      <c r="L85" s="10" t="s">
        <v>100</v>
      </c>
      <c r="M85" s="10" t="s">
        <v>100</v>
      </c>
      <c r="N85" s="10" t="s">
        <v>100</v>
      </c>
      <c r="O85" s="10" t="s">
        <v>100</v>
      </c>
      <c r="P85" s="10" t="s">
        <v>100</v>
      </c>
      <c r="Q85" s="10" t="s">
        <v>100</v>
      </c>
      <c r="R85" s="10" t="s">
        <v>100</v>
      </c>
      <c r="S85" s="10" t="s">
        <v>100</v>
      </c>
      <c r="T85" s="10" t="s">
        <v>100</v>
      </c>
      <c r="U85" s="10" t="s">
        <v>100</v>
      </c>
      <c r="V85" s="10" t="s">
        <v>100</v>
      </c>
      <c r="W85" s="1"/>
      <c r="X85" s="1"/>
      <c r="Y85" s="1"/>
      <c r="Z85" s="1" t="s">
        <v>100</v>
      </c>
      <c r="AA85" s="1"/>
      <c r="AB85" s="1"/>
      <c r="AC85" s="1"/>
      <c r="AD85" s="1" t="s">
        <v>100</v>
      </c>
      <c r="AE85" s="1"/>
    </row>
    <row r="86" spans="1:31" ht="15" customHeight="1">
      <c r="A86" s="1"/>
      <c r="B86" s="1"/>
      <c r="C86" s="1"/>
      <c r="D86" s="1">
        <v>4</v>
      </c>
      <c r="E86" s="10" t="s">
        <v>100</v>
      </c>
      <c r="F86" s="10" t="s">
        <v>100</v>
      </c>
      <c r="G86" s="10" t="s">
        <v>100</v>
      </c>
      <c r="H86" s="10" t="s">
        <v>100</v>
      </c>
      <c r="I86" s="10" t="s">
        <v>100</v>
      </c>
      <c r="J86" s="10" t="s">
        <v>100</v>
      </c>
      <c r="K86" s="10" t="s">
        <v>100</v>
      </c>
      <c r="L86" s="10" t="s">
        <v>100</v>
      </c>
      <c r="M86" s="10" t="s">
        <v>100</v>
      </c>
      <c r="N86" s="10" t="s">
        <v>100</v>
      </c>
      <c r="O86" s="10" t="s">
        <v>100</v>
      </c>
      <c r="P86" s="10" t="s">
        <v>100</v>
      </c>
      <c r="Q86" s="10" t="s">
        <v>100</v>
      </c>
      <c r="R86" s="10" t="s">
        <v>100</v>
      </c>
      <c r="S86" s="10" t="s">
        <v>100</v>
      </c>
      <c r="T86" s="10" t="s">
        <v>100</v>
      </c>
      <c r="U86" s="10" t="s">
        <v>100</v>
      </c>
      <c r="V86" s="10" t="s">
        <v>100</v>
      </c>
      <c r="W86" s="1"/>
      <c r="X86" s="1"/>
      <c r="Y86" s="1"/>
      <c r="Z86" s="1" t="s">
        <v>100</v>
      </c>
      <c r="AA86" s="1"/>
      <c r="AB86" s="1"/>
      <c r="AC86" s="1"/>
      <c r="AD86" s="1" t="s">
        <v>100</v>
      </c>
      <c r="AE86" s="1"/>
    </row>
    <row r="87" spans="1:31" ht="15" customHeight="1">
      <c r="A87" s="1"/>
      <c r="B87" s="1"/>
      <c r="C87" s="1"/>
      <c r="D87" s="1">
        <v>5</v>
      </c>
      <c r="E87" s="10" t="s">
        <v>100</v>
      </c>
      <c r="F87" s="10" t="s">
        <v>100</v>
      </c>
      <c r="G87" s="10" t="s">
        <v>100</v>
      </c>
      <c r="H87" s="10" t="s">
        <v>100</v>
      </c>
      <c r="I87" s="10" t="s">
        <v>100</v>
      </c>
      <c r="J87" s="10" t="s">
        <v>100</v>
      </c>
      <c r="K87" s="10" t="s">
        <v>100</v>
      </c>
      <c r="L87" s="10" t="s">
        <v>100</v>
      </c>
      <c r="M87" s="10" t="s">
        <v>100</v>
      </c>
      <c r="N87" s="10" t="s">
        <v>100</v>
      </c>
      <c r="O87" s="10" t="s">
        <v>100</v>
      </c>
      <c r="P87" s="10" t="s">
        <v>100</v>
      </c>
      <c r="Q87" s="10" t="s">
        <v>100</v>
      </c>
      <c r="R87" s="10" t="s">
        <v>100</v>
      </c>
      <c r="S87" s="10" t="s">
        <v>100</v>
      </c>
      <c r="T87" s="10" t="s">
        <v>100</v>
      </c>
      <c r="U87" s="10" t="s">
        <v>100</v>
      </c>
      <c r="V87" s="10" t="s">
        <v>100</v>
      </c>
      <c r="W87" s="1"/>
      <c r="X87" s="1"/>
      <c r="Y87" s="1"/>
      <c r="Z87" s="1" t="s">
        <v>100</v>
      </c>
      <c r="AA87" s="1"/>
      <c r="AB87" s="1"/>
      <c r="AC87" s="1"/>
      <c r="AD87" s="1" t="s">
        <v>100</v>
      </c>
      <c r="AE87" s="1"/>
    </row>
    <row r="88" spans="1:31" ht="15" customHeight="1">
      <c r="A88" s="1"/>
      <c r="B88" s="1"/>
      <c r="C88" s="1">
        <v>2</v>
      </c>
      <c r="D88" s="1">
        <v>1</v>
      </c>
      <c r="E88" s="10" t="s">
        <v>100</v>
      </c>
      <c r="F88" s="10" t="s">
        <v>100</v>
      </c>
      <c r="G88" s="10" t="s">
        <v>100</v>
      </c>
      <c r="H88" s="10" t="s">
        <v>100</v>
      </c>
      <c r="I88" s="10" t="s">
        <v>100</v>
      </c>
      <c r="J88" s="10" t="s">
        <v>100</v>
      </c>
      <c r="K88" s="10" t="s">
        <v>100</v>
      </c>
      <c r="L88" s="10" t="s">
        <v>100</v>
      </c>
      <c r="M88" s="10" t="s">
        <v>100</v>
      </c>
      <c r="N88" s="10" t="s">
        <v>100</v>
      </c>
      <c r="O88" s="10" t="s">
        <v>100</v>
      </c>
      <c r="P88" s="10" t="s">
        <v>100</v>
      </c>
      <c r="Q88" s="10" t="s">
        <v>100</v>
      </c>
      <c r="R88" s="10" t="s">
        <v>100</v>
      </c>
      <c r="S88" s="10" t="s">
        <v>100</v>
      </c>
      <c r="T88" s="10" t="s">
        <v>100</v>
      </c>
      <c r="U88" s="10" t="s">
        <v>100</v>
      </c>
      <c r="V88" s="10" t="s">
        <v>100</v>
      </c>
      <c r="W88" s="1"/>
      <c r="X88" s="1"/>
      <c r="Y88" s="1"/>
      <c r="Z88" s="1" t="s">
        <v>100</v>
      </c>
      <c r="AA88" s="1"/>
      <c r="AB88" s="1"/>
      <c r="AC88" s="1"/>
      <c r="AD88" s="1" t="s">
        <v>100</v>
      </c>
      <c r="AE88" s="1"/>
    </row>
    <row r="89" spans="1:31" ht="15" customHeight="1">
      <c r="A89" s="1"/>
      <c r="B89" s="1"/>
      <c r="C89" s="1"/>
      <c r="D89" s="1">
        <v>2</v>
      </c>
      <c r="E89" s="10" t="s">
        <v>100</v>
      </c>
      <c r="F89" s="10" t="s">
        <v>100</v>
      </c>
      <c r="G89" s="10" t="s">
        <v>100</v>
      </c>
      <c r="H89" s="10" t="s">
        <v>100</v>
      </c>
      <c r="I89" s="10" t="s">
        <v>100</v>
      </c>
      <c r="J89" s="10" t="s">
        <v>100</v>
      </c>
      <c r="K89" s="10" t="s">
        <v>100</v>
      </c>
      <c r="L89" s="10" t="s">
        <v>100</v>
      </c>
      <c r="M89" s="10" t="s">
        <v>100</v>
      </c>
      <c r="N89" s="10" t="s">
        <v>100</v>
      </c>
      <c r="O89" s="10" t="s">
        <v>100</v>
      </c>
      <c r="P89" s="10" t="s">
        <v>100</v>
      </c>
      <c r="Q89" s="10" t="s">
        <v>100</v>
      </c>
      <c r="R89" s="10" t="s">
        <v>100</v>
      </c>
      <c r="S89" s="10" t="s">
        <v>100</v>
      </c>
      <c r="T89" s="10" t="s">
        <v>100</v>
      </c>
      <c r="U89" s="10" t="s">
        <v>100</v>
      </c>
      <c r="V89" s="10" t="s">
        <v>100</v>
      </c>
      <c r="W89" s="1"/>
      <c r="X89" s="1"/>
      <c r="Y89" s="1"/>
      <c r="Z89" s="1" t="s">
        <v>100</v>
      </c>
      <c r="AA89" s="1"/>
      <c r="AB89" s="1"/>
      <c r="AC89" s="1"/>
      <c r="AD89" s="1" t="s">
        <v>100</v>
      </c>
      <c r="AE89" s="1"/>
    </row>
    <row r="90" spans="1:31" ht="15" customHeight="1">
      <c r="A90" s="1"/>
      <c r="B90" s="1"/>
      <c r="C90" s="1"/>
      <c r="D90" s="1">
        <v>3</v>
      </c>
      <c r="E90" s="10" t="s">
        <v>100</v>
      </c>
      <c r="F90" s="10" t="s">
        <v>100</v>
      </c>
      <c r="G90" s="10" t="s">
        <v>100</v>
      </c>
      <c r="H90" s="10" t="s">
        <v>100</v>
      </c>
      <c r="I90" s="10" t="s">
        <v>100</v>
      </c>
      <c r="J90" s="10" t="s">
        <v>100</v>
      </c>
      <c r="K90" s="10" t="s">
        <v>100</v>
      </c>
      <c r="L90" s="10" t="s">
        <v>100</v>
      </c>
      <c r="M90" s="10" t="s">
        <v>100</v>
      </c>
      <c r="N90" s="10" t="s">
        <v>100</v>
      </c>
      <c r="O90" s="10" t="s">
        <v>100</v>
      </c>
      <c r="P90" s="10" t="s">
        <v>100</v>
      </c>
      <c r="Q90" s="10" t="s">
        <v>100</v>
      </c>
      <c r="R90" s="10" t="s">
        <v>100</v>
      </c>
      <c r="S90" s="10" t="s">
        <v>100</v>
      </c>
      <c r="T90" s="10" t="s">
        <v>100</v>
      </c>
      <c r="U90" s="10" t="s">
        <v>100</v>
      </c>
      <c r="V90" s="10" t="s">
        <v>100</v>
      </c>
      <c r="W90" s="1"/>
      <c r="X90" s="1"/>
      <c r="Y90" s="1"/>
      <c r="Z90" s="1" t="s">
        <v>100</v>
      </c>
      <c r="AA90" s="1"/>
      <c r="AB90" s="1"/>
      <c r="AC90" s="1"/>
      <c r="AD90" s="1" t="s">
        <v>100</v>
      </c>
      <c r="AE90" s="1"/>
    </row>
    <row r="91" spans="1:31" ht="15" customHeight="1">
      <c r="A91" s="1"/>
      <c r="B91" s="1"/>
      <c r="C91" s="1"/>
      <c r="D91" s="1">
        <v>4</v>
      </c>
      <c r="E91" s="10" t="s">
        <v>100</v>
      </c>
      <c r="F91" s="10" t="s">
        <v>100</v>
      </c>
      <c r="G91" s="10" t="s">
        <v>100</v>
      </c>
      <c r="H91" s="10" t="s">
        <v>100</v>
      </c>
      <c r="I91" s="10" t="s">
        <v>100</v>
      </c>
      <c r="J91" s="10" t="s">
        <v>100</v>
      </c>
      <c r="K91" s="10" t="s">
        <v>100</v>
      </c>
      <c r="L91" s="10" t="s">
        <v>100</v>
      </c>
      <c r="M91" s="10" t="s">
        <v>100</v>
      </c>
      <c r="N91" s="10" t="s">
        <v>100</v>
      </c>
      <c r="O91" s="10" t="s">
        <v>100</v>
      </c>
      <c r="P91" s="10" t="s">
        <v>100</v>
      </c>
      <c r="Q91" s="10" t="s">
        <v>100</v>
      </c>
      <c r="R91" s="10" t="s">
        <v>100</v>
      </c>
      <c r="S91" s="10" t="s">
        <v>100</v>
      </c>
      <c r="T91" s="10" t="s">
        <v>100</v>
      </c>
      <c r="U91" s="10" t="s">
        <v>100</v>
      </c>
      <c r="V91" s="10" t="s">
        <v>100</v>
      </c>
      <c r="W91" s="1"/>
      <c r="X91" s="1"/>
      <c r="Y91" s="1"/>
      <c r="Z91" s="1" t="s">
        <v>100</v>
      </c>
      <c r="AA91" s="1"/>
      <c r="AB91" s="1"/>
      <c r="AC91" s="1"/>
      <c r="AD91" s="1" t="s">
        <v>100</v>
      </c>
      <c r="AE91" s="1"/>
    </row>
    <row r="92" spans="1:31" ht="15" customHeight="1">
      <c r="A92" s="1"/>
      <c r="B92" s="1"/>
      <c r="C92" s="1"/>
      <c r="D92" s="1">
        <v>5</v>
      </c>
      <c r="E92" s="10" t="s">
        <v>100</v>
      </c>
      <c r="F92" s="10" t="s">
        <v>100</v>
      </c>
      <c r="G92" s="10" t="s">
        <v>100</v>
      </c>
      <c r="H92" s="10" t="s">
        <v>100</v>
      </c>
      <c r="I92" s="10" t="s">
        <v>100</v>
      </c>
      <c r="J92" s="10" t="s">
        <v>100</v>
      </c>
      <c r="K92" s="10" t="s">
        <v>100</v>
      </c>
      <c r="L92" s="10" t="s">
        <v>100</v>
      </c>
      <c r="M92" s="10" t="s">
        <v>100</v>
      </c>
      <c r="N92" s="10" t="s">
        <v>100</v>
      </c>
      <c r="O92" s="10" t="s">
        <v>100</v>
      </c>
      <c r="P92" s="10" t="s">
        <v>100</v>
      </c>
      <c r="Q92" s="10" t="s">
        <v>100</v>
      </c>
      <c r="R92" s="10" t="s">
        <v>100</v>
      </c>
      <c r="S92" s="10" t="s">
        <v>100</v>
      </c>
      <c r="T92" s="10" t="s">
        <v>100</v>
      </c>
      <c r="U92" s="10" t="s">
        <v>100</v>
      </c>
      <c r="V92" s="10" t="s">
        <v>100</v>
      </c>
      <c r="W92" s="1"/>
      <c r="X92" s="1"/>
      <c r="Y92" s="1"/>
      <c r="Z92" s="1" t="s">
        <v>100</v>
      </c>
      <c r="AA92" s="1"/>
      <c r="AB92" s="1"/>
      <c r="AC92" s="1"/>
      <c r="AD92" s="1" t="s">
        <v>100</v>
      </c>
      <c r="AE92" s="1"/>
    </row>
    <row r="93" spans="1:31" ht="15" customHeight="1">
      <c r="A93" s="1"/>
      <c r="B93" s="1"/>
      <c r="C93" s="1">
        <v>3</v>
      </c>
      <c r="D93" s="1">
        <v>1</v>
      </c>
      <c r="E93" s="10" t="s">
        <v>100</v>
      </c>
      <c r="F93" s="10" t="s">
        <v>100</v>
      </c>
      <c r="G93" s="10" t="s">
        <v>100</v>
      </c>
      <c r="H93" s="10" t="s">
        <v>100</v>
      </c>
      <c r="I93" s="10" t="s">
        <v>100</v>
      </c>
      <c r="J93" s="10" t="s">
        <v>100</v>
      </c>
      <c r="K93" s="10" t="s">
        <v>100</v>
      </c>
      <c r="L93" s="10" t="s">
        <v>100</v>
      </c>
      <c r="M93" s="10" t="s">
        <v>100</v>
      </c>
      <c r="N93" s="10" t="s">
        <v>100</v>
      </c>
      <c r="O93" s="10" t="s">
        <v>100</v>
      </c>
      <c r="P93" s="10" t="s">
        <v>100</v>
      </c>
      <c r="Q93" s="10" t="s">
        <v>100</v>
      </c>
      <c r="R93" s="10" t="s">
        <v>100</v>
      </c>
      <c r="S93" s="10" t="s">
        <v>100</v>
      </c>
      <c r="T93" s="10" t="s">
        <v>100</v>
      </c>
      <c r="U93" s="10" t="s">
        <v>100</v>
      </c>
      <c r="V93" s="10" t="s">
        <v>100</v>
      </c>
      <c r="W93" s="1"/>
      <c r="X93" s="1"/>
      <c r="Y93" s="1"/>
      <c r="Z93" s="1" t="s">
        <v>100</v>
      </c>
      <c r="AA93" s="1"/>
      <c r="AB93" s="1"/>
      <c r="AC93" s="1"/>
      <c r="AD93" s="1" t="s">
        <v>100</v>
      </c>
      <c r="AE93" s="1"/>
    </row>
    <row r="94" spans="1:31" ht="15" customHeight="1">
      <c r="A94" s="1"/>
      <c r="B94" s="1"/>
      <c r="C94" s="1"/>
      <c r="D94" s="1">
        <v>2</v>
      </c>
      <c r="E94" s="10" t="s">
        <v>100</v>
      </c>
      <c r="F94" s="10" t="s">
        <v>100</v>
      </c>
      <c r="G94" s="10" t="s">
        <v>100</v>
      </c>
      <c r="H94" s="10" t="s">
        <v>100</v>
      </c>
      <c r="I94" s="10" t="s">
        <v>100</v>
      </c>
      <c r="J94" s="10" t="s">
        <v>100</v>
      </c>
      <c r="K94" s="10" t="s">
        <v>100</v>
      </c>
      <c r="L94" s="10" t="s">
        <v>100</v>
      </c>
      <c r="M94" s="10" t="s">
        <v>100</v>
      </c>
      <c r="N94" s="10" t="s">
        <v>100</v>
      </c>
      <c r="O94" s="10" t="s">
        <v>100</v>
      </c>
      <c r="P94" s="10" t="s">
        <v>100</v>
      </c>
      <c r="Q94" s="10" t="s">
        <v>100</v>
      </c>
      <c r="R94" s="10" t="s">
        <v>100</v>
      </c>
      <c r="S94" s="10" t="s">
        <v>100</v>
      </c>
      <c r="T94" s="10" t="s">
        <v>100</v>
      </c>
      <c r="U94" s="10" t="s">
        <v>100</v>
      </c>
      <c r="V94" s="10" t="s">
        <v>100</v>
      </c>
      <c r="W94" s="1"/>
      <c r="X94" s="1"/>
      <c r="Y94" s="1"/>
      <c r="Z94" s="1" t="s">
        <v>100</v>
      </c>
      <c r="AA94" s="1"/>
      <c r="AB94" s="1"/>
      <c r="AC94" s="1"/>
      <c r="AD94" s="1" t="s">
        <v>100</v>
      </c>
      <c r="AE94" s="1"/>
    </row>
    <row r="95" spans="1:31" ht="15" customHeight="1">
      <c r="A95" s="1"/>
      <c r="B95" s="1"/>
      <c r="C95" s="1"/>
      <c r="D95" s="1">
        <v>3</v>
      </c>
      <c r="E95" s="10" t="s">
        <v>100</v>
      </c>
      <c r="F95" s="10" t="s">
        <v>100</v>
      </c>
      <c r="G95" s="10" t="s">
        <v>100</v>
      </c>
      <c r="H95" s="10" t="s">
        <v>100</v>
      </c>
      <c r="I95" s="10" t="s">
        <v>100</v>
      </c>
      <c r="J95" s="10" t="s">
        <v>100</v>
      </c>
      <c r="K95" s="10" t="s">
        <v>100</v>
      </c>
      <c r="L95" s="10" t="s">
        <v>100</v>
      </c>
      <c r="M95" s="10" t="s">
        <v>100</v>
      </c>
      <c r="N95" s="10" t="s">
        <v>100</v>
      </c>
      <c r="O95" s="10" t="s">
        <v>100</v>
      </c>
      <c r="P95" s="10" t="s">
        <v>100</v>
      </c>
      <c r="Q95" s="10" t="s">
        <v>100</v>
      </c>
      <c r="R95" s="10" t="s">
        <v>100</v>
      </c>
      <c r="S95" s="10" t="s">
        <v>100</v>
      </c>
      <c r="T95" s="10" t="s">
        <v>100</v>
      </c>
      <c r="U95" s="10" t="s">
        <v>100</v>
      </c>
      <c r="V95" s="10" t="s">
        <v>100</v>
      </c>
      <c r="W95" s="1"/>
      <c r="X95" s="1"/>
      <c r="Y95" s="1"/>
      <c r="Z95" s="1" t="s">
        <v>100</v>
      </c>
      <c r="AA95" s="1"/>
      <c r="AB95" s="1"/>
      <c r="AC95" s="1"/>
      <c r="AD95" s="1" t="s">
        <v>100</v>
      </c>
      <c r="AE95" s="1"/>
    </row>
    <row r="96" spans="1:31" ht="15" customHeight="1">
      <c r="A96" s="1"/>
      <c r="B96" s="1"/>
      <c r="C96" s="1"/>
      <c r="D96" s="1">
        <v>4</v>
      </c>
      <c r="E96" s="10" t="s">
        <v>100</v>
      </c>
      <c r="F96" s="10" t="s">
        <v>100</v>
      </c>
      <c r="G96" s="10" t="s">
        <v>100</v>
      </c>
      <c r="H96" s="10" t="s">
        <v>100</v>
      </c>
      <c r="I96" s="10" t="s">
        <v>100</v>
      </c>
      <c r="J96" s="10" t="s">
        <v>100</v>
      </c>
      <c r="K96" s="10" t="s">
        <v>100</v>
      </c>
      <c r="L96" s="10" t="s">
        <v>100</v>
      </c>
      <c r="M96" s="10" t="s">
        <v>100</v>
      </c>
      <c r="N96" s="10" t="s">
        <v>100</v>
      </c>
      <c r="O96" s="10" t="s">
        <v>100</v>
      </c>
      <c r="P96" s="10" t="s">
        <v>100</v>
      </c>
      <c r="Q96" s="10" t="s">
        <v>100</v>
      </c>
      <c r="R96" s="10" t="s">
        <v>100</v>
      </c>
      <c r="S96" s="10" t="s">
        <v>100</v>
      </c>
      <c r="T96" s="10" t="s">
        <v>100</v>
      </c>
      <c r="U96" s="10" t="s">
        <v>100</v>
      </c>
      <c r="V96" s="10" t="s">
        <v>100</v>
      </c>
      <c r="W96" s="1"/>
      <c r="X96" s="1"/>
      <c r="Y96" s="1"/>
      <c r="Z96" s="1" t="s">
        <v>100</v>
      </c>
      <c r="AA96" s="1"/>
      <c r="AB96" s="1"/>
      <c r="AC96" s="1"/>
      <c r="AD96" s="1" t="s">
        <v>100</v>
      </c>
      <c r="AE96" s="1"/>
    </row>
    <row r="97" spans="1:31" ht="15" customHeight="1">
      <c r="A97" s="1"/>
      <c r="B97" s="1"/>
      <c r="C97" s="1"/>
      <c r="D97" s="1">
        <v>5</v>
      </c>
      <c r="E97" s="10" t="s">
        <v>100</v>
      </c>
      <c r="F97" s="10" t="s">
        <v>100</v>
      </c>
      <c r="G97" s="10" t="s">
        <v>100</v>
      </c>
      <c r="H97" s="10" t="s">
        <v>100</v>
      </c>
      <c r="I97" s="10" t="s">
        <v>100</v>
      </c>
      <c r="J97" s="10" t="s">
        <v>100</v>
      </c>
      <c r="K97" s="10" t="s">
        <v>100</v>
      </c>
      <c r="L97" s="10" t="s">
        <v>100</v>
      </c>
      <c r="M97" s="10" t="s">
        <v>100</v>
      </c>
      <c r="N97" s="10" t="s">
        <v>100</v>
      </c>
      <c r="O97" s="10" t="s">
        <v>100</v>
      </c>
      <c r="P97" s="10" t="s">
        <v>100</v>
      </c>
      <c r="Q97" s="10" t="s">
        <v>100</v>
      </c>
      <c r="R97" s="10" t="s">
        <v>100</v>
      </c>
      <c r="S97" s="10" t="s">
        <v>100</v>
      </c>
      <c r="T97" s="10" t="s">
        <v>100</v>
      </c>
      <c r="U97" s="10" t="s">
        <v>100</v>
      </c>
      <c r="V97" s="10" t="s">
        <v>100</v>
      </c>
      <c r="W97" s="1"/>
      <c r="X97" s="1"/>
      <c r="Y97" s="1"/>
      <c r="Z97" s="1" t="s">
        <v>100</v>
      </c>
      <c r="AA97" s="1"/>
      <c r="AB97" s="1"/>
      <c r="AC97" s="1"/>
      <c r="AD97" s="1" t="s">
        <v>100</v>
      </c>
      <c r="AE97" s="1"/>
    </row>
    <row r="98" spans="1:31" ht="15" customHeight="1">
      <c r="A98" s="1"/>
      <c r="B98" s="1"/>
      <c r="C98" s="1">
        <v>4</v>
      </c>
      <c r="D98" s="1">
        <v>1</v>
      </c>
      <c r="E98" s="10" t="s">
        <v>100</v>
      </c>
      <c r="F98" s="10" t="s">
        <v>100</v>
      </c>
      <c r="G98" s="10" t="s">
        <v>100</v>
      </c>
      <c r="H98" s="10" t="s">
        <v>100</v>
      </c>
      <c r="I98" s="10" t="s">
        <v>100</v>
      </c>
      <c r="J98" s="10" t="s">
        <v>100</v>
      </c>
      <c r="K98" s="10" t="s">
        <v>100</v>
      </c>
      <c r="L98" s="10" t="s">
        <v>100</v>
      </c>
      <c r="M98" s="10" t="s">
        <v>100</v>
      </c>
      <c r="N98" s="10" t="s">
        <v>100</v>
      </c>
      <c r="O98" s="10" t="s">
        <v>100</v>
      </c>
      <c r="P98" s="10" t="s">
        <v>100</v>
      </c>
      <c r="Q98" s="10" t="s">
        <v>100</v>
      </c>
      <c r="R98" s="10" t="s">
        <v>100</v>
      </c>
      <c r="S98" s="10" t="s">
        <v>100</v>
      </c>
      <c r="T98" s="10" t="s">
        <v>100</v>
      </c>
      <c r="U98" s="10" t="s">
        <v>100</v>
      </c>
      <c r="V98" s="10" t="s">
        <v>100</v>
      </c>
      <c r="W98" s="1"/>
      <c r="X98" s="1"/>
      <c r="Y98" s="1"/>
      <c r="Z98" s="1" t="s">
        <v>100</v>
      </c>
      <c r="AA98" s="1"/>
      <c r="AB98" s="1"/>
      <c r="AC98" s="1"/>
      <c r="AD98" s="1" t="s">
        <v>100</v>
      </c>
      <c r="AE98" s="1"/>
    </row>
    <row r="99" spans="1:31" ht="15" customHeight="1">
      <c r="A99" s="1"/>
      <c r="B99" s="1"/>
      <c r="C99" s="1"/>
      <c r="D99" s="1">
        <v>2</v>
      </c>
      <c r="E99" s="10" t="s">
        <v>100</v>
      </c>
      <c r="F99" s="10" t="s">
        <v>100</v>
      </c>
      <c r="G99" s="10" t="s">
        <v>100</v>
      </c>
      <c r="H99" s="10" t="s">
        <v>100</v>
      </c>
      <c r="I99" s="10" t="s">
        <v>100</v>
      </c>
      <c r="J99" s="10" t="s">
        <v>100</v>
      </c>
      <c r="K99" s="10" t="s">
        <v>100</v>
      </c>
      <c r="L99" s="10" t="s">
        <v>100</v>
      </c>
      <c r="M99" s="10" t="s">
        <v>100</v>
      </c>
      <c r="N99" s="10" t="s">
        <v>100</v>
      </c>
      <c r="O99" s="10" t="s">
        <v>100</v>
      </c>
      <c r="P99" s="10" t="s">
        <v>100</v>
      </c>
      <c r="Q99" s="10" t="s">
        <v>100</v>
      </c>
      <c r="R99" s="10" t="s">
        <v>100</v>
      </c>
      <c r="S99" s="10" t="s">
        <v>100</v>
      </c>
      <c r="T99" s="10" t="s">
        <v>100</v>
      </c>
      <c r="U99" s="10" t="s">
        <v>100</v>
      </c>
      <c r="V99" s="10" t="s">
        <v>100</v>
      </c>
      <c r="W99" s="1"/>
      <c r="X99" s="1"/>
      <c r="Y99" s="1"/>
      <c r="Z99" s="1" t="s">
        <v>100</v>
      </c>
      <c r="AA99" s="1"/>
      <c r="AB99" s="1"/>
      <c r="AC99" s="1"/>
      <c r="AD99" s="1" t="s">
        <v>100</v>
      </c>
      <c r="AE99" s="1"/>
    </row>
    <row r="100" spans="1:31" ht="15" customHeight="1">
      <c r="A100" s="1"/>
      <c r="B100" s="1"/>
      <c r="C100" s="1"/>
      <c r="D100" s="1">
        <v>3</v>
      </c>
      <c r="E100" s="10" t="s">
        <v>100</v>
      </c>
      <c r="F100" s="10" t="s">
        <v>100</v>
      </c>
      <c r="G100" s="10" t="s">
        <v>100</v>
      </c>
      <c r="H100" s="10" t="s">
        <v>100</v>
      </c>
      <c r="I100" s="10" t="s">
        <v>100</v>
      </c>
      <c r="J100" s="10" t="s">
        <v>100</v>
      </c>
      <c r="K100" s="10" t="s">
        <v>100</v>
      </c>
      <c r="L100" s="10" t="s">
        <v>100</v>
      </c>
      <c r="M100" s="10" t="s">
        <v>100</v>
      </c>
      <c r="N100" s="10" t="s">
        <v>100</v>
      </c>
      <c r="O100" s="10" t="s">
        <v>100</v>
      </c>
      <c r="P100" s="10" t="s">
        <v>100</v>
      </c>
      <c r="Q100" s="10" t="s">
        <v>100</v>
      </c>
      <c r="R100" s="10" t="s">
        <v>100</v>
      </c>
      <c r="S100" s="10" t="s">
        <v>100</v>
      </c>
      <c r="T100" s="10" t="s">
        <v>100</v>
      </c>
      <c r="U100" s="10" t="s">
        <v>100</v>
      </c>
      <c r="V100" s="10" t="s">
        <v>100</v>
      </c>
      <c r="W100" s="1"/>
      <c r="X100" s="1"/>
      <c r="Y100" s="1"/>
      <c r="Z100" s="1" t="s">
        <v>100</v>
      </c>
      <c r="AA100" s="1"/>
      <c r="AB100" s="1"/>
      <c r="AC100" s="1"/>
      <c r="AD100" s="1" t="s">
        <v>100</v>
      </c>
      <c r="AE100" s="1"/>
    </row>
    <row r="101" spans="1:31" ht="15" customHeight="1">
      <c r="A101" s="1"/>
      <c r="B101" s="1"/>
      <c r="C101" s="1"/>
      <c r="D101" s="1">
        <v>4</v>
      </c>
      <c r="E101" s="10" t="s">
        <v>100</v>
      </c>
      <c r="F101" s="10" t="s">
        <v>100</v>
      </c>
      <c r="G101" s="10" t="s">
        <v>100</v>
      </c>
      <c r="H101" s="10" t="s">
        <v>100</v>
      </c>
      <c r="I101" s="10" t="s">
        <v>100</v>
      </c>
      <c r="J101" s="10" t="s">
        <v>100</v>
      </c>
      <c r="K101" s="10" t="s">
        <v>100</v>
      </c>
      <c r="L101" s="10" t="s">
        <v>100</v>
      </c>
      <c r="M101" s="10" t="s">
        <v>100</v>
      </c>
      <c r="N101" s="10" t="s">
        <v>100</v>
      </c>
      <c r="O101" s="10" t="s">
        <v>100</v>
      </c>
      <c r="P101" s="10" t="s">
        <v>100</v>
      </c>
      <c r="Q101" s="10" t="s">
        <v>100</v>
      </c>
      <c r="R101" s="10" t="s">
        <v>100</v>
      </c>
      <c r="S101" s="10" t="s">
        <v>100</v>
      </c>
      <c r="T101" s="10" t="s">
        <v>100</v>
      </c>
      <c r="U101" s="10" t="s">
        <v>100</v>
      </c>
      <c r="V101" s="10" t="s">
        <v>100</v>
      </c>
      <c r="W101" s="1"/>
      <c r="X101" s="1"/>
      <c r="Y101" s="1"/>
      <c r="Z101" s="1" t="s">
        <v>100</v>
      </c>
      <c r="AA101" s="1"/>
      <c r="AB101" s="1"/>
      <c r="AC101" s="1"/>
      <c r="AD101" s="1" t="s">
        <v>100</v>
      </c>
      <c r="AE101" s="1"/>
    </row>
    <row r="102" spans="1:31" ht="15" customHeight="1">
      <c r="A102" s="1"/>
      <c r="B102" s="1"/>
      <c r="C102" s="1"/>
      <c r="D102" s="1">
        <v>5</v>
      </c>
      <c r="E102" s="10" t="s">
        <v>100</v>
      </c>
      <c r="F102" s="10" t="s">
        <v>100</v>
      </c>
      <c r="G102" s="10" t="s">
        <v>100</v>
      </c>
      <c r="H102" s="10" t="s">
        <v>100</v>
      </c>
      <c r="I102" s="10" t="s">
        <v>100</v>
      </c>
      <c r="J102" s="10" t="s">
        <v>100</v>
      </c>
      <c r="K102" s="10" t="s">
        <v>100</v>
      </c>
      <c r="L102" s="10" t="s">
        <v>100</v>
      </c>
      <c r="M102" s="10" t="s">
        <v>100</v>
      </c>
      <c r="N102" s="10" t="s">
        <v>100</v>
      </c>
      <c r="O102" s="10" t="s">
        <v>100</v>
      </c>
      <c r="P102" s="10" t="s">
        <v>100</v>
      </c>
      <c r="Q102" s="10" t="s">
        <v>100</v>
      </c>
      <c r="R102" s="10" t="s">
        <v>100</v>
      </c>
      <c r="S102" s="10" t="s">
        <v>100</v>
      </c>
      <c r="T102" s="10" t="s">
        <v>100</v>
      </c>
      <c r="U102" s="10" t="s">
        <v>100</v>
      </c>
      <c r="V102" s="10" t="s">
        <v>100</v>
      </c>
      <c r="W102" s="1"/>
      <c r="X102" s="1"/>
      <c r="Y102" s="1"/>
      <c r="Z102" s="1" t="s">
        <v>100</v>
      </c>
      <c r="AA102" s="1"/>
      <c r="AB102" s="1"/>
      <c r="AC102" s="1"/>
      <c r="AD102" s="1" t="s">
        <v>100</v>
      </c>
      <c r="AE102" s="1"/>
    </row>
    <row r="103" spans="1:31" ht="15" customHeight="1">
      <c r="A103" s="1" t="s">
        <v>37</v>
      </c>
      <c r="B103" s="1" t="s">
        <v>101</v>
      </c>
      <c r="C103" s="1">
        <v>1</v>
      </c>
      <c r="D103" s="1">
        <v>1</v>
      </c>
      <c r="E103" s="1">
        <v>10.8</v>
      </c>
      <c r="F103" s="1">
        <v>0</v>
      </c>
      <c r="G103" s="1">
        <v>0</v>
      </c>
      <c r="H103" s="1">
        <v>0</v>
      </c>
      <c r="I103" s="1">
        <v>24.97</v>
      </c>
      <c r="J103" s="1">
        <v>0</v>
      </c>
      <c r="K103" s="1">
        <v>0</v>
      </c>
      <c r="L103" s="1">
        <v>0</v>
      </c>
      <c r="M103" s="1">
        <v>0.41</v>
      </c>
      <c r="N103" s="1">
        <v>0</v>
      </c>
      <c r="O103" s="1">
        <v>0.25</v>
      </c>
      <c r="P103" s="1">
        <v>58.85</v>
      </c>
      <c r="Q103" s="1">
        <v>0</v>
      </c>
      <c r="R103" s="1">
        <v>0</v>
      </c>
      <c r="S103" s="1">
        <v>1</v>
      </c>
      <c r="T103" s="1">
        <v>0</v>
      </c>
      <c r="U103" s="1">
        <v>0</v>
      </c>
      <c r="V103" s="1">
        <v>0</v>
      </c>
      <c r="W103" s="1">
        <f t="shared" ref="W103:W145" si="3">SUM(E103:V103)</f>
        <v>96.28</v>
      </c>
      <c r="X103" s="6"/>
      <c r="Y103" s="6"/>
      <c r="Z103" s="30">
        <v>1.9</v>
      </c>
      <c r="AA103" s="1"/>
      <c r="AB103" s="6"/>
      <c r="AC103" s="6"/>
      <c r="AD103" s="1">
        <v>0.9</v>
      </c>
      <c r="AE103" s="1"/>
    </row>
    <row r="104" spans="1:31" ht="15" customHeight="1">
      <c r="A104" s="1"/>
      <c r="B104" s="1"/>
      <c r="C104" s="1"/>
      <c r="D104" s="1">
        <v>2</v>
      </c>
      <c r="E104" s="1">
        <v>15.18</v>
      </c>
      <c r="F104" s="1">
        <v>0</v>
      </c>
      <c r="G104" s="1">
        <v>0</v>
      </c>
      <c r="H104" s="1">
        <v>0</v>
      </c>
      <c r="I104" s="1">
        <v>26.869999999999997</v>
      </c>
      <c r="J104" s="1">
        <v>0</v>
      </c>
      <c r="K104" s="1">
        <v>0</v>
      </c>
      <c r="L104" s="1">
        <v>0</v>
      </c>
      <c r="M104" s="1">
        <v>0</v>
      </c>
      <c r="N104" s="1">
        <v>0</v>
      </c>
      <c r="O104" s="1">
        <v>1.48</v>
      </c>
      <c r="P104" s="1">
        <v>23.86</v>
      </c>
      <c r="Q104" s="1">
        <v>0</v>
      </c>
      <c r="R104" s="1">
        <v>0</v>
      </c>
      <c r="S104" s="1">
        <v>0.42</v>
      </c>
      <c r="T104" s="1">
        <v>0</v>
      </c>
      <c r="U104" s="1">
        <v>6.7</v>
      </c>
      <c r="V104" s="1">
        <v>0.08</v>
      </c>
      <c r="W104" s="1">
        <f t="shared" si="3"/>
        <v>74.589999999999989</v>
      </c>
      <c r="X104" s="6"/>
      <c r="Y104" s="6"/>
      <c r="Z104" s="30">
        <v>1.6</v>
      </c>
      <c r="AA104" s="1"/>
      <c r="AB104" s="6"/>
      <c r="AC104" s="6"/>
      <c r="AD104" s="1">
        <v>1.8</v>
      </c>
      <c r="AE104" s="1"/>
    </row>
    <row r="105" spans="1:31" ht="15" customHeight="1">
      <c r="A105" s="1"/>
      <c r="B105" s="1"/>
      <c r="C105" s="1"/>
      <c r="D105" s="1">
        <v>3</v>
      </c>
      <c r="E105" s="1">
        <v>5.21</v>
      </c>
      <c r="F105" s="1">
        <v>0</v>
      </c>
      <c r="G105" s="1">
        <v>0</v>
      </c>
      <c r="H105" s="1">
        <v>0</v>
      </c>
      <c r="I105" s="1">
        <v>39.410000000000004</v>
      </c>
      <c r="J105" s="1">
        <v>0</v>
      </c>
      <c r="K105" s="1">
        <v>0</v>
      </c>
      <c r="L105" s="1">
        <v>0</v>
      </c>
      <c r="M105" s="1">
        <v>0</v>
      </c>
      <c r="N105" s="1">
        <v>0</v>
      </c>
      <c r="O105" s="1">
        <v>0.16</v>
      </c>
      <c r="P105" s="1">
        <v>34.909999999999997</v>
      </c>
      <c r="Q105" s="1">
        <v>0</v>
      </c>
      <c r="R105" s="1">
        <v>0</v>
      </c>
      <c r="S105" s="1">
        <v>2.2599999999999998</v>
      </c>
      <c r="T105" s="1">
        <v>0</v>
      </c>
      <c r="U105" s="1">
        <v>0</v>
      </c>
      <c r="V105" s="1">
        <v>0.17</v>
      </c>
      <c r="W105" s="1">
        <f t="shared" si="3"/>
        <v>82.12</v>
      </c>
      <c r="X105" s="6"/>
      <c r="Y105" s="6"/>
      <c r="Z105" s="30">
        <v>0.3</v>
      </c>
      <c r="AA105" s="1"/>
      <c r="AB105" s="6"/>
      <c r="AC105" s="6"/>
      <c r="AD105" s="1">
        <v>1.6</v>
      </c>
      <c r="AE105" s="1"/>
    </row>
    <row r="106" spans="1:31" ht="15" customHeight="1">
      <c r="A106" s="1"/>
      <c r="B106" s="1"/>
      <c r="C106" s="1"/>
      <c r="D106" s="1">
        <v>4</v>
      </c>
      <c r="E106" s="1">
        <v>7.36</v>
      </c>
      <c r="F106" s="1">
        <v>0</v>
      </c>
      <c r="G106" s="1">
        <v>0</v>
      </c>
      <c r="H106" s="1">
        <v>0</v>
      </c>
      <c r="I106" s="1">
        <v>40.35</v>
      </c>
      <c r="J106" s="1">
        <v>0</v>
      </c>
      <c r="K106" s="1">
        <v>0</v>
      </c>
      <c r="L106" s="1">
        <v>0</v>
      </c>
      <c r="M106" s="1">
        <v>0</v>
      </c>
      <c r="N106" s="1">
        <v>0</v>
      </c>
      <c r="O106" s="1">
        <v>0.3</v>
      </c>
      <c r="P106" s="1">
        <v>34.6</v>
      </c>
      <c r="Q106" s="1">
        <v>0</v>
      </c>
      <c r="R106" s="1">
        <v>0</v>
      </c>
      <c r="S106" s="1">
        <v>0</v>
      </c>
      <c r="T106" s="1">
        <v>0</v>
      </c>
      <c r="U106" s="1">
        <v>0</v>
      </c>
      <c r="V106" s="1">
        <v>9.8000000000000007</v>
      </c>
      <c r="W106" s="1">
        <f t="shared" si="3"/>
        <v>92.41</v>
      </c>
      <c r="X106" s="6"/>
      <c r="Y106" s="6"/>
      <c r="Z106" s="30">
        <v>0.7</v>
      </c>
      <c r="AA106" s="1"/>
      <c r="AB106" s="6"/>
      <c r="AC106" s="6"/>
      <c r="AD106" s="1">
        <v>0.3</v>
      </c>
      <c r="AE106" s="1"/>
    </row>
    <row r="107" spans="1:31" ht="15" customHeight="1">
      <c r="A107" s="1"/>
      <c r="B107" s="1"/>
      <c r="C107" s="1"/>
      <c r="D107" s="1">
        <v>5</v>
      </c>
      <c r="E107" s="1">
        <v>17.73</v>
      </c>
      <c r="F107" s="1">
        <v>0</v>
      </c>
      <c r="G107" s="1">
        <v>0</v>
      </c>
      <c r="H107" s="1">
        <v>0</v>
      </c>
      <c r="I107" s="1">
        <v>0</v>
      </c>
      <c r="J107" s="1">
        <v>0</v>
      </c>
      <c r="K107" s="1">
        <v>0</v>
      </c>
      <c r="L107" s="1">
        <v>0</v>
      </c>
      <c r="M107" s="1">
        <v>0</v>
      </c>
      <c r="N107" s="1">
        <v>0</v>
      </c>
      <c r="O107" s="1">
        <v>0</v>
      </c>
      <c r="P107" s="1">
        <v>0</v>
      </c>
      <c r="Q107" s="1">
        <v>0</v>
      </c>
      <c r="R107" s="1">
        <v>0</v>
      </c>
      <c r="S107" s="1">
        <v>0</v>
      </c>
      <c r="T107" s="1">
        <v>0</v>
      </c>
      <c r="U107" s="1">
        <v>0.3</v>
      </c>
      <c r="V107" s="1">
        <v>0.31</v>
      </c>
      <c r="W107" s="1">
        <f t="shared" si="3"/>
        <v>18.34</v>
      </c>
      <c r="X107" s="1">
        <f>AVERAGE(W103:W107)</f>
        <v>72.74799999999999</v>
      </c>
      <c r="Y107" s="6"/>
      <c r="Z107" s="30">
        <v>0.6</v>
      </c>
      <c r="AA107" s="30">
        <f>AVERAGE(Z103:Z107)</f>
        <v>1.02</v>
      </c>
      <c r="AB107" s="6"/>
      <c r="AC107" s="6"/>
      <c r="AD107" s="1">
        <v>0.6</v>
      </c>
      <c r="AE107" s="1">
        <f>AVERAGE(AD103:AD107)</f>
        <v>1.04</v>
      </c>
    </row>
    <row r="108" spans="1:31" ht="15" customHeight="1">
      <c r="A108" s="1"/>
      <c r="B108" s="1"/>
      <c r="C108" s="1">
        <v>2</v>
      </c>
      <c r="D108" s="1">
        <v>1</v>
      </c>
      <c r="E108" s="1">
        <v>10.87</v>
      </c>
      <c r="F108" s="1">
        <v>0</v>
      </c>
      <c r="G108" s="1">
        <v>0</v>
      </c>
      <c r="H108" s="1">
        <v>0</v>
      </c>
      <c r="I108" s="1">
        <v>23.11</v>
      </c>
      <c r="J108" s="1">
        <v>0</v>
      </c>
      <c r="K108" s="1">
        <v>0</v>
      </c>
      <c r="L108" s="1">
        <v>0</v>
      </c>
      <c r="M108" s="1">
        <v>0</v>
      </c>
      <c r="N108" s="1">
        <v>0</v>
      </c>
      <c r="O108" s="1">
        <v>1.22</v>
      </c>
      <c r="P108" s="1">
        <v>38.619999999999997</v>
      </c>
      <c r="Q108" s="1">
        <v>0</v>
      </c>
      <c r="R108" s="1">
        <v>0</v>
      </c>
      <c r="S108" s="1">
        <v>2.75</v>
      </c>
      <c r="T108" s="1">
        <v>0</v>
      </c>
      <c r="U108" s="1">
        <v>6.41</v>
      </c>
      <c r="V108" s="1">
        <v>0.4</v>
      </c>
      <c r="W108" s="1">
        <f t="shared" si="3"/>
        <v>83.38</v>
      </c>
      <c r="X108" s="1"/>
      <c r="Y108" s="6"/>
      <c r="Z108" s="30">
        <v>1.2</v>
      </c>
      <c r="AA108" s="1"/>
      <c r="AB108" s="6"/>
      <c r="AC108" s="6"/>
      <c r="AD108" s="1">
        <v>1.8</v>
      </c>
      <c r="AE108" s="1"/>
    </row>
    <row r="109" spans="1:31" ht="15" customHeight="1">
      <c r="A109" s="1"/>
      <c r="B109" s="1"/>
      <c r="C109" s="1"/>
      <c r="D109" s="1">
        <v>2</v>
      </c>
      <c r="E109" s="1">
        <v>5.34</v>
      </c>
      <c r="F109" s="1">
        <v>0</v>
      </c>
      <c r="G109" s="1">
        <v>0</v>
      </c>
      <c r="H109" s="1">
        <v>2.13</v>
      </c>
      <c r="I109" s="1">
        <v>24.439999999999998</v>
      </c>
      <c r="J109" s="1">
        <v>0</v>
      </c>
      <c r="K109" s="1">
        <v>0</v>
      </c>
      <c r="L109" s="1">
        <v>0</v>
      </c>
      <c r="M109" s="1">
        <v>0</v>
      </c>
      <c r="N109" s="1">
        <v>0</v>
      </c>
      <c r="O109" s="1">
        <v>1.75</v>
      </c>
      <c r="P109" s="1">
        <v>45.83</v>
      </c>
      <c r="Q109" s="1">
        <v>0</v>
      </c>
      <c r="R109" s="1">
        <v>0</v>
      </c>
      <c r="S109" s="1">
        <v>0.22</v>
      </c>
      <c r="T109" s="1">
        <v>0</v>
      </c>
      <c r="U109" s="1">
        <v>0</v>
      </c>
      <c r="V109" s="1">
        <v>0.73</v>
      </c>
      <c r="W109" s="1">
        <f t="shared" si="3"/>
        <v>80.44</v>
      </c>
      <c r="X109" s="1"/>
      <c r="Y109" s="6"/>
      <c r="Z109" s="30">
        <v>1.7</v>
      </c>
      <c r="AA109" s="1"/>
      <c r="AB109" s="6"/>
      <c r="AC109" s="6"/>
      <c r="AD109" s="35">
        <v>17.8</v>
      </c>
      <c r="AE109" s="1"/>
    </row>
    <row r="110" spans="1:31" ht="15" customHeight="1">
      <c r="A110" s="1"/>
      <c r="B110" s="1"/>
      <c r="C110" s="1"/>
      <c r="D110" s="1">
        <v>3</v>
      </c>
      <c r="E110" s="1">
        <v>6.52</v>
      </c>
      <c r="F110" s="1">
        <v>0</v>
      </c>
      <c r="G110" s="1">
        <v>0</v>
      </c>
      <c r="H110" s="1">
        <v>0.04</v>
      </c>
      <c r="I110" s="1">
        <v>32.49</v>
      </c>
      <c r="J110" s="1">
        <v>0</v>
      </c>
      <c r="K110" s="1">
        <v>0</v>
      </c>
      <c r="L110" s="1">
        <v>0</v>
      </c>
      <c r="M110" s="1">
        <v>0</v>
      </c>
      <c r="N110" s="1">
        <v>0</v>
      </c>
      <c r="O110" s="1">
        <v>1.55</v>
      </c>
      <c r="P110" s="1">
        <v>17.649999999999999</v>
      </c>
      <c r="Q110" s="1">
        <v>0</v>
      </c>
      <c r="R110" s="1">
        <v>0</v>
      </c>
      <c r="S110" s="1">
        <v>0.53</v>
      </c>
      <c r="T110" s="1">
        <v>0</v>
      </c>
      <c r="U110" s="1">
        <v>0.43</v>
      </c>
      <c r="V110" s="1">
        <v>6.48</v>
      </c>
      <c r="W110" s="1">
        <f t="shared" si="3"/>
        <v>65.69</v>
      </c>
      <c r="X110" s="1"/>
      <c r="Y110" s="6"/>
      <c r="Z110" s="30">
        <v>1</v>
      </c>
      <c r="AA110" s="1"/>
      <c r="AB110" s="6"/>
      <c r="AC110" s="6"/>
      <c r="AD110" s="1">
        <v>1.1000000000000001</v>
      </c>
      <c r="AE110" s="1"/>
    </row>
    <row r="111" spans="1:31" ht="15" customHeight="1">
      <c r="A111" s="1"/>
      <c r="B111" s="1"/>
      <c r="C111" s="1"/>
      <c r="D111" s="1">
        <v>4</v>
      </c>
      <c r="E111" s="1">
        <v>3.99</v>
      </c>
      <c r="F111" s="1">
        <v>0</v>
      </c>
      <c r="G111" s="1">
        <v>0</v>
      </c>
      <c r="H111" s="1">
        <v>0.15</v>
      </c>
      <c r="I111" s="1">
        <v>35.17</v>
      </c>
      <c r="J111" s="1">
        <v>0</v>
      </c>
      <c r="K111" s="1">
        <v>0</v>
      </c>
      <c r="L111" s="1">
        <v>0</v>
      </c>
      <c r="M111" s="1">
        <v>0</v>
      </c>
      <c r="N111" s="1">
        <v>0</v>
      </c>
      <c r="O111" s="1">
        <v>0.81</v>
      </c>
      <c r="P111" s="1">
        <v>17.760000000000002</v>
      </c>
      <c r="Q111" s="1">
        <v>0</v>
      </c>
      <c r="R111" s="1">
        <v>0</v>
      </c>
      <c r="S111" s="1">
        <v>0</v>
      </c>
      <c r="T111" s="1">
        <v>0</v>
      </c>
      <c r="U111" s="1">
        <v>0</v>
      </c>
      <c r="V111" s="1">
        <v>18.53</v>
      </c>
      <c r="W111" s="1">
        <f t="shared" si="3"/>
        <v>76.410000000000011</v>
      </c>
      <c r="X111" s="1"/>
      <c r="Y111" s="6"/>
      <c r="Z111" s="30">
        <v>1.4</v>
      </c>
      <c r="AA111" s="1"/>
      <c r="AB111" s="6"/>
      <c r="AC111" s="6"/>
      <c r="AD111" s="1">
        <v>0.8</v>
      </c>
      <c r="AE111" s="1"/>
    </row>
    <row r="112" spans="1:31" ht="15" customHeight="1">
      <c r="A112" s="1"/>
      <c r="B112" s="1"/>
      <c r="C112" s="1"/>
      <c r="D112" s="1">
        <v>5</v>
      </c>
      <c r="E112" s="1">
        <v>20.29</v>
      </c>
      <c r="F112" s="1">
        <v>0</v>
      </c>
      <c r="G112" s="1">
        <v>0</v>
      </c>
      <c r="H112" s="1">
        <v>5.76</v>
      </c>
      <c r="I112" s="1">
        <v>12.87</v>
      </c>
      <c r="J112" s="1">
        <v>0</v>
      </c>
      <c r="K112" s="1">
        <v>0</v>
      </c>
      <c r="L112" s="1">
        <v>0</v>
      </c>
      <c r="M112" s="1">
        <v>0</v>
      </c>
      <c r="N112" s="1">
        <v>0</v>
      </c>
      <c r="O112" s="1">
        <v>0.96</v>
      </c>
      <c r="P112" s="1">
        <v>44.84</v>
      </c>
      <c r="Q112" s="1">
        <v>0</v>
      </c>
      <c r="R112" s="1">
        <v>0</v>
      </c>
      <c r="S112" s="1">
        <v>0.82</v>
      </c>
      <c r="T112" s="1">
        <v>0</v>
      </c>
      <c r="U112" s="1">
        <v>0</v>
      </c>
      <c r="V112" s="1">
        <v>1.25</v>
      </c>
      <c r="W112" s="1">
        <f t="shared" si="3"/>
        <v>86.789999999999992</v>
      </c>
      <c r="X112" s="1">
        <f>AVERAGE(W108:W112)</f>
        <v>78.542000000000002</v>
      </c>
      <c r="Y112" s="6"/>
      <c r="Z112" s="30">
        <v>0.4</v>
      </c>
      <c r="AA112" s="30">
        <f>AVERAGE(Z108:Z112)</f>
        <v>1.1400000000000001</v>
      </c>
      <c r="AB112" s="6"/>
      <c r="AC112" s="6"/>
      <c r="AD112" s="1">
        <v>1.7</v>
      </c>
      <c r="AE112" s="1">
        <f>AVERAGE(AD108:AD112)</f>
        <v>4.6400000000000006</v>
      </c>
    </row>
    <row r="113" spans="1:31" ht="15" customHeight="1">
      <c r="A113" s="1"/>
      <c r="B113" s="1"/>
      <c r="C113" s="1">
        <v>3</v>
      </c>
      <c r="D113" s="1">
        <v>1</v>
      </c>
      <c r="E113" s="1">
        <v>11.03</v>
      </c>
      <c r="F113" s="1">
        <v>0</v>
      </c>
      <c r="G113" s="1">
        <v>0</v>
      </c>
      <c r="H113" s="1">
        <v>0</v>
      </c>
      <c r="I113" s="1">
        <v>34.44</v>
      </c>
      <c r="J113" s="1">
        <v>0</v>
      </c>
      <c r="K113" s="1">
        <v>0</v>
      </c>
      <c r="L113" s="1">
        <v>0</v>
      </c>
      <c r="M113" s="1">
        <v>3.38</v>
      </c>
      <c r="N113" s="1">
        <v>0</v>
      </c>
      <c r="O113" s="1">
        <v>0.09</v>
      </c>
      <c r="P113" s="1">
        <v>7.72</v>
      </c>
      <c r="Q113" s="1">
        <v>0.62</v>
      </c>
      <c r="R113" s="1">
        <v>0</v>
      </c>
      <c r="S113" s="1">
        <v>0.96</v>
      </c>
      <c r="T113" s="1">
        <v>0</v>
      </c>
      <c r="U113" s="1">
        <v>0.45</v>
      </c>
      <c r="V113" s="1">
        <v>0.74</v>
      </c>
      <c r="W113" s="1">
        <f t="shared" si="3"/>
        <v>59.430000000000007</v>
      </c>
      <c r="X113" s="1"/>
      <c r="Y113" s="6"/>
      <c r="Z113" s="30">
        <v>5.5</v>
      </c>
      <c r="AA113" s="1"/>
      <c r="AB113" s="6"/>
      <c r="AC113" s="6"/>
      <c r="AD113" s="1">
        <v>3.2</v>
      </c>
      <c r="AE113" s="1"/>
    </row>
    <row r="114" spans="1:31" ht="15" customHeight="1">
      <c r="A114" s="1"/>
      <c r="B114" s="1"/>
      <c r="C114" s="1"/>
      <c r="D114" s="1">
        <v>2</v>
      </c>
      <c r="E114" s="1">
        <v>8.9</v>
      </c>
      <c r="F114" s="1">
        <v>0</v>
      </c>
      <c r="G114" s="1">
        <v>0</v>
      </c>
      <c r="H114" s="1">
        <v>0</v>
      </c>
      <c r="I114" s="1">
        <v>26.12</v>
      </c>
      <c r="J114" s="1">
        <v>0</v>
      </c>
      <c r="K114" s="1">
        <v>0</v>
      </c>
      <c r="L114" s="1">
        <v>0</v>
      </c>
      <c r="M114" s="1">
        <v>0</v>
      </c>
      <c r="N114" s="1">
        <v>0</v>
      </c>
      <c r="O114" s="1">
        <v>0.52</v>
      </c>
      <c r="P114" s="1">
        <v>29.04</v>
      </c>
      <c r="Q114" s="1">
        <v>0</v>
      </c>
      <c r="R114" s="1">
        <v>0</v>
      </c>
      <c r="S114" s="1">
        <v>0.63</v>
      </c>
      <c r="T114" s="1">
        <v>0</v>
      </c>
      <c r="U114" s="1">
        <v>2.13</v>
      </c>
      <c r="V114" s="1">
        <v>5.51</v>
      </c>
      <c r="W114" s="1">
        <f t="shared" si="3"/>
        <v>72.850000000000009</v>
      </c>
      <c r="X114" s="1"/>
      <c r="Y114" s="6"/>
      <c r="Z114" s="30">
        <v>0.6</v>
      </c>
      <c r="AA114" s="1"/>
      <c r="AB114" s="6"/>
      <c r="AC114" s="6"/>
      <c r="AD114" s="1">
        <v>0.7</v>
      </c>
      <c r="AE114" s="1"/>
    </row>
    <row r="115" spans="1:31" ht="15" customHeight="1">
      <c r="A115" s="1"/>
      <c r="B115" s="1"/>
      <c r="C115" s="1"/>
      <c r="D115" s="1">
        <v>3</v>
      </c>
      <c r="E115" s="1">
        <v>2.95</v>
      </c>
      <c r="F115" s="1">
        <v>0</v>
      </c>
      <c r="G115" s="1">
        <v>0</v>
      </c>
      <c r="H115" s="1">
        <v>0</v>
      </c>
      <c r="I115" s="1">
        <v>17.170000000000002</v>
      </c>
      <c r="J115" s="1">
        <v>0</v>
      </c>
      <c r="K115" s="1">
        <v>0</v>
      </c>
      <c r="L115" s="1">
        <v>0</v>
      </c>
      <c r="M115" s="1">
        <v>5.87</v>
      </c>
      <c r="N115" s="1">
        <v>0</v>
      </c>
      <c r="O115" s="1">
        <v>0.4</v>
      </c>
      <c r="P115" s="1">
        <v>32.229999999999997</v>
      </c>
      <c r="Q115" s="1">
        <v>0</v>
      </c>
      <c r="R115" s="1">
        <v>0</v>
      </c>
      <c r="S115" s="1">
        <v>1.02</v>
      </c>
      <c r="T115" s="1">
        <v>0</v>
      </c>
      <c r="U115" s="1">
        <v>0</v>
      </c>
      <c r="V115" s="1">
        <v>5.89</v>
      </c>
      <c r="W115" s="1">
        <f t="shared" si="3"/>
        <v>65.53</v>
      </c>
      <c r="X115" s="1"/>
      <c r="Y115" s="6"/>
      <c r="Z115" s="30">
        <v>1.7</v>
      </c>
      <c r="AA115" s="1"/>
      <c r="AB115" s="6"/>
      <c r="AC115" s="6"/>
      <c r="AD115" s="1">
        <v>0.6</v>
      </c>
      <c r="AE115" s="1"/>
    </row>
    <row r="116" spans="1:31" ht="15" customHeight="1">
      <c r="A116" s="1"/>
      <c r="B116" s="1"/>
      <c r="C116" s="1"/>
      <c r="D116" s="1">
        <v>4</v>
      </c>
      <c r="E116" s="1">
        <v>3.41</v>
      </c>
      <c r="F116" s="1">
        <v>0</v>
      </c>
      <c r="G116" s="1">
        <v>0</v>
      </c>
      <c r="H116" s="1">
        <v>0</v>
      </c>
      <c r="I116" s="1">
        <v>23.549999999999997</v>
      </c>
      <c r="J116" s="1">
        <v>0</v>
      </c>
      <c r="K116" s="1">
        <v>0</v>
      </c>
      <c r="L116" s="1">
        <v>0</v>
      </c>
      <c r="M116" s="1">
        <v>9.99</v>
      </c>
      <c r="N116" s="1">
        <v>0</v>
      </c>
      <c r="O116" s="1">
        <v>0.39</v>
      </c>
      <c r="P116" s="1">
        <v>18.32</v>
      </c>
      <c r="Q116" s="1">
        <v>0</v>
      </c>
      <c r="R116" s="1">
        <v>0</v>
      </c>
      <c r="S116" s="1">
        <v>0.68</v>
      </c>
      <c r="T116" s="1">
        <v>0</v>
      </c>
      <c r="U116" s="1">
        <v>0</v>
      </c>
      <c r="V116" s="1">
        <v>40.630000000000003</v>
      </c>
      <c r="W116" s="1">
        <f t="shared" si="3"/>
        <v>96.97</v>
      </c>
      <c r="X116" s="1"/>
      <c r="Y116" s="6"/>
      <c r="Z116" s="30">
        <v>2</v>
      </c>
      <c r="AA116" s="1"/>
      <c r="AB116" s="6"/>
      <c r="AC116" s="6"/>
      <c r="AD116" s="1">
        <v>1.2</v>
      </c>
      <c r="AE116" s="1"/>
    </row>
    <row r="117" spans="1:31" ht="15" customHeight="1">
      <c r="A117" s="1"/>
      <c r="B117" s="1"/>
      <c r="C117" s="1"/>
      <c r="D117" s="1">
        <v>5</v>
      </c>
      <c r="E117" s="1">
        <v>1.01</v>
      </c>
      <c r="F117" s="1">
        <v>0</v>
      </c>
      <c r="G117" s="1">
        <v>0</v>
      </c>
      <c r="H117" s="1">
        <v>0</v>
      </c>
      <c r="I117" s="1">
        <v>16.79</v>
      </c>
      <c r="J117" s="1">
        <v>0</v>
      </c>
      <c r="K117" s="1">
        <v>0</v>
      </c>
      <c r="L117" s="1">
        <v>0</v>
      </c>
      <c r="M117" s="1">
        <v>0.06</v>
      </c>
      <c r="N117" s="1">
        <v>0</v>
      </c>
      <c r="O117" s="1">
        <v>0.3</v>
      </c>
      <c r="P117" s="1">
        <v>53.099999999999994</v>
      </c>
      <c r="Q117" s="1">
        <v>0</v>
      </c>
      <c r="R117" s="1">
        <v>0</v>
      </c>
      <c r="S117" s="1">
        <v>0.06</v>
      </c>
      <c r="T117" s="1">
        <v>0</v>
      </c>
      <c r="U117" s="1">
        <v>7.0000000000000007E-2</v>
      </c>
      <c r="V117" s="1">
        <v>2.73</v>
      </c>
      <c r="W117" s="1">
        <f t="shared" si="3"/>
        <v>74.11999999999999</v>
      </c>
      <c r="X117" s="1">
        <f>AVERAGE(W113:W117)</f>
        <v>73.78</v>
      </c>
      <c r="Y117" s="6"/>
      <c r="Z117" s="30">
        <v>0.9</v>
      </c>
      <c r="AA117" s="30">
        <f>AVERAGE(Z113:Z117)</f>
        <v>2.14</v>
      </c>
      <c r="AB117" s="6"/>
      <c r="AC117" s="6"/>
      <c r="AD117" s="1">
        <v>0.8</v>
      </c>
      <c r="AE117" s="1">
        <f>AVERAGE(AD113:AD117)</f>
        <v>1.3</v>
      </c>
    </row>
    <row r="118" spans="1:31" ht="15" customHeight="1">
      <c r="A118" s="1"/>
      <c r="B118" s="1"/>
      <c r="C118" s="1">
        <v>4</v>
      </c>
      <c r="D118" s="1">
        <v>1</v>
      </c>
      <c r="E118" s="1">
        <v>5.3</v>
      </c>
      <c r="F118" s="1">
        <v>0</v>
      </c>
      <c r="G118" s="1">
        <v>0</v>
      </c>
      <c r="H118" s="1">
        <v>0</v>
      </c>
      <c r="I118" s="1">
        <v>55.650000000000006</v>
      </c>
      <c r="J118" s="1">
        <v>0</v>
      </c>
      <c r="K118" s="1">
        <v>0</v>
      </c>
      <c r="L118" s="1">
        <v>0</v>
      </c>
      <c r="M118" s="1">
        <v>0</v>
      </c>
      <c r="N118" s="1">
        <v>0</v>
      </c>
      <c r="O118" s="1">
        <v>3.12</v>
      </c>
      <c r="P118" s="1">
        <v>8.23</v>
      </c>
      <c r="Q118" s="1">
        <v>0</v>
      </c>
      <c r="R118" s="1">
        <v>0</v>
      </c>
      <c r="S118" s="1">
        <v>0.04</v>
      </c>
      <c r="T118" s="1">
        <v>0</v>
      </c>
      <c r="U118" s="1">
        <v>0</v>
      </c>
      <c r="V118" s="1">
        <v>0.25</v>
      </c>
      <c r="W118" s="1">
        <f t="shared" si="3"/>
        <v>72.590000000000018</v>
      </c>
      <c r="X118" s="1"/>
      <c r="Y118" s="6"/>
      <c r="Z118" s="30">
        <v>1.2</v>
      </c>
      <c r="AA118" s="1"/>
      <c r="AB118" s="6"/>
      <c r="AC118" s="6"/>
      <c r="AD118" s="1">
        <v>0.8</v>
      </c>
      <c r="AE118" s="1"/>
    </row>
    <row r="119" spans="1:31" ht="15" customHeight="1">
      <c r="A119" s="1"/>
      <c r="B119" s="1"/>
      <c r="C119" s="1"/>
      <c r="D119" s="1">
        <v>2</v>
      </c>
      <c r="E119" s="1">
        <v>0.06</v>
      </c>
      <c r="F119" s="1">
        <v>0</v>
      </c>
      <c r="G119" s="1">
        <v>0</v>
      </c>
      <c r="H119" s="1">
        <v>0</v>
      </c>
      <c r="I119" s="1">
        <v>47.91</v>
      </c>
      <c r="J119" s="1">
        <v>0</v>
      </c>
      <c r="K119" s="1">
        <v>0</v>
      </c>
      <c r="L119" s="1">
        <v>0</v>
      </c>
      <c r="M119" s="1">
        <v>0.06</v>
      </c>
      <c r="N119" s="1">
        <v>0</v>
      </c>
      <c r="O119" s="1">
        <v>0</v>
      </c>
      <c r="P119" s="1">
        <v>23.35</v>
      </c>
      <c r="Q119" s="1">
        <v>0</v>
      </c>
      <c r="R119" s="1">
        <v>0</v>
      </c>
      <c r="S119" s="1">
        <v>0.31</v>
      </c>
      <c r="T119" s="1">
        <v>0</v>
      </c>
      <c r="U119" s="1">
        <v>0</v>
      </c>
      <c r="V119" s="1">
        <v>6.62</v>
      </c>
      <c r="W119" s="1">
        <f t="shared" si="3"/>
        <v>78.31</v>
      </c>
      <c r="X119" s="1"/>
      <c r="Y119" s="6"/>
      <c r="Z119" s="30">
        <v>1.6</v>
      </c>
      <c r="AA119" s="1"/>
      <c r="AB119" s="6"/>
      <c r="AC119" s="6"/>
      <c r="AD119" s="1">
        <v>0.6</v>
      </c>
      <c r="AE119" s="1"/>
    </row>
    <row r="120" spans="1:31" ht="15" customHeight="1">
      <c r="A120" s="1"/>
      <c r="B120" s="1"/>
      <c r="C120" s="1"/>
      <c r="D120" s="1">
        <v>3</v>
      </c>
      <c r="E120" s="1">
        <v>0.52</v>
      </c>
      <c r="F120" s="1">
        <v>0</v>
      </c>
      <c r="G120" s="1">
        <v>0</v>
      </c>
      <c r="H120" s="1">
        <v>0</v>
      </c>
      <c r="I120" s="1">
        <v>54.03</v>
      </c>
      <c r="J120" s="1">
        <v>0</v>
      </c>
      <c r="K120" s="1">
        <v>0</v>
      </c>
      <c r="L120" s="1">
        <v>0</v>
      </c>
      <c r="M120" s="1">
        <v>0</v>
      </c>
      <c r="N120" s="1">
        <v>0</v>
      </c>
      <c r="O120" s="1">
        <v>1.25</v>
      </c>
      <c r="P120" s="1">
        <v>8.75</v>
      </c>
      <c r="Q120" s="1">
        <v>0</v>
      </c>
      <c r="R120" s="1">
        <v>0</v>
      </c>
      <c r="S120" s="1">
        <v>7.0000000000000007E-2</v>
      </c>
      <c r="T120" s="1">
        <v>0</v>
      </c>
      <c r="U120" s="1">
        <v>0</v>
      </c>
      <c r="V120" s="1">
        <v>0</v>
      </c>
      <c r="W120" s="1">
        <f t="shared" si="3"/>
        <v>64.62</v>
      </c>
      <c r="X120" s="1"/>
      <c r="Y120" s="6"/>
      <c r="Z120" s="30">
        <v>2.8</v>
      </c>
      <c r="AA120" s="1"/>
      <c r="AB120" s="6"/>
      <c r="AC120" s="6"/>
      <c r="AD120" s="1">
        <v>2.5</v>
      </c>
      <c r="AE120" s="1"/>
    </row>
    <row r="121" spans="1:31" ht="15" customHeight="1">
      <c r="A121" s="1"/>
      <c r="B121" s="1"/>
      <c r="C121" s="1"/>
      <c r="D121" s="1">
        <v>4</v>
      </c>
      <c r="E121" s="1">
        <v>0.16</v>
      </c>
      <c r="F121" s="1">
        <v>0</v>
      </c>
      <c r="G121" s="1">
        <v>0</v>
      </c>
      <c r="H121" s="1">
        <v>0</v>
      </c>
      <c r="I121" s="1">
        <v>43.35</v>
      </c>
      <c r="J121" s="1">
        <v>0</v>
      </c>
      <c r="K121" s="1">
        <v>0</v>
      </c>
      <c r="L121" s="1">
        <v>0</v>
      </c>
      <c r="M121" s="1">
        <v>0</v>
      </c>
      <c r="N121" s="1">
        <v>0</v>
      </c>
      <c r="O121" s="1">
        <v>0.62</v>
      </c>
      <c r="P121" s="1">
        <v>4.9000000000000004</v>
      </c>
      <c r="Q121" s="1">
        <v>0</v>
      </c>
      <c r="R121" s="1">
        <v>0</v>
      </c>
      <c r="S121" s="1">
        <v>0.03</v>
      </c>
      <c r="T121" s="1">
        <v>0</v>
      </c>
      <c r="U121" s="1">
        <v>0</v>
      </c>
      <c r="V121" s="1">
        <v>0.77</v>
      </c>
      <c r="W121" s="1">
        <f t="shared" si="3"/>
        <v>49.83</v>
      </c>
      <c r="X121" s="1"/>
      <c r="Y121" s="6"/>
      <c r="Z121" s="30">
        <v>4.2</v>
      </c>
      <c r="AA121" s="1"/>
      <c r="AB121" s="6"/>
      <c r="AC121" s="6"/>
      <c r="AD121" s="35">
        <v>26.1</v>
      </c>
      <c r="AE121" s="1"/>
    </row>
    <row r="122" spans="1:31" ht="15" customHeight="1">
      <c r="A122" s="1"/>
      <c r="B122" s="1"/>
      <c r="C122" s="1"/>
      <c r="D122" s="1">
        <v>5</v>
      </c>
      <c r="E122" s="1">
        <v>0.22</v>
      </c>
      <c r="F122" s="1">
        <v>0</v>
      </c>
      <c r="G122" s="1">
        <v>0</v>
      </c>
      <c r="H122" s="1">
        <v>0</v>
      </c>
      <c r="I122" s="1">
        <v>30.490000000000002</v>
      </c>
      <c r="J122" s="1">
        <v>0</v>
      </c>
      <c r="K122" s="1">
        <v>0</v>
      </c>
      <c r="L122" s="1">
        <v>0</v>
      </c>
      <c r="M122" s="1">
        <v>0</v>
      </c>
      <c r="N122" s="1">
        <v>0</v>
      </c>
      <c r="O122" s="1">
        <v>3.01</v>
      </c>
      <c r="P122" s="1">
        <v>33.57</v>
      </c>
      <c r="Q122" s="1">
        <v>0</v>
      </c>
      <c r="R122" s="1">
        <v>0</v>
      </c>
      <c r="S122" s="1">
        <v>2.19</v>
      </c>
      <c r="T122" s="1">
        <v>0</v>
      </c>
      <c r="U122" s="1">
        <v>0.42</v>
      </c>
      <c r="V122" s="1">
        <v>7.46</v>
      </c>
      <c r="W122" s="1">
        <f t="shared" si="3"/>
        <v>77.359999999999985</v>
      </c>
      <c r="X122" s="1">
        <f>AVERAGE(W118:W122)</f>
        <v>68.542000000000002</v>
      </c>
      <c r="Y122" s="6"/>
      <c r="Z122" s="30">
        <v>1.1000000000000001</v>
      </c>
      <c r="AA122" s="30">
        <f>AVERAGE(Z118:Z122)</f>
        <v>2.1800000000000002</v>
      </c>
      <c r="AB122" s="6"/>
      <c r="AC122" s="6"/>
      <c r="AD122" s="1">
        <v>12.3</v>
      </c>
      <c r="AE122" s="1">
        <f>AVERAGE(AD118:AD122)</f>
        <v>8.4599999999999991</v>
      </c>
    </row>
    <row r="123" spans="1:31" ht="15" customHeight="1">
      <c r="A123" s="1" t="s">
        <v>37</v>
      </c>
      <c r="B123" s="1" t="s">
        <v>102</v>
      </c>
      <c r="C123" s="1">
        <v>1</v>
      </c>
      <c r="D123" s="1">
        <v>1</v>
      </c>
      <c r="E123" s="1">
        <v>0</v>
      </c>
      <c r="F123" s="1">
        <v>0</v>
      </c>
      <c r="G123" s="1">
        <v>0</v>
      </c>
      <c r="H123" s="1">
        <v>0</v>
      </c>
      <c r="I123" s="1">
        <v>24.99</v>
      </c>
      <c r="J123" s="1">
        <v>0</v>
      </c>
      <c r="K123" s="1">
        <v>0</v>
      </c>
      <c r="L123" s="1">
        <v>0</v>
      </c>
      <c r="M123" s="1">
        <v>0</v>
      </c>
      <c r="N123" s="1">
        <v>0</v>
      </c>
      <c r="O123" s="1">
        <v>10.52</v>
      </c>
      <c r="P123" s="1">
        <v>15.27</v>
      </c>
      <c r="Q123" s="1">
        <v>0.72</v>
      </c>
      <c r="R123" s="1">
        <v>0</v>
      </c>
      <c r="S123" s="1">
        <v>0</v>
      </c>
      <c r="T123" s="1">
        <v>0</v>
      </c>
      <c r="U123" s="1">
        <v>0</v>
      </c>
      <c r="V123" s="1">
        <v>5.72</v>
      </c>
      <c r="W123" s="1">
        <f t="shared" si="3"/>
        <v>57.22</v>
      </c>
      <c r="X123" s="1"/>
      <c r="Y123" s="6"/>
      <c r="Z123" s="30">
        <v>10</v>
      </c>
      <c r="AA123" s="1"/>
      <c r="AB123" s="6"/>
      <c r="AC123" s="6"/>
      <c r="AD123" s="1">
        <v>2.4</v>
      </c>
      <c r="AE123" s="1"/>
    </row>
    <row r="124" spans="1:31" ht="15" customHeight="1">
      <c r="A124" s="1"/>
      <c r="B124" s="1"/>
      <c r="C124" s="1"/>
      <c r="D124" s="1">
        <v>2</v>
      </c>
      <c r="E124" s="1">
        <v>0</v>
      </c>
      <c r="F124" s="1">
        <v>0</v>
      </c>
      <c r="G124" s="1">
        <v>0</v>
      </c>
      <c r="H124" s="1">
        <v>0</v>
      </c>
      <c r="I124" s="1">
        <v>19.259999999999998</v>
      </c>
      <c r="J124" s="1">
        <v>0</v>
      </c>
      <c r="K124" s="1">
        <v>0</v>
      </c>
      <c r="L124" s="1">
        <v>0</v>
      </c>
      <c r="M124" s="1">
        <v>0</v>
      </c>
      <c r="N124" s="1">
        <v>0</v>
      </c>
      <c r="O124" s="1">
        <v>0.77</v>
      </c>
      <c r="P124" s="1">
        <v>65.23</v>
      </c>
      <c r="Q124" s="1">
        <v>0</v>
      </c>
      <c r="R124" s="1">
        <v>0</v>
      </c>
      <c r="S124" s="1">
        <v>0</v>
      </c>
      <c r="T124" s="1">
        <v>0</v>
      </c>
      <c r="U124" s="1">
        <v>0</v>
      </c>
      <c r="V124" s="1">
        <v>13.96</v>
      </c>
      <c r="W124" s="1">
        <f t="shared" si="3"/>
        <v>99.22</v>
      </c>
      <c r="X124" s="1"/>
      <c r="Y124" s="6"/>
      <c r="Z124" s="30">
        <v>19.8</v>
      </c>
      <c r="AA124" s="1"/>
      <c r="AB124" s="6"/>
      <c r="AC124" s="6"/>
      <c r="AD124" s="1">
        <v>1.4</v>
      </c>
      <c r="AE124" s="1"/>
    </row>
    <row r="125" spans="1:31" ht="15" customHeight="1">
      <c r="A125" s="1"/>
      <c r="B125" s="1"/>
      <c r="C125" s="1"/>
      <c r="D125" s="1">
        <v>3</v>
      </c>
      <c r="E125" s="1">
        <v>0</v>
      </c>
      <c r="F125" s="1">
        <v>0</v>
      </c>
      <c r="G125" s="1">
        <v>0</v>
      </c>
      <c r="H125" s="1">
        <v>0</v>
      </c>
      <c r="I125" s="1">
        <v>34.58</v>
      </c>
      <c r="J125" s="1">
        <v>0</v>
      </c>
      <c r="K125" s="1">
        <v>0</v>
      </c>
      <c r="L125" s="1">
        <v>0</v>
      </c>
      <c r="M125" s="1">
        <v>0</v>
      </c>
      <c r="N125" s="1">
        <v>0</v>
      </c>
      <c r="O125" s="1">
        <v>14.53</v>
      </c>
      <c r="P125" s="1">
        <v>27.54</v>
      </c>
      <c r="Q125" s="1">
        <v>0</v>
      </c>
      <c r="R125" s="1">
        <v>0</v>
      </c>
      <c r="S125" s="1">
        <v>0</v>
      </c>
      <c r="T125" s="1">
        <v>0</v>
      </c>
      <c r="U125" s="1">
        <v>0.05</v>
      </c>
      <c r="V125" s="1">
        <v>15.72</v>
      </c>
      <c r="W125" s="1">
        <f t="shared" si="3"/>
        <v>92.42</v>
      </c>
      <c r="X125" s="1"/>
      <c r="Y125" s="6"/>
      <c r="Z125" s="30">
        <v>17.899999999999999</v>
      </c>
      <c r="AA125" s="1"/>
      <c r="AB125" s="6"/>
      <c r="AC125" s="6"/>
      <c r="AD125" s="1">
        <v>0.7</v>
      </c>
      <c r="AE125" s="1"/>
    </row>
    <row r="126" spans="1:31" ht="15" customHeight="1">
      <c r="A126" s="1"/>
      <c r="B126" s="1"/>
      <c r="C126" s="1"/>
      <c r="D126" s="1">
        <v>4</v>
      </c>
      <c r="E126" s="1">
        <v>0.08</v>
      </c>
      <c r="F126" s="1">
        <v>0</v>
      </c>
      <c r="G126" s="1">
        <v>0</v>
      </c>
      <c r="H126" s="1">
        <v>0</v>
      </c>
      <c r="I126" s="1">
        <v>23.520000000000003</v>
      </c>
      <c r="J126" s="1">
        <v>0</v>
      </c>
      <c r="K126" s="1">
        <v>0</v>
      </c>
      <c r="L126" s="1">
        <v>0</v>
      </c>
      <c r="M126" s="1">
        <v>0</v>
      </c>
      <c r="N126" s="1">
        <v>0</v>
      </c>
      <c r="O126" s="1">
        <v>1.25</v>
      </c>
      <c r="P126" s="1">
        <v>40.700000000000003</v>
      </c>
      <c r="Q126" s="1">
        <v>0</v>
      </c>
      <c r="R126" s="1">
        <v>0</v>
      </c>
      <c r="S126" s="1">
        <v>0</v>
      </c>
      <c r="T126" s="1">
        <v>0</v>
      </c>
      <c r="U126" s="1">
        <v>0</v>
      </c>
      <c r="V126" s="1">
        <v>39.25</v>
      </c>
      <c r="W126" s="1">
        <f t="shared" si="3"/>
        <v>104.80000000000001</v>
      </c>
      <c r="X126" s="1"/>
      <c r="Y126" s="6"/>
      <c r="Z126" s="30">
        <v>15.4</v>
      </c>
      <c r="AA126" s="1"/>
      <c r="AB126" s="6"/>
      <c r="AC126" s="6"/>
      <c r="AD126" s="1">
        <v>0.8</v>
      </c>
      <c r="AE126" s="1"/>
    </row>
    <row r="127" spans="1:31" ht="15" customHeight="1">
      <c r="A127" s="1"/>
      <c r="B127" s="1"/>
      <c r="C127" s="1"/>
      <c r="D127" s="1">
        <v>5</v>
      </c>
      <c r="E127" s="1">
        <v>0</v>
      </c>
      <c r="F127" s="1">
        <v>0</v>
      </c>
      <c r="G127" s="1">
        <v>0</v>
      </c>
      <c r="H127" s="1">
        <v>0</v>
      </c>
      <c r="I127" s="1">
        <v>25.42</v>
      </c>
      <c r="J127" s="1">
        <v>0</v>
      </c>
      <c r="K127" s="1">
        <v>0</v>
      </c>
      <c r="L127" s="1">
        <v>0</v>
      </c>
      <c r="M127" s="1">
        <v>0</v>
      </c>
      <c r="N127" s="1">
        <v>0</v>
      </c>
      <c r="O127" s="1">
        <v>2.2599999999999998</v>
      </c>
      <c r="P127" s="1">
        <v>32.78</v>
      </c>
      <c r="Q127" s="1">
        <v>0</v>
      </c>
      <c r="R127" s="1">
        <v>0</v>
      </c>
      <c r="S127" s="1">
        <v>0</v>
      </c>
      <c r="T127" s="1">
        <v>0</v>
      </c>
      <c r="U127" s="1">
        <v>0</v>
      </c>
      <c r="V127" s="1">
        <v>14.12</v>
      </c>
      <c r="W127" s="1">
        <f t="shared" si="3"/>
        <v>74.58</v>
      </c>
      <c r="X127" s="1">
        <f>AVERAGE(W123:W127)</f>
        <v>85.647999999999996</v>
      </c>
      <c r="Y127" s="6"/>
      <c r="Z127" s="30">
        <v>13.5</v>
      </c>
      <c r="AA127" s="30">
        <f>AVERAGE(Z123:Z127)</f>
        <v>15.319999999999999</v>
      </c>
      <c r="AB127" s="6"/>
      <c r="AC127" s="6"/>
      <c r="AD127" s="1">
        <v>4.3</v>
      </c>
      <c r="AE127" s="1">
        <f>AVERAGE(AD123:AD127)</f>
        <v>1.92</v>
      </c>
    </row>
    <row r="128" spans="1:31" ht="15" customHeight="1">
      <c r="A128" s="1"/>
      <c r="B128" s="1"/>
      <c r="C128" s="1">
        <v>2</v>
      </c>
      <c r="D128" s="1">
        <v>1</v>
      </c>
      <c r="E128" s="1">
        <v>0.16</v>
      </c>
      <c r="F128" s="1">
        <v>0</v>
      </c>
      <c r="G128" s="1">
        <v>0</v>
      </c>
      <c r="H128" s="1">
        <v>0</v>
      </c>
      <c r="I128" s="1">
        <v>23.4</v>
      </c>
      <c r="J128" s="1">
        <v>0</v>
      </c>
      <c r="K128" s="1">
        <v>0</v>
      </c>
      <c r="L128" s="1">
        <v>0</v>
      </c>
      <c r="M128" s="1">
        <v>0</v>
      </c>
      <c r="N128" s="1">
        <v>0</v>
      </c>
      <c r="O128" s="1">
        <v>9.93</v>
      </c>
      <c r="P128" s="1">
        <v>33.08</v>
      </c>
      <c r="Q128" s="1">
        <v>0</v>
      </c>
      <c r="R128" s="1">
        <v>0</v>
      </c>
      <c r="S128" s="1">
        <v>0</v>
      </c>
      <c r="T128" s="1">
        <v>0</v>
      </c>
      <c r="U128" s="1">
        <v>0</v>
      </c>
      <c r="V128" s="1">
        <v>21.04</v>
      </c>
      <c r="W128" s="1">
        <f t="shared" si="3"/>
        <v>87.609999999999985</v>
      </c>
      <c r="X128" s="1"/>
      <c r="Y128" s="6"/>
      <c r="Z128" s="30">
        <v>14.4</v>
      </c>
      <c r="AA128" s="1"/>
      <c r="AB128" s="6"/>
      <c r="AC128" s="6"/>
      <c r="AD128" s="1">
        <v>1.8</v>
      </c>
      <c r="AE128" s="1"/>
    </row>
    <row r="129" spans="1:31" ht="15" customHeight="1">
      <c r="A129" s="1"/>
      <c r="B129" s="1"/>
      <c r="C129" s="1"/>
      <c r="D129" s="1">
        <v>2</v>
      </c>
      <c r="E129" s="1">
        <v>0</v>
      </c>
      <c r="F129" s="1">
        <v>0</v>
      </c>
      <c r="G129" s="1">
        <v>0</v>
      </c>
      <c r="H129" s="1">
        <v>0</v>
      </c>
      <c r="I129" s="1">
        <v>27.97</v>
      </c>
      <c r="J129" s="1">
        <v>0</v>
      </c>
      <c r="K129" s="1">
        <v>0</v>
      </c>
      <c r="L129" s="1">
        <v>0</v>
      </c>
      <c r="M129" s="1">
        <v>0</v>
      </c>
      <c r="N129" s="1">
        <v>0</v>
      </c>
      <c r="O129" s="1">
        <v>12.25</v>
      </c>
      <c r="P129" s="1">
        <v>53.59</v>
      </c>
      <c r="Q129" s="1">
        <v>0</v>
      </c>
      <c r="R129" s="1">
        <v>0</v>
      </c>
      <c r="S129" s="1">
        <v>0</v>
      </c>
      <c r="T129" s="1">
        <v>0</v>
      </c>
      <c r="U129" s="1">
        <v>0</v>
      </c>
      <c r="V129" s="1">
        <v>20.46</v>
      </c>
      <c r="W129" s="1">
        <f t="shared" si="3"/>
        <v>114.27000000000001</v>
      </c>
      <c r="X129" s="1"/>
      <c r="Y129" s="6"/>
      <c r="Z129" s="30">
        <v>19.5</v>
      </c>
      <c r="AA129" s="1"/>
      <c r="AB129" s="6"/>
      <c r="AC129" s="6"/>
      <c r="AD129" s="35">
        <v>14.9</v>
      </c>
      <c r="AE129" s="1"/>
    </row>
    <row r="130" spans="1:31" ht="15" customHeight="1">
      <c r="A130" s="1"/>
      <c r="B130" s="1"/>
      <c r="C130" s="1"/>
      <c r="D130" s="1">
        <v>3</v>
      </c>
      <c r="E130" s="1">
        <v>0</v>
      </c>
      <c r="F130" s="1">
        <v>0</v>
      </c>
      <c r="G130" s="1">
        <v>0</v>
      </c>
      <c r="H130" s="1">
        <v>0</v>
      </c>
      <c r="I130" s="1">
        <v>16.759999999999998</v>
      </c>
      <c r="J130" s="1">
        <v>0</v>
      </c>
      <c r="K130" s="1">
        <v>0</v>
      </c>
      <c r="L130" s="1">
        <v>0</v>
      </c>
      <c r="M130" s="1">
        <v>0</v>
      </c>
      <c r="N130" s="1">
        <v>0</v>
      </c>
      <c r="O130" s="1">
        <v>9.76</v>
      </c>
      <c r="P130" s="1">
        <v>54.379999999999995</v>
      </c>
      <c r="Q130" s="1">
        <v>0</v>
      </c>
      <c r="R130" s="1">
        <v>0</v>
      </c>
      <c r="S130" s="1">
        <v>0</v>
      </c>
      <c r="T130" s="1">
        <v>0</v>
      </c>
      <c r="U130" s="1">
        <v>0.54</v>
      </c>
      <c r="V130" s="1">
        <v>3</v>
      </c>
      <c r="W130" s="1">
        <f t="shared" si="3"/>
        <v>84.44</v>
      </c>
      <c r="X130" s="1"/>
      <c r="Y130" s="6"/>
      <c r="Z130" s="30">
        <v>14.7</v>
      </c>
      <c r="AA130" s="1"/>
      <c r="AB130" s="6"/>
      <c r="AC130" s="6"/>
      <c r="AD130" s="1">
        <v>3</v>
      </c>
      <c r="AE130" s="1"/>
    </row>
    <row r="131" spans="1:31" ht="15" customHeight="1">
      <c r="A131" s="1"/>
      <c r="B131" s="1"/>
      <c r="C131" s="1"/>
      <c r="D131" s="1">
        <v>4</v>
      </c>
      <c r="E131" s="1">
        <v>0.4</v>
      </c>
      <c r="F131" s="1">
        <v>0</v>
      </c>
      <c r="G131" s="1">
        <v>0</v>
      </c>
      <c r="H131" s="1">
        <v>0</v>
      </c>
      <c r="I131" s="1">
        <v>20.83</v>
      </c>
      <c r="J131" s="1">
        <v>0</v>
      </c>
      <c r="K131" s="1">
        <v>0</v>
      </c>
      <c r="L131" s="1">
        <v>0</v>
      </c>
      <c r="M131" s="1">
        <v>0</v>
      </c>
      <c r="N131" s="1">
        <v>0</v>
      </c>
      <c r="O131" s="1">
        <v>9.7200000000000006</v>
      </c>
      <c r="P131" s="1">
        <v>63.980000000000004</v>
      </c>
      <c r="Q131" s="1">
        <v>0</v>
      </c>
      <c r="R131" s="1">
        <v>0</v>
      </c>
      <c r="S131" s="1">
        <v>0</v>
      </c>
      <c r="T131" s="1">
        <v>0</v>
      </c>
      <c r="U131" s="1">
        <v>0</v>
      </c>
      <c r="V131" s="1">
        <v>3.03</v>
      </c>
      <c r="W131" s="1">
        <f t="shared" si="3"/>
        <v>97.960000000000008</v>
      </c>
      <c r="X131" s="1"/>
      <c r="Y131" s="6"/>
      <c r="Z131" s="30">
        <v>10.7</v>
      </c>
      <c r="AA131" s="1"/>
      <c r="AB131" s="6"/>
      <c r="AC131" s="6"/>
      <c r="AD131" s="1">
        <v>1.1000000000000001</v>
      </c>
      <c r="AE131" s="1"/>
    </row>
    <row r="132" spans="1:31" ht="15" customHeight="1">
      <c r="A132" s="1"/>
      <c r="B132" s="1"/>
      <c r="C132" s="1"/>
      <c r="D132" s="1">
        <v>5</v>
      </c>
      <c r="E132" s="1">
        <v>0</v>
      </c>
      <c r="F132" s="1">
        <v>0</v>
      </c>
      <c r="G132" s="1">
        <v>0</v>
      </c>
      <c r="H132" s="1">
        <v>0</v>
      </c>
      <c r="I132" s="1">
        <v>16.940000000000001</v>
      </c>
      <c r="J132" s="1">
        <v>0</v>
      </c>
      <c r="K132" s="1">
        <v>0</v>
      </c>
      <c r="L132" s="1">
        <v>0</v>
      </c>
      <c r="M132" s="1">
        <v>0</v>
      </c>
      <c r="N132" s="1">
        <v>0</v>
      </c>
      <c r="O132" s="1">
        <v>10.1</v>
      </c>
      <c r="P132" s="1">
        <v>42.42</v>
      </c>
      <c r="Q132" s="1">
        <v>1.3</v>
      </c>
      <c r="R132" s="1">
        <v>0</v>
      </c>
      <c r="S132" s="1">
        <v>0</v>
      </c>
      <c r="T132" s="1">
        <v>0</v>
      </c>
      <c r="U132" s="1">
        <v>0</v>
      </c>
      <c r="V132" s="1">
        <v>3.04</v>
      </c>
      <c r="W132" s="1">
        <f t="shared" si="3"/>
        <v>73.800000000000011</v>
      </c>
      <c r="X132" s="1">
        <f>AVERAGE(W128:W132)</f>
        <v>91.616</v>
      </c>
      <c r="Y132" s="6"/>
      <c r="Z132" s="30">
        <v>21.1</v>
      </c>
      <c r="AA132" s="30">
        <f>AVERAGE(Z128:Z132)</f>
        <v>16.080000000000002</v>
      </c>
      <c r="AB132" s="6"/>
      <c r="AC132" s="6"/>
      <c r="AD132" s="1">
        <v>4.9000000000000004</v>
      </c>
      <c r="AE132" s="1">
        <f>AVERAGE(AD128:AD132)</f>
        <v>5.1400000000000006</v>
      </c>
    </row>
    <row r="133" spans="1:31" ht="15" customHeight="1">
      <c r="A133" s="1"/>
      <c r="B133" s="1"/>
      <c r="C133" s="1">
        <v>3</v>
      </c>
      <c r="D133" s="1">
        <v>1</v>
      </c>
      <c r="E133" s="1">
        <v>0.66</v>
      </c>
      <c r="F133" s="1">
        <v>0</v>
      </c>
      <c r="G133" s="1">
        <v>0</v>
      </c>
      <c r="H133" s="1">
        <v>0</v>
      </c>
      <c r="I133" s="1">
        <v>20.450000000000003</v>
      </c>
      <c r="J133" s="1">
        <v>0</v>
      </c>
      <c r="K133" s="1">
        <v>0</v>
      </c>
      <c r="L133" s="1">
        <v>0</v>
      </c>
      <c r="M133" s="1">
        <v>0</v>
      </c>
      <c r="N133" s="1">
        <v>0</v>
      </c>
      <c r="O133" s="1">
        <v>0.11</v>
      </c>
      <c r="P133" s="1">
        <v>41.43</v>
      </c>
      <c r="Q133" s="1">
        <v>0</v>
      </c>
      <c r="R133" s="1">
        <v>0</v>
      </c>
      <c r="S133" s="1">
        <v>0</v>
      </c>
      <c r="T133" s="1">
        <v>0</v>
      </c>
      <c r="U133" s="1">
        <v>0.1</v>
      </c>
      <c r="V133" s="1">
        <v>6.52</v>
      </c>
      <c r="W133" s="1">
        <f t="shared" si="3"/>
        <v>69.27000000000001</v>
      </c>
      <c r="X133" s="1"/>
      <c r="Y133" s="6"/>
      <c r="Z133" s="30">
        <v>16.8</v>
      </c>
      <c r="AA133" s="1"/>
      <c r="AB133" s="6"/>
      <c r="AC133" s="6"/>
      <c r="AD133" s="1">
        <v>2</v>
      </c>
      <c r="AE133" s="1"/>
    </row>
    <row r="134" spans="1:31" ht="15" customHeight="1">
      <c r="A134" s="1"/>
      <c r="B134" s="1"/>
      <c r="C134" s="1"/>
      <c r="D134" s="1">
        <v>2</v>
      </c>
      <c r="E134" s="1">
        <v>0</v>
      </c>
      <c r="F134" s="1">
        <v>0</v>
      </c>
      <c r="G134" s="1">
        <v>0</v>
      </c>
      <c r="H134" s="1">
        <v>0</v>
      </c>
      <c r="I134" s="1">
        <v>23.83</v>
      </c>
      <c r="J134" s="1">
        <v>0</v>
      </c>
      <c r="K134" s="1">
        <v>0</v>
      </c>
      <c r="L134" s="1">
        <v>0</v>
      </c>
      <c r="M134" s="1">
        <v>0</v>
      </c>
      <c r="N134" s="1">
        <v>0</v>
      </c>
      <c r="O134" s="1">
        <v>12.58</v>
      </c>
      <c r="P134" s="1">
        <v>0</v>
      </c>
      <c r="Q134" s="1">
        <v>0</v>
      </c>
      <c r="R134" s="1">
        <v>0</v>
      </c>
      <c r="S134" s="1">
        <v>0</v>
      </c>
      <c r="T134" s="1">
        <v>0</v>
      </c>
      <c r="U134" s="1">
        <v>0</v>
      </c>
      <c r="V134" s="1">
        <v>12.02</v>
      </c>
      <c r="W134" s="1">
        <f t="shared" si="3"/>
        <v>48.429999999999993</v>
      </c>
      <c r="X134" s="1"/>
      <c r="Y134" s="6"/>
      <c r="Z134" s="30">
        <v>28.5</v>
      </c>
      <c r="AA134" s="1"/>
      <c r="AB134" s="6"/>
      <c r="AC134" s="6"/>
      <c r="AD134" s="1">
        <v>0.6</v>
      </c>
      <c r="AE134" s="1"/>
    </row>
    <row r="135" spans="1:31" ht="15" customHeight="1">
      <c r="A135" s="1"/>
      <c r="B135" s="1"/>
      <c r="C135" s="1"/>
      <c r="D135" s="1">
        <v>3</v>
      </c>
      <c r="E135" s="1">
        <v>0</v>
      </c>
      <c r="F135" s="1">
        <v>0</v>
      </c>
      <c r="G135" s="1">
        <v>0</v>
      </c>
      <c r="H135" s="1">
        <v>0</v>
      </c>
      <c r="I135" s="1">
        <v>20.32</v>
      </c>
      <c r="J135" s="1">
        <v>0</v>
      </c>
      <c r="K135" s="1">
        <v>0</v>
      </c>
      <c r="L135" s="1">
        <v>0</v>
      </c>
      <c r="M135" s="1">
        <v>0</v>
      </c>
      <c r="N135" s="1">
        <v>0</v>
      </c>
      <c r="O135" s="1">
        <v>0.43</v>
      </c>
      <c r="P135" s="1">
        <v>58.69</v>
      </c>
      <c r="Q135" s="1">
        <v>0</v>
      </c>
      <c r="R135" s="1">
        <v>0</v>
      </c>
      <c r="S135" s="1">
        <v>0</v>
      </c>
      <c r="T135" s="1">
        <v>0</v>
      </c>
      <c r="U135" s="1">
        <v>0</v>
      </c>
      <c r="V135" s="1">
        <v>4.63</v>
      </c>
      <c r="W135" s="1">
        <f t="shared" si="3"/>
        <v>84.07</v>
      </c>
      <c r="X135" s="1"/>
      <c r="Y135" s="6"/>
      <c r="Z135" s="30">
        <v>29.7</v>
      </c>
      <c r="AA135" s="1"/>
      <c r="AB135" s="6"/>
      <c r="AC135" s="6"/>
      <c r="AD135" s="1">
        <v>1.8</v>
      </c>
      <c r="AE135" s="1"/>
    </row>
    <row r="136" spans="1:31" ht="15" customHeight="1">
      <c r="A136" s="1"/>
      <c r="B136" s="1"/>
      <c r="C136" s="1"/>
      <c r="D136" s="1">
        <v>4</v>
      </c>
      <c r="E136" s="1">
        <v>0</v>
      </c>
      <c r="F136" s="1">
        <v>0</v>
      </c>
      <c r="G136" s="1">
        <v>0</v>
      </c>
      <c r="H136" s="1">
        <v>0</v>
      </c>
      <c r="I136" s="1">
        <v>25.83</v>
      </c>
      <c r="J136" s="1">
        <v>0</v>
      </c>
      <c r="K136" s="1">
        <v>0</v>
      </c>
      <c r="L136" s="1">
        <v>1.37</v>
      </c>
      <c r="M136" s="1">
        <v>0</v>
      </c>
      <c r="N136" s="1">
        <v>0</v>
      </c>
      <c r="O136" s="1">
        <v>7.0000000000000007E-2</v>
      </c>
      <c r="P136" s="1">
        <v>55.76</v>
      </c>
      <c r="Q136" s="1">
        <v>0</v>
      </c>
      <c r="R136" s="1">
        <v>0</v>
      </c>
      <c r="S136" s="1">
        <v>0</v>
      </c>
      <c r="T136" s="1">
        <v>0</v>
      </c>
      <c r="U136" s="1">
        <v>0</v>
      </c>
      <c r="V136" s="1">
        <v>1.22</v>
      </c>
      <c r="W136" s="1">
        <f t="shared" si="3"/>
        <v>84.25</v>
      </c>
      <c r="X136" s="1"/>
      <c r="Y136" s="6"/>
      <c r="Z136" s="30">
        <v>10.5</v>
      </c>
      <c r="AA136" s="1"/>
      <c r="AB136" s="6"/>
      <c r="AC136" s="6"/>
      <c r="AD136" s="1">
        <v>0.8</v>
      </c>
      <c r="AE136" s="1"/>
    </row>
    <row r="137" spans="1:31" ht="15" customHeight="1">
      <c r="A137" s="1"/>
      <c r="B137" s="1"/>
      <c r="C137" s="1"/>
      <c r="D137" s="1">
        <v>5</v>
      </c>
      <c r="E137" s="1">
        <v>0</v>
      </c>
      <c r="F137" s="1">
        <v>0</v>
      </c>
      <c r="G137" s="1">
        <v>0</v>
      </c>
      <c r="H137" s="1">
        <v>0</v>
      </c>
      <c r="I137" s="1">
        <v>18.3</v>
      </c>
      <c r="J137" s="1">
        <v>0</v>
      </c>
      <c r="K137" s="1">
        <v>0</v>
      </c>
      <c r="L137" s="1">
        <v>0</v>
      </c>
      <c r="M137" s="1">
        <v>0</v>
      </c>
      <c r="N137" s="1">
        <v>0</v>
      </c>
      <c r="O137" s="1">
        <v>1.26</v>
      </c>
      <c r="P137" s="1">
        <v>42.88</v>
      </c>
      <c r="Q137" s="1">
        <v>0</v>
      </c>
      <c r="R137" s="1">
        <v>0</v>
      </c>
      <c r="S137" s="1">
        <v>0</v>
      </c>
      <c r="T137" s="1">
        <v>0</v>
      </c>
      <c r="U137" s="1">
        <v>0</v>
      </c>
      <c r="V137" s="1">
        <v>2.64</v>
      </c>
      <c r="W137" s="1">
        <f t="shared" si="3"/>
        <v>65.08</v>
      </c>
      <c r="X137" s="1">
        <f>AVERAGE(W133:W137)</f>
        <v>70.22</v>
      </c>
      <c r="Y137" s="6"/>
      <c r="Z137" s="30">
        <v>19.100000000000001</v>
      </c>
      <c r="AA137" s="30">
        <f>AVERAGE(Z133:Z137)</f>
        <v>20.919999999999998</v>
      </c>
      <c r="AB137" s="6"/>
      <c r="AC137" s="6"/>
      <c r="AD137" s="1">
        <v>1.2</v>
      </c>
      <c r="AE137" s="1">
        <f>AVERAGE(AD133:AD137)</f>
        <v>1.28</v>
      </c>
    </row>
    <row r="138" spans="1:31" ht="15" customHeight="1">
      <c r="A138" s="1"/>
      <c r="B138" s="1"/>
      <c r="C138" s="1">
        <v>4</v>
      </c>
      <c r="D138" s="1">
        <v>1</v>
      </c>
      <c r="E138" s="1">
        <v>0.04</v>
      </c>
      <c r="F138" s="1">
        <v>0</v>
      </c>
      <c r="G138" s="1">
        <v>0</v>
      </c>
      <c r="H138" s="1">
        <v>0</v>
      </c>
      <c r="I138" s="1">
        <v>45.95</v>
      </c>
      <c r="J138" s="1">
        <v>0</v>
      </c>
      <c r="K138" s="1">
        <v>0</v>
      </c>
      <c r="L138" s="1">
        <v>0</v>
      </c>
      <c r="M138" s="1">
        <v>0</v>
      </c>
      <c r="N138" s="1">
        <v>0</v>
      </c>
      <c r="O138" s="1">
        <v>15.72</v>
      </c>
      <c r="P138" s="1">
        <v>41.72</v>
      </c>
      <c r="Q138" s="1">
        <v>0</v>
      </c>
      <c r="R138" s="1">
        <v>0</v>
      </c>
      <c r="S138" s="1">
        <v>0</v>
      </c>
      <c r="T138" s="1">
        <v>0</v>
      </c>
      <c r="U138" s="1">
        <v>0.09</v>
      </c>
      <c r="V138" s="1">
        <v>6.15</v>
      </c>
      <c r="W138" s="1">
        <f t="shared" si="3"/>
        <v>109.67000000000002</v>
      </c>
      <c r="X138" s="1"/>
      <c r="Y138" s="6"/>
      <c r="Z138" s="30">
        <v>21.3</v>
      </c>
      <c r="AA138" s="1"/>
      <c r="AB138" s="6"/>
      <c r="AC138" s="6"/>
      <c r="AD138" s="1">
        <v>1.2</v>
      </c>
      <c r="AE138" s="1"/>
    </row>
    <row r="139" spans="1:31" ht="15" customHeight="1">
      <c r="A139" s="1"/>
      <c r="B139" s="1"/>
      <c r="C139" s="1"/>
      <c r="D139" s="1">
        <v>2</v>
      </c>
      <c r="E139" s="1">
        <v>0.32</v>
      </c>
      <c r="F139" s="1">
        <v>0</v>
      </c>
      <c r="G139" s="1">
        <v>0</v>
      </c>
      <c r="H139" s="1">
        <v>0</v>
      </c>
      <c r="I139" s="1">
        <v>16.059999999999999</v>
      </c>
      <c r="J139" s="1">
        <v>0</v>
      </c>
      <c r="K139" s="1">
        <v>0</v>
      </c>
      <c r="L139" s="1">
        <v>0</v>
      </c>
      <c r="M139" s="1">
        <v>0</v>
      </c>
      <c r="N139" s="1">
        <v>0</v>
      </c>
      <c r="O139" s="1">
        <v>9.89</v>
      </c>
      <c r="P139" s="1">
        <v>40.81</v>
      </c>
      <c r="Q139" s="1">
        <v>0</v>
      </c>
      <c r="R139" s="1">
        <v>0</v>
      </c>
      <c r="S139" s="1">
        <v>0</v>
      </c>
      <c r="T139" s="1">
        <v>0</v>
      </c>
      <c r="U139" s="1">
        <v>0.46</v>
      </c>
      <c r="V139" s="1">
        <v>14.65</v>
      </c>
      <c r="W139" s="1">
        <f t="shared" si="3"/>
        <v>82.19</v>
      </c>
      <c r="X139" s="1"/>
      <c r="Y139" s="6"/>
      <c r="Z139" s="30">
        <v>10.4</v>
      </c>
      <c r="AA139" s="1"/>
      <c r="AB139" s="6"/>
      <c r="AC139" s="6"/>
      <c r="AD139" s="1">
        <v>1.4</v>
      </c>
      <c r="AE139" s="1"/>
    </row>
    <row r="140" spans="1:31" ht="15" customHeight="1">
      <c r="A140" s="1"/>
      <c r="B140" s="1"/>
      <c r="C140" s="1"/>
      <c r="D140" s="1">
        <v>3</v>
      </c>
      <c r="E140" s="1">
        <v>0</v>
      </c>
      <c r="F140" s="1">
        <v>0</v>
      </c>
      <c r="G140" s="1">
        <v>0</v>
      </c>
      <c r="H140" s="1">
        <v>0</v>
      </c>
      <c r="I140" s="1">
        <v>43.14</v>
      </c>
      <c r="J140" s="1">
        <v>0</v>
      </c>
      <c r="K140" s="1">
        <v>0</v>
      </c>
      <c r="L140" s="1">
        <v>0.22</v>
      </c>
      <c r="M140" s="1">
        <v>0</v>
      </c>
      <c r="N140" s="1">
        <v>0</v>
      </c>
      <c r="O140" s="1">
        <v>14.1</v>
      </c>
      <c r="P140" s="1">
        <v>36.450000000000003</v>
      </c>
      <c r="Q140" s="1">
        <v>0</v>
      </c>
      <c r="R140" s="1">
        <v>0</v>
      </c>
      <c r="S140" s="1">
        <v>0</v>
      </c>
      <c r="T140" s="1">
        <v>0</v>
      </c>
      <c r="U140" s="1">
        <v>1.49</v>
      </c>
      <c r="V140" s="1">
        <v>5.0199999999999996</v>
      </c>
      <c r="W140" s="1">
        <f t="shared" si="3"/>
        <v>100.41999999999999</v>
      </c>
      <c r="X140" s="1"/>
      <c r="Y140" s="6"/>
      <c r="Z140" s="30">
        <v>13.9</v>
      </c>
      <c r="AA140" s="1"/>
      <c r="AB140" s="6"/>
      <c r="AC140" s="6"/>
      <c r="AD140" s="1">
        <v>1.5</v>
      </c>
      <c r="AE140" s="1"/>
    </row>
    <row r="141" spans="1:31" ht="15" customHeight="1">
      <c r="A141" s="1"/>
      <c r="B141" s="1"/>
      <c r="C141" s="1"/>
      <c r="D141" s="1">
        <v>4</v>
      </c>
      <c r="E141" s="1">
        <v>0</v>
      </c>
      <c r="F141" s="1">
        <v>0</v>
      </c>
      <c r="G141" s="1">
        <v>0</v>
      </c>
      <c r="H141" s="1">
        <v>0</v>
      </c>
      <c r="I141" s="1">
        <v>29.78</v>
      </c>
      <c r="J141" s="1">
        <v>0</v>
      </c>
      <c r="K141" s="1">
        <v>0</v>
      </c>
      <c r="L141" s="1">
        <v>0</v>
      </c>
      <c r="M141" s="1">
        <v>0</v>
      </c>
      <c r="N141" s="1">
        <v>0</v>
      </c>
      <c r="O141" s="1">
        <v>9.67</v>
      </c>
      <c r="P141" s="1">
        <v>16.350000000000001</v>
      </c>
      <c r="Q141" s="1">
        <v>0</v>
      </c>
      <c r="R141" s="1">
        <v>0</v>
      </c>
      <c r="S141" s="1">
        <v>0</v>
      </c>
      <c r="T141" s="1">
        <v>0</v>
      </c>
      <c r="U141" s="1">
        <v>0</v>
      </c>
      <c r="V141" s="1">
        <v>3.27</v>
      </c>
      <c r="W141" s="1">
        <f t="shared" si="3"/>
        <v>59.070000000000007</v>
      </c>
      <c r="X141" s="1"/>
      <c r="Y141" s="6"/>
      <c r="Z141" s="30">
        <v>17</v>
      </c>
      <c r="AA141" s="1"/>
      <c r="AB141" s="6"/>
      <c r="AC141" s="6"/>
      <c r="AD141" s="1">
        <v>1.4</v>
      </c>
      <c r="AE141" s="1"/>
    </row>
    <row r="142" spans="1:31" ht="15" customHeight="1">
      <c r="A142" s="1"/>
      <c r="B142" s="1"/>
      <c r="C142" s="1"/>
      <c r="D142" s="1">
        <v>5</v>
      </c>
      <c r="E142" s="1">
        <v>5.56</v>
      </c>
      <c r="F142" s="1">
        <v>0</v>
      </c>
      <c r="G142" s="1">
        <v>0</v>
      </c>
      <c r="H142" s="1">
        <v>0</v>
      </c>
      <c r="I142" s="1">
        <v>26.49</v>
      </c>
      <c r="J142" s="1">
        <v>0</v>
      </c>
      <c r="K142" s="1">
        <v>0</v>
      </c>
      <c r="L142" s="1">
        <v>0</v>
      </c>
      <c r="M142" s="1">
        <v>0</v>
      </c>
      <c r="N142" s="1">
        <v>0</v>
      </c>
      <c r="O142" s="1">
        <v>0</v>
      </c>
      <c r="P142" s="1">
        <v>0.54</v>
      </c>
      <c r="Q142" s="1">
        <v>3.99</v>
      </c>
      <c r="R142" s="1">
        <v>0</v>
      </c>
      <c r="S142" s="1">
        <v>0</v>
      </c>
      <c r="T142" s="1">
        <v>0</v>
      </c>
      <c r="U142" s="1">
        <v>1.26</v>
      </c>
      <c r="V142" s="1">
        <v>3.27</v>
      </c>
      <c r="W142" s="1">
        <f t="shared" si="3"/>
        <v>41.11</v>
      </c>
      <c r="X142" s="1">
        <f>AVERAGE(W138:W142)</f>
        <v>78.49199999999999</v>
      </c>
      <c r="Y142" s="6"/>
      <c r="Z142" s="30">
        <v>18.5</v>
      </c>
      <c r="AA142" s="30">
        <f>AVERAGE(Z138:Z142)</f>
        <v>16.22</v>
      </c>
      <c r="AB142" s="6"/>
      <c r="AC142" s="6"/>
      <c r="AD142" s="1">
        <v>0.6</v>
      </c>
      <c r="AE142" s="1">
        <f>AVERAGE(AD138:AD142)</f>
        <v>1.22</v>
      </c>
    </row>
    <row r="143" spans="1:31" ht="15" customHeight="1">
      <c r="A143" s="1" t="s">
        <v>103</v>
      </c>
      <c r="B143" s="1" t="s">
        <v>104</v>
      </c>
      <c r="C143" s="1">
        <v>1</v>
      </c>
      <c r="D143" s="1">
        <v>1</v>
      </c>
      <c r="E143" s="1">
        <v>0.3</v>
      </c>
      <c r="F143" s="1">
        <v>0</v>
      </c>
      <c r="G143" s="1">
        <v>0</v>
      </c>
      <c r="H143" s="1">
        <v>0</v>
      </c>
      <c r="I143" s="1">
        <v>9.9</v>
      </c>
      <c r="J143" s="1">
        <v>0</v>
      </c>
      <c r="K143" s="1">
        <v>0</v>
      </c>
      <c r="L143" s="1">
        <v>1.4</v>
      </c>
      <c r="M143" s="1">
        <v>4</v>
      </c>
      <c r="N143" s="1">
        <v>0</v>
      </c>
      <c r="O143" s="1">
        <v>0.7</v>
      </c>
      <c r="P143" s="1">
        <v>8.4</v>
      </c>
      <c r="Q143" s="1">
        <v>0</v>
      </c>
      <c r="R143" s="1">
        <v>2.5</v>
      </c>
      <c r="S143" s="1">
        <v>0.8</v>
      </c>
      <c r="T143" s="1">
        <v>0</v>
      </c>
      <c r="U143" s="1">
        <v>9.3000000000000007</v>
      </c>
      <c r="V143" s="1">
        <v>72.3</v>
      </c>
      <c r="W143" s="1">
        <f t="shared" si="3"/>
        <v>109.6</v>
      </c>
      <c r="X143" s="6"/>
      <c r="Y143" s="6"/>
      <c r="Z143" s="1">
        <v>20.21</v>
      </c>
      <c r="AA143" s="1"/>
      <c r="AB143" s="6"/>
      <c r="AC143" s="6"/>
      <c r="AD143" s="1">
        <v>2.8</v>
      </c>
      <c r="AE143" s="1"/>
    </row>
    <row r="144" spans="1:31" ht="15" customHeight="1">
      <c r="A144" s="1"/>
      <c r="B144" s="1"/>
      <c r="C144" s="1"/>
      <c r="D144" s="1">
        <v>2</v>
      </c>
      <c r="E144" s="1">
        <v>0</v>
      </c>
      <c r="F144" s="1">
        <v>0</v>
      </c>
      <c r="G144" s="1">
        <v>0</v>
      </c>
      <c r="H144" s="1">
        <v>0</v>
      </c>
      <c r="I144" s="1">
        <v>7.26</v>
      </c>
      <c r="J144" s="1">
        <v>0</v>
      </c>
      <c r="K144" s="1">
        <v>0</v>
      </c>
      <c r="L144" s="1">
        <v>0.71</v>
      </c>
      <c r="M144" s="1">
        <v>0</v>
      </c>
      <c r="N144" s="1">
        <v>0</v>
      </c>
      <c r="O144" s="1">
        <v>0.98</v>
      </c>
      <c r="P144" s="1">
        <v>9.48</v>
      </c>
      <c r="Q144" s="1">
        <v>0</v>
      </c>
      <c r="R144" s="1">
        <v>0</v>
      </c>
      <c r="S144" s="1">
        <v>0</v>
      </c>
      <c r="T144" s="1">
        <v>0</v>
      </c>
      <c r="U144" s="1">
        <v>7.99</v>
      </c>
      <c r="V144" s="1">
        <v>51.01</v>
      </c>
      <c r="W144" s="1">
        <f t="shared" si="3"/>
        <v>77.430000000000007</v>
      </c>
      <c r="X144" s="6"/>
      <c r="Y144" s="6"/>
      <c r="Z144" s="1">
        <v>11.69</v>
      </c>
      <c r="AA144" s="1"/>
      <c r="AB144" s="6"/>
      <c r="AC144" s="6"/>
      <c r="AD144" s="35">
        <v>77.7</v>
      </c>
      <c r="AE144" s="1"/>
    </row>
    <row r="145" spans="1:31" ht="15" customHeight="1">
      <c r="A145" s="1"/>
      <c r="B145" s="1"/>
      <c r="C145" s="1"/>
      <c r="D145" s="1">
        <v>3</v>
      </c>
      <c r="E145" s="1">
        <v>1.3</v>
      </c>
      <c r="F145" s="1">
        <v>0</v>
      </c>
      <c r="G145" s="1">
        <v>0</v>
      </c>
      <c r="H145" s="1">
        <v>0</v>
      </c>
      <c r="I145" s="1">
        <v>6.7</v>
      </c>
      <c r="J145" s="1">
        <v>0</v>
      </c>
      <c r="K145" s="1">
        <v>0</v>
      </c>
      <c r="L145" s="1">
        <v>3.2</v>
      </c>
      <c r="M145" s="1">
        <v>0.8</v>
      </c>
      <c r="N145" s="1">
        <v>0</v>
      </c>
      <c r="O145" s="1">
        <v>0.4</v>
      </c>
      <c r="P145" s="1">
        <v>5.2</v>
      </c>
      <c r="Q145" s="1">
        <v>2.1</v>
      </c>
      <c r="R145" s="1">
        <v>0.3</v>
      </c>
      <c r="S145" s="1">
        <v>1.2</v>
      </c>
      <c r="T145" s="1">
        <v>0</v>
      </c>
      <c r="U145" s="1">
        <v>9.3000000000000007</v>
      </c>
      <c r="V145" s="1">
        <v>38</v>
      </c>
      <c r="W145" s="1">
        <f t="shared" si="3"/>
        <v>68.5</v>
      </c>
      <c r="X145" s="6"/>
      <c r="Y145" s="6"/>
      <c r="Z145" s="1">
        <v>8.16</v>
      </c>
      <c r="AA145" s="1"/>
      <c r="AB145" s="6"/>
      <c r="AC145" s="6"/>
      <c r="AD145" s="1">
        <v>2.8</v>
      </c>
      <c r="AE145" s="1"/>
    </row>
    <row r="146" spans="1:31" ht="15" customHeight="1">
      <c r="A146" s="1"/>
      <c r="B146" s="1"/>
      <c r="C146" s="1"/>
      <c r="D146" s="1">
        <v>4</v>
      </c>
      <c r="E146" s="10">
        <v>0</v>
      </c>
      <c r="F146" s="10">
        <v>0</v>
      </c>
      <c r="G146" s="10">
        <v>0</v>
      </c>
      <c r="H146" s="10">
        <v>0</v>
      </c>
      <c r="I146" s="10">
        <v>0</v>
      </c>
      <c r="J146" s="10">
        <v>0</v>
      </c>
      <c r="K146" s="10">
        <v>0</v>
      </c>
      <c r="L146" s="10">
        <v>0</v>
      </c>
      <c r="M146" s="10">
        <v>0</v>
      </c>
      <c r="N146" s="10">
        <v>0</v>
      </c>
      <c r="O146" s="10">
        <v>0</v>
      </c>
      <c r="P146" s="10">
        <v>0</v>
      </c>
      <c r="Q146" s="10">
        <v>0</v>
      </c>
      <c r="R146" s="10">
        <v>0</v>
      </c>
      <c r="S146" s="10">
        <v>0</v>
      </c>
      <c r="T146" s="10">
        <v>0</v>
      </c>
      <c r="U146" s="10">
        <v>0</v>
      </c>
      <c r="V146" s="10">
        <v>0</v>
      </c>
      <c r="W146" s="8">
        <f>AVERAGE(W143:W145,W147)</f>
        <v>83.957499999999996</v>
      </c>
      <c r="X146" s="6"/>
      <c r="Y146" s="6"/>
      <c r="Z146" s="1">
        <v>8.93</v>
      </c>
      <c r="AA146" s="1"/>
      <c r="AB146" s="6"/>
      <c r="AC146" s="6"/>
      <c r="AD146" s="35">
        <v>42.6</v>
      </c>
      <c r="AE146" s="1"/>
    </row>
    <row r="147" spans="1:31" ht="15" customHeight="1">
      <c r="A147" s="1"/>
      <c r="B147" s="1"/>
      <c r="C147" s="1"/>
      <c r="D147" s="1">
        <v>5</v>
      </c>
      <c r="E147" s="1">
        <v>0</v>
      </c>
      <c r="F147" s="1">
        <v>0</v>
      </c>
      <c r="G147" s="1">
        <v>0</v>
      </c>
      <c r="H147" s="1">
        <v>0</v>
      </c>
      <c r="I147" s="1">
        <v>7.7</v>
      </c>
      <c r="J147" s="1">
        <v>0</v>
      </c>
      <c r="K147" s="1">
        <v>0</v>
      </c>
      <c r="L147" s="1">
        <v>0</v>
      </c>
      <c r="M147" s="1">
        <v>2.2000000000000002</v>
      </c>
      <c r="N147" s="1">
        <v>0</v>
      </c>
      <c r="O147" s="1">
        <v>0.4</v>
      </c>
      <c r="P147" s="1">
        <v>16.7</v>
      </c>
      <c r="Q147" s="1">
        <v>0.4</v>
      </c>
      <c r="R147" s="1">
        <v>0</v>
      </c>
      <c r="S147" s="1">
        <v>1.4</v>
      </c>
      <c r="T147" s="1">
        <v>0</v>
      </c>
      <c r="U147" s="1">
        <v>12.2</v>
      </c>
      <c r="V147" s="1">
        <v>39.299999999999997</v>
      </c>
      <c r="W147" s="1">
        <f t="shared" ref="W147:W156" si="4">SUM(E147:V147)</f>
        <v>80.3</v>
      </c>
      <c r="X147" s="1">
        <f>AVERAGE(W143:W147)</f>
        <v>83.95750000000001</v>
      </c>
      <c r="Y147" s="6"/>
      <c r="Z147" s="1">
        <v>11.47</v>
      </c>
      <c r="AA147" s="1">
        <f>AVERAGE(Z143:Z147)</f>
        <v>12.092000000000001</v>
      </c>
      <c r="AB147" s="6"/>
      <c r="AC147" s="6"/>
      <c r="AD147" s="1">
        <v>2.2000000000000002</v>
      </c>
      <c r="AE147" s="1">
        <f>AVERAGE(AD143:AD147)</f>
        <v>25.619999999999997</v>
      </c>
    </row>
    <row r="148" spans="1:31" ht="15" customHeight="1">
      <c r="A148" s="1"/>
      <c r="B148" s="1"/>
      <c r="C148" s="1">
        <v>2</v>
      </c>
      <c r="D148" s="1">
        <v>1</v>
      </c>
      <c r="E148" s="1">
        <v>1.6</v>
      </c>
      <c r="F148" s="1">
        <v>11.8</v>
      </c>
      <c r="G148" s="1">
        <v>12.6</v>
      </c>
      <c r="H148" s="1">
        <v>0</v>
      </c>
      <c r="I148" s="1">
        <v>5.4</v>
      </c>
      <c r="J148" s="1">
        <v>0</v>
      </c>
      <c r="K148" s="1">
        <v>0</v>
      </c>
      <c r="L148" s="1">
        <v>0</v>
      </c>
      <c r="M148" s="1">
        <v>2.9</v>
      </c>
      <c r="N148" s="1">
        <v>0</v>
      </c>
      <c r="O148" s="1">
        <v>0.4</v>
      </c>
      <c r="P148" s="1">
        <v>13.2</v>
      </c>
      <c r="Q148" s="1">
        <v>0</v>
      </c>
      <c r="R148" s="1">
        <v>2.1</v>
      </c>
      <c r="S148" s="1">
        <v>0.7</v>
      </c>
      <c r="T148" s="1">
        <v>0</v>
      </c>
      <c r="U148" s="1">
        <v>8.6</v>
      </c>
      <c r="V148" s="1">
        <v>35.799999999999997</v>
      </c>
      <c r="W148" s="1">
        <f t="shared" si="4"/>
        <v>95.1</v>
      </c>
      <c r="X148" s="1"/>
      <c r="Y148" s="6"/>
      <c r="Z148" s="1">
        <v>9.7899999999999991</v>
      </c>
      <c r="AA148" s="1"/>
      <c r="AB148" s="6"/>
      <c r="AC148" s="6"/>
      <c r="AD148" s="1">
        <v>3.6</v>
      </c>
      <c r="AE148" s="1"/>
    </row>
    <row r="149" spans="1:31" ht="15" customHeight="1">
      <c r="A149" s="1"/>
      <c r="B149" s="1"/>
      <c r="C149" s="1"/>
      <c r="D149" s="1">
        <v>2</v>
      </c>
      <c r="E149" s="1">
        <v>11.6</v>
      </c>
      <c r="F149" s="1">
        <v>2</v>
      </c>
      <c r="G149" s="1">
        <v>2.2000000000000002</v>
      </c>
      <c r="H149" s="1">
        <v>0</v>
      </c>
      <c r="I149" s="1">
        <v>8.4</v>
      </c>
      <c r="J149" s="1">
        <v>0</v>
      </c>
      <c r="K149" s="1">
        <v>0</v>
      </c>
      <c r="L149" s="1">
        <v>0.5</v>
      </c>
      <c r="M149" s="1">
        <v>15.2</v>
      </c>
      <c r="N149" s="1">
        <v>0</v>
      </c>
      <c r="O149" s="1">
        <v>1</v>
      </c>
      <c r="P149" s="1">
        <v>14.7</v>
      </c>
      <c r="Q149" s="1">
        <v>1.7</v>
      </c>
      <c r="R149" s="1">
        <v>0.2</v>
      </c>
      <c r="S149" s="1">
        <v>1.5</v>
      </c>
      <c r="T149" s="1">
        <v>0</v>
      </c>
      <c r="U149" s="1">
        <v>1.2</v>
      </c>
      <c r="V149" s="1">
        <v>20.3</v>
      </c>
      <c r="W149" s="1">
        <f t="shared" si="4"/>
        <v>80.500000000000014</v>
      </c>
      <c r="X149" s="1"/>
      <c r="Y149" s="6"/>
      <c r="Z149" s="1">
        <v>13.53</v>
      </c>
      <c r="AA149" s="1"/>
      <c r="AB149" s="6"/>
      <c r="AC149" s="6"/>
      <c r="AD149" s="1">
        <v>2.6</v>
      </c>
      <c r="AE149" s="1"/>
    </row>
    <row r="150" spans="1:31" ht="15" customHeight="1">
      <c r="A150" s="1"/>
      <c r="B150" s="1"/>
      <c r="C150" s="1"/>
      <c r="D150" s="1">
        <v>3</v>
      </c>
      <c r="E150" s="1">
        <v>4.9000000000000004</v>
      </c>
      <c r="F150" s="1">
        <v>0.8</v>
      </c>
      <c r="G150" s="1">
        <v>3.4</v>
      </c>
      <c r="H150" s="1">
        <v>0</v>
      </c>
      <c r="I150" s="1">
        <v>10</v>
      </c>
      <c r="J150" s="1">
        <v>0</v>
      </c>
      <c r="K150" s="1">
        <v>0</v>
      </c>
      <c r="L150" s="1">
        <v>0</v>
      </c>
      <c r="M150" s="1">
        <v>9.9</v>
      </c>
      <c r="N150" s="1">
        <v>0</v>
      </c>
      <c r="O150" s="1">
        <v>0.4</v>
      </c>
      <c r="P150" s="1">
        <v>20.399999999999999</v>
      </c>
      <c r="Q150" s="1">
        <v>0.7</v>
      </c>
      <c r="R150" s="1">
        <v>0</v>
      </c>
      <c r="S150" s="1">
        <v>2.7</v>
      </c>
      <c r="T150" s="1">
        <v>0</v>
      </c>
      <c r="U150" s="1">
        <v>5.4</v>
      </c>
      <c r="V150" s="1">
        <v>26.9</v>
      </c>
      <c r="W150" s="1">
        <f t="shared" si="4"/>
        <v>85.5</v>
      </c>
      <c r="X150" s="1"/>
      <c r="Y150" s="6"/>
      <c r="Z150" s="1">
        <v>5.31</v>
      </c>
      <c r="AA150" s="1"/>
      <c r="AB150" s="6"/>
      <c r="AC150" s="6"/>
      <c r="AD150" s="1">
        <v>17</v>
      </c>
      <c r="AE150" s="1"/>
    </row>
    <row r="151" spans="1:31" ht="15" customHeight="1">
      <c r="A151" s="1"/>
      <c r="B151" s="1"/>
      <c r="C151" s="1"/>
      <c r="D151" s="1">
        <v>4</v>
      </c>
      <c r="E151" s="1">
        <v>2.2999999999999998</v>
      </c>
      <c r="F151" s="1">
        <v>1.6</v>
      </c>
      <c r="G151" s="1">
        <v>15.3</v>
      </c>
      <c r="H151" s="1">
        <v>0</v>
      </c>
      <c r="I151" s="1">
        <v>4.5999999999999996</v>
      </c>
      <c r="J151" s="1">
        <v>0</v>
      </c>
      <c r="K151" s="1">
        <v>0</v>
      </c>
      <c r="L151" s="1">
        <v>0.1</v>
      </c>
      <c r="M151" s="1">
        <v>4.3</v>
      </c>
      <c r="N151" s="1">
        <v>0</v>
      </c>
      <c r="O151" s="1">
        <v>0.5</v>
      </c>
      <c r="P151" s="1">
        <v>11.7</v>
      </c>
      <c r="Q151" s="1">
        <v>0.3</v>
      </c>
      <c r="R151" s="1">
        <v>0.5</v>
      </c>
      <c r="S151" s="1">
        <v>0.7</v>
      </c>
      <c r="T151" s="1">
        <v>0</v>
      </c>
      <c r="U151" s="1">
        <v>17</v>
      </c>
      <c r="V151" s="1">
        <v>30.1</v>
      </c>
      <c r="W151" s="1">
        <f t="shared" si="4"/>
        <v>89</v>
      </c>
      <c r="X151" s="1"/>
      <c r="Y151" s="6"/>
      <c r="Z151" s="30">
        <v>10.9</v>
      </c>
      <c r="AA151" s="1"/>
      <c r="AB151" s="6"/>
      <c r="AC151" s="6"/>
      <c r="AD151" s="1">
        <v>2.1</v>
      </c>
      <c r="AE151" s="1"/>
    </row>
    <row r="152" spans="1:31" ht="15" customHeight="1">
      <c r="A152" s="1"/>
      <c r="B152" s="1"/>
      <c r="C152" s="1"/>
      <c r="D152" s="1">
        <v>5</v>
      </c>
      <c r="E152" s="1">
        <v>1.9</v>
      </c>
      <c r="F152" s="1">
        <v>0.6</v>
      </c>
      <c r="G152" s="1">
        <v>11.1</v>
      </c>
      <c r="H152" s="1">
        <v>0</v>
      </c>
      <c r="I152" s="1">
        <v>7.2</v>
      </c>
      <c r="J152" s="1">
        <v>0</v>
      </c>
      <c r="K152" s="1">
        <v>0</v>
      </c>
      <c r="L152" s="1">
        <v>0</v>
      </c>
      <c r="M152" s="1">
        <v>11.9</v>
      </c>
      <c r="N152" s="1">
        <v>0</v>
      </c>
      <c r="O152" s="1">
        <v>0.3</v>
      </c>
      <c r="P152" s="1">
        <v>18.8</v>
      </c>
      <c r="Q152" s="1">
        <v>0.4</v>
      </c>
      <c r="R152" s="1">
        <v>2.6</v>
      </c>
      <c r="S152" s="1">
        <v>0.7</v>
      </c>
      <c r="T152" s="1">
        <v>0</v>
      </c>
      <c r="U152" s="1">
        <v>3.6</v>
      </c>
      <c r="V152" s="1">
        <v>39.1</v>
      </c>
      <c r="W152" s="1">
        <f t="shared" si="4"/>
        <v>98.2</v>
      </c>
      <c r="X152" s="1">
        <f>AVERAGE(W148:W152)</f>
        <v>89.66</v>
      </c>
      <c r="Y152" s="6"/>
      <c r="Z152" s="30">
        <v>9.1</v>
      </c>
      <c r="AA152" s="1">
        <f>AVERAGE(Z148:Z152)</f>
        <v>9.7260000000000009</v>
      </c>
      <c r="AB152" s="6"/>
      <c r="AC152" s="6"/>
      <c r="AD152" s="1">
        <v>3.8</v>
      </c>
      <c r="AE152" s="1">
        <f>AVERAGE(AD148:AD152)</f>
        <v>5.82</v>
      </c>
    </row>
    <row r="153" spans="1:31" ht="15" customHeight="1">
      <c r="A153" s="1"/>
      <c r="B153" s="1"/>
      <c r="C153" s="1">
        <v>3</v>
      </c>
      <c r="D153" s="1">
        <v>1</v>
      </c>
      <c r="E153" s="1">
        <v>1.3</v>
      </c>
      <c r="F153" s="1">
        <v>0</v>
      </c>
      <c r="G153" s="1">
        <v>5.8</v>
      </c>
      <c r="H153" s="1">
        <v>0</v>
      </c>
      <c r="I153" s="1">
        <v>7.4</v>
      </c>
      <c r="J153" s="1">
        <v>0</v>
      </c>
      <c r="K153" s="1">
        <v>0</v>
      </c>
      <c r="L153" s="1">
        <v>0</v>
      </c>
      <c r="M153" s="1">
        <v>21.1</v>
      </c>
      <c r="N153" s="1">
        <v>0</v>
      </c>
      <c r="O153" s="1">
        <v>0.3</v>
      </c>
      <c r="P153" s="1">
        <v>7.3</v>
      </c>
      <c r="Q153" s="1">
        <v>0</v>
      </c>
      <c r="R153" s="1">
        <v>0.1</v>
      </c>
      <c r="S153" s="1">
        <v>1.5</v>
      </c>
      <c r="T153" s="1">
        <v>0</v>
      </c>
      <c r="U153" s="1">
        <v>14.4</v>
      </c>
      <c r="V153" s="1">
        <v>20</v>
      </c>
      <c r="W153" s="1">
        <f t="shared" si="4"/>
        <v>79.199999999999989</v>
      </c>
      <c r="X153" s="1"/>
      <c r="Y153" s="6"/>
      <c r="Z153" s="1">
        <v>10.1</v>
      </c>
      <c r="AA153" s="1"/>
      <c r="AB153" s="6"/>
      <c r="AC153" s="6"/>
      <c r="AD153" s="1">
        <v>2.6</v>
      </c>
      <c r="AE153" s="1"/>
    </row>
    <row r="154" spans="1:31" ht="15" customHeight="1">
      <c r="A154" s="1"/>
      <c r="B154" s="1"/>
      <c r="C154" s="1"/>
      <c r="D154" s="1">
        <v>2</v>
      </c>
      <c r="E154" s="1">
        <v>3.9</v>
      </c>
      <c r="F154" s="1">
        <v>1.6</v>
      </c>
      <c r="G154" s="1">
        <v>1.9</v>
      </c>
      <c r="H154" s="1">
        <v>0</v>
      </c>
      <c r="I154" s="1">
        <v>4.4000000000000004</v>
      </c>
      <c r="J154" s="1">
        <v>0</v>
      </c>
      <c r="K154" s="1">
        <v>0</v>
      </c>
      <c r="L154" s="1">
        <v>0.6</v>
      </c>
      <c r="M154" s="1">
        <v>5.8</v>
      </c>
      <c r="N154" s="1">
        <v>0</v>
      </c>
      <c r="O154" s="1">
        <v>0.7</v>
      </c>
      <c r="P154" s="1">
        <v>36.1</v>
      </c>
      <c r="Q154" s="1">
        <v>0.3</v>
      </c>
      <c r="R154" s="1">
        <v>0.7</v>
      </c>
      <c r="S154" s="1">
        <v>0.9</v>
      </c>
      <c r="T154" s="1">
        <v>0</v>
      </c>
      <c r="U154" s="1">
        <v>4.4000000000000004</v>
      </c>
      <c r="V154" s="1">
        <v>25.7</v>
      </c>
      <c r="W154" s="1">
        <f t="shared" si="4"/>
        <v>87</v>
      </c>
      <c r="X154" s="1"/>
      <c r="Y154" s="6"/>
      <c r="Z154" s="1">
        <v>8.7799999999999994</v>
      </c>
      <c r="AA154" s="1"/>
      <c r="AB154" s="6"/>
      <c r="AC154" s="6"/>
      <c r="AD154" s="1">
        <v>17.899999999999999</v>
      </c>
      <c r="AE154" s="1"/>
    </row>
    <row r="155" spans="1:31" ht="15" customHeight="1">
      <c r="A155" s="1"/>
      <c r="B155" s="1"/>
      <c r="C155" s="1"/>
      <c r="D155" s="1">
        <v>3</v>
      </c>
      <c r="E155" s="1">
        <v>0.4</v>
      </c>
      <c r="F155" s="1">
        <v>0</v>
      </c>
      <c r="G155" s="1">
        <v>3.4</v>
      </c>
      <c r="H155" s="1">
        <v>0</v>
      </c>
      <c r="I155" s="1">
        <v>5.2</v>
      </c>
      <c r="J155" s="1">
        <v>0</v>
      </c>
      <c r="K155" s="1">
        <v>0</v>
      </c>
      <c r="L155" s="1">
        <v>0</v>
      </c>
      <c r="M155" s="1">
        <v>3.1</v>
      </c>
      <c r="N155" s="1">
        <v>0</v>
      </c>
      <c r="O155" s="1">
        <v>0.1</v>
      </c>
      <c r="P155" s="1">
        <v>6.2</v>
      </c>
      <c r="Q155" s="1">
        <v>0</v>
      </c>
      <c r="R155" s="1">
        <v>2.1</v>
      </c>
      <c r="S155" s="1">
        <v>0.4</v>
      </c>
      <c r="T155" s="1">
        <v>0</v>
      </c>
      <c r="U155" s="1">
        <v>17.7</v>
      </c>
      <c r="V155" s="1">
        <v>43.2</v>
      </c>
      <c r="W155" s="1">
        <f t="shared" si="4"/>
        <v>81.8</v>
      </c>
      <c r="X155" s="1"/>
      <c r="Y155" s="6"/>
      <c r="Z155" s="1">
        <v>8.4600000000000009</v>
      </c>
      <c r="AA155" s="1"/>
      <c r="AB155" s="6"/>
      <c r="AC155" s="6"/>
      <c r="AD155" s="1">
        <v>13</v>
      </c>
      <c r="AE155" s="1"/>
    </row>
    <row r="156" spans="1:31" ht="15" customHeight="1">
      <c r="A156" s="1"/>
      <c r="B156" s="1"/>
      <c r="C156" s="1"/>
      <c r="D156" s="1">
        <v>4</v>
      </c>
      <c r="E156" s="1">
        <v>1.8</v>
      </c>
      <c r="F156" s="1">
        <v>0</v>
      </c>
      <c r="G156" s="1">
        <v>11.1</v>
      </c>
      <c r="H156" s="1">
        <v>0</v>
      </c>
      <c r="I156" s="1">
        <v>4.5</v>
      </c>
      <c r="J156" s="1">
        <v>0</v>
      </c>
      <c r="K156" s="1">
        <v>0</v>
      </c>
      <c r="L156" s="1">
        <v>0.3</v>
      </c>
      <c r="M156" s="1">
        <v>1.9</v>
      </c>
      <c r="N156" s="1">
        <v>0</v>
      </c>
      <c r="O156" s="1">
        <v>0.3</v>
      </c>
      <c r="P156" s="1">
        <v>3.9</v>
      </c>
      <c r="Q156" s="1">
        <v>0</v>
      </c>
      <c r="R156" s="1">
        <v>2.5</v>
      </c>
      <c r="S156" s="1">
        <v>0.6</v>
      </c>
      <c r="T156" s="1">
        <v>0</v>
      </c>
      <c r="U156" s="1">
        <v>15.3</v>
      </c>
      <c r="V156" s="1">
        <v>28.1</v>
      </c>
      <c r="W156" s="1">
        <f t="shared" si="4"/>
        <v>70.300000000000011</v>
      </c>
      <c r="X156" s="1"/>
      <c r="Y156" s="6"/>
      <c r="Z156" s="1">
        <v>14.32</v>
      </c>
      <c r="AA156" s="1"/>
      <c r="AB156" s="6"/>
      <c r="AC156" s="6"/>
      <c r="AD156" s="1">
        <v>18.5</v>
      </c>
      <c r="AE156" s="1"/>
    </row>
    <row r="157" spans="1:31" ht="15" customHeight="1">
      <c r="A157" s="1"/>
      <c r="B157" s="1"/>
      <c r="C157" s="1"/>
      <c r="D157" s="1">
        <v>5</v>
      </c>
      <c r="E157" s="10">
        <v>0</v>
      </c>
      <c r="F157" s="10">
        <v>0</v>
      </c>
      <c r="G157" s="10">
        <v>0</v>
      </c>
      <c r="H157" s="10">
        <v>0</v>
      </c>
      <c r="I157" s="10">
        <v>0</v>
      </c>
      <c r="J157" s="10">
        <v>0</v>
      </c>
      <c r="K157" s="10">
        <v>0</v>
      </c>
      <c r="L157" s="10">
        <v>0</v>
      </c>
      <c r="M157" s="10">
        <v>0</v>
      </c>
      <c r="N157" s="10">
        <v>0</v>
      </c>
      <c r="O157" s="10">
        <v>0</v>
      </c>
      <c r="P157" s="10">
        <v>0</v>
      </c>
      <c r="Q157" s="10">
        <v>0</v>
      </c>
      <c r="R157" s="10">
        <v>0</v>
      </c>
      <c r="S157" s="10">
        <v>0</v>
      </c>
      <c r="T157" s="10">
        <v>0</v>
      </c>
      <c r="U157" s="10">
        <v>0</v>
      </c>
      <c r="V157" s="10">
        <v>0</v>
      </c>
      <c r="W157" s="8">
        <f>AVERAGE(W153:W156)</f>
        <v>79.575000000000003</v>
      </c>
      <c r="X157" s="1">
        <f>AVERAGE(W153:W157)</f>
        <v>79.575000000000003</v>
      </c>
      <c r="Y157" s="6"/>
      <c r="Z157" s="1">
        <v>10.25</v>
      </c>
      <c r="AA157" s="1">
        <f>AVERAGE(Z153:Z157)</f>
        <v>10.382</v>
      </c>
      <c r="AB157" s="6"/>
      <c r="AC157" s="6"/>
      <c r="AD157" s="1">
        <v>1.5</v>
      </c>
      <c r="AE157" s="1">
        <f>AVERAGE(AD153:AD157)</f>
        <v>10.7</v>
      </c>
    </row>
    <row r="158" spans="1:31" ht="15" customHeight="1">
      <c r="A158" s="1"/>
      <c r="B158" s="1"/>
      <c r="C158" s="1">
        <v>4</v>
      </c>
      <c r="D158" s="1">
        <v>1</v>
      </c>
      <c r="E158" s="1">
        <v>0.7</v>
      </c>
      <c r="F158" s="1">
        <v>0</v>
      </c>
      <c r="G158" s="1">
        <v>0.9</v>
      </c>
      <c r="H158" s="1">
        <v>0</v>
      </c>
      <c r="I158" s="1">
        <v>11.1</v>
      </c>
      <c r="J158" s="1">
        <v>0</v>
      </c>
      <c r="K158" s="1">
        <v>0</v>
      </c>
      <c r="L158" s="1">
        <v>1.5</v>
      </c>
      <c r="M158" s="1">
        <v>2.2999999999999998</v>
      </c>
      <c r="N158" s="1">
        <v>0</v>
      </c>
      <c r="O158" s="1">
        <v>0.7</v>
      </c>
      <c r="P158" s="1">
        <v>9.1999999999999993</v>
      </c>
      <c r="Q158" s="1">
        <v>1.5</v>
      </c>
      <c r="R158" s="1">
        <v>1.3</v>
      </c>
      <c r="S158" s="1">
        <v>1.7</v>
      </c>
      <c r="T158" s="1">
        <v>0</v>
      </c>
      <c r="U158" s="1">
        <v>6.6</v>
      </c>
      <c r="V158" s="1">
        <v>59.9</v>
      </c>
      <c r="W158" s="1">
        <f>SUM(E158:V158)</f>
        <v>97.4</v>
      </c>
      <c r="X158" s="1"/>
      <c r="Y158" s="6"/>
      <c r="Z158" s="1">
        <v>10.02</v>
      </c>
      <c r="AA158" s="1"/>
      <c r="AB158" s="6"/>
      <c r="AC158" s="6"/>
      <c r="AD158" s="1">
        <v>3.1</v>
      </c>
      <c r="AE158" s="1"/>
    </row>
    <row r="159" spans="1:31" ht="15" customHeight="1">
      <c r="A159" s="1"/>
      <c r="B159" s="1"/>
      <c r="C159" s="1"/>
      <c r="D159" s="1">
        <v>2</v>
      </c>
      <c r="E159" s="10">
        <v>0</v>
      </c>
      <c r="F159" s="10">
        <v>0</v>
      </c>
      <c r="G159" s="10">
        <v>0</v>
      </c>
      <c r="H159" s="10">
        <v>0</v>
      </c>
      <c r="I159" s="10">
        <v>0</v>
      </c>
      <c r="J159" s="10">
        <v>0</v>
      </c>
      <c r="K159" s="10">
        <v>0</v>
      </c>
      <c r="L159" s="10">
        <v>0</v>
      </c>
      <c r="M159" s="10">
        <v>0</v>
      </c>
      <c r="N159" s="10">
        <v>0</v>
      </c>
      <c r="O159" s="10">
        <v>0</v>
      </c>
      <c r="P159" s="10">
        <v>0</v>
      </c>
      <c r="Q159" s="10">
        <v>0</v>
      </c>
      <c r="R159" s="10">
        <v>0</v>
      </c>
      <c r="S159" s="10">
        <v>0</v>
      </c>
      <c r="T159" s="10">
        <v>0</v>
      </c>
      <c r="U159" s="10">
        <v>0</v>
      </c>
      <c r="V159" s="10">
        <v>0</v>
      </c>
      <c r="W159" s="8">
        <f>AVERAGE(W158,W160:W162)</f>
        <v>93.375</v>
      </c>
      <c r="X159" s="1"/>
      <c r="Y159" s="6"/>
      <c r="Z159" s="1">
        <v>14.6</v>
      </c>
      <c r="AA159" s="1"/>
      <c r="AB159" s="6"/>
      <c r="AC159" s="6"/>
      <c r="AD159" s="1">
        <v>2.2999999999999998</v>
      </c>
      <c r="AE159" s="1"/>
    </row>
    <row r="160" spans="1:31" ht="15" customHeight="1">
      <c r="A160" s="1"/>
      <c r="B160" s="1"/>
      <c r="C160" s="1"/>
      <c r="D160" s="1">
        <v>3</v>
      </c>
      <c r="E160" s="1">
        <v>6.3</v>
      </c>
      <c r="F160" s="1">
        <v>0</v>
      </c>
      <c r="G160" s="1">
        <v>0.6</v>
      </c>
      <c r="H160" s="1">
        <v>0</v>
      </c>
      <c r="I160" s="1">
        <v>10.9</v>
      </c>
      <c r="J160" s="1">
        <v>0</v>
      </c>
      <c r="K160" s="1">
        <v>0</v>
      </c>
      <c r="L160" s="1">
        <v>0.7</v>
      </c>
      <c r="M160" s="1">
        <v>14.7</v>
      </c>
      <c r="N160" s="1">
        <v>0</v>
      </c>
      <c r="O160" s="1">
        <v>0.6</v>
      </c>
      <c r="P160" s="1">
        <v>8.1999999999999993</v>
      </c>
      <c r="Q160" s="1">
        <v>0.7</v>
      </c>
      <c r="R160" s="1">
        <v>0.4</v>
      </c>
      <c r="S160" s="1">
        <v>4.9000000000000004</v>
      </c>
      <c r="T160" s="1">
        <v>0</v>
      </c>
      <c r="U160" s="1">
        <v>7.9</v>
      </c>
      <c r="V160" s="1">
        <v>37.700000000000003</v>
      </c>
      <c r="W160" s="1">
        <f t="shared" ref="W160:W176" si="5">SUM(E160:V160)</f>
        <v>93.6</v>
      </c>
      <c r="X160" s="1"/>
      <c r="Y160" s="6"/>
      <c r="Z160" s="1">
        <v>16.68</v>
      </c>
      <c r="AA160" s="1"/>
      <c r="AB160" s="6"/>
      <c r="AC160" s="6"/>
      <c r="AD160" s="35">
        <v>18.5</v>
      </c>
      <c r="AE160" s="1"/>
    </row>
    <row r="161" spans="1:31" ht="15" customHeight="1">
      <c r="A161" s="1"/>
      <c r="B161" s="1"/>
      <c r="C161" s="1"/>
      <c r="D161" s="1">
        <v>4</v>
      </c>
      <c r="E161" s="1">
        <v>3.2</v>
      </c>
      <c r="F161" s="1">
        <v>0</v>
      </c>
      <c r="G161" s="1">
        <v>0</v>
      </c>
      <c r="H161" s="1">
        <v>0</v>
      </c>
      <c r="I161" s="1">
        <v>9.5</v>
      </c>
      <c r="J161" s="1">
        <v>0</v>
      </c>
      <c r="K161" s="1">
        <v>0</v>
      </c>
      <c r="L161" s="1">
        <v>0.7</v>
      </c>
      <c r="M161" s="1">
        <v>0.2</v>
      </c>
      <c r="N161" s="1">
        <v>0</v>
      </c>
      <c r="O161" s="1">
        <v>1</v>
      </c>
      <c r="P161" s="1">
        <v>11.5</v>
      </c>
      <c r="Q161" s="1">
        <v>0</v>
      </c>
      <c r="R161" s="1">
        <v>0.5</v>
      </c>
      <c r="S161" s="1">
        <v>0.5</v>
      </c>
      <c r="T161" s="1">
        <v>0</v>
      </c>
      <c r="U161" s="1">
        <v>31.8</v>
      </c>
      <c r="V161" s="1">
        <v>36.799999999999997</v>
      </c>
      <c r="W161" s="1">
        <f t="shared" si="5"/>
        <v>95.699999999999989</v>
      </c>
      <c r="X161" s="1"/>
      <c r="Y161" s="6"/>
      <c r="Z161" s="1">
        <v>8.23</v>
      </c>
      <c r="AA161" s="1"/>
      <c r="AB161" s="6"/>
      <c r="AC161" s="6"/>
      <c r="AD161" s="1">
        <v>3.2</v>
      </c>
      <c r="AE161" s="1"/>
    </row>
    <row r="162" spans="1:31" ht="15" customHeight="1">
      <c r="A162" s="1"/>
      <c r="B162" s="1"/>
      <c r="C162" s="1"/>
      <c r="D162" s="1">
        <v>5</v>
      </c>
      <c r="E162" s="1">
        <v>4.9000000000000004</v>
      </c>
      <c r="F162" s="1">
        <v>0</v>
      </c>
      <c r="G162" s="1">
        <v>0</v>
      </c>
      <c r="H162" s="1">
        <v>0</v>
      </c>
      <c r="I162" s="1">
        <v>10.8</v>
      </c>
      <c r="J162" s="1">
        <v>8.1999999999999993</v>
      </c>
      <c r="K162" s="1">
        <v>0</v>
      </c>
      <c r="L162" s="1">
        <v>1</v>
      </c>
      <c r="M162" s="1">
        <v>3.7</v>
      </c>
      <c r="N162" s="1">
        <v>0</v>
      </c>
      <c r="O162" s="1">
        <v>0.9</v>
      </c>
      <c r="P162" s="1">
        <v>20.7</v>
      </c>
      <c r="Q162" s="1">
        <v>0</v>
      </c>
      <c r="R162" s="1">
        <v>2.2999999999999998</v>
      </c>
      <c r="S162" s="1">
        <v>5.3</v>
      </c>
      <c r="T162" s="1">
        <v>0</v>
      </c>
      <c r="U162" s="1">
        <v>8.3000000000000007</v>
      </c>
      <c r="V162" s="1">
        <v>20.7</v>
      </c>
      <c r="W162" s="1">
        <f t="shared" si="5"/>
        <v>86.8</v>
      </c>
      <c r="X162" s="1">
        <f>AVERAGE(W158:W162)</f>
        <v>93.375</v>
      </c>
      <c r="Y162" s="6"/>
      <c r="Z162" s="1">
        <v>15.31</v>
      </c>
      <c r="AA162" s="1">
        <f>AVERAGE(Z158:Z162)</f>
        <v>12.968</v>
      </c>
      <c r="AB162" s="6"/>
      <c r="AC162" s="6"/>
      <c r="AD162" s="1">
        <v>6.1</v>
      </c>
      <c r="AE162" s="1">
        <f>AVERAGE(AD158:AD162)</f>
        <v>6.6399999999999988</v>
      </c>
    </row>
    <row r="163" spans="1:31" ht="15" customHeight="1">
      <c r="A163" s="1" t="s">
        <v>103</v>
      </c>
      <c r="B163" s="1" t="s">
        <v>105</v>
      </c>
      <c r="C163" s="1">
        <v>1</v>
      </c>
      <c r="D163" s="1">
        <v>1</v>
      </c>
      <c r="E163" s="1">
        <v>0</v>
      </c>
      <c r="F163" s="1">
        <v>0</v>
      </c>
      <c r="G163" s="1">
        <v>0</v>
      </c>
      <c r="H163" s="1">
        <v>0</v>
      </c>
      <c r="I163" s="1">
        <v>22.1</v>
      </c>
      <c r="J163" s="1">
        <v>0</v>
      </c>
      <c r="K163" s="1">
        <v>0</v>
      </c>
      <c r="L163" s="1">
        <v>0</v>
      </c>
      <c r="M163" s="1">
        <v>0</v>
      </c>
      <c r="N163" s="1">
        <v>0</v>
      </c>
      <c r="O163" s="1">
        <v>0.9</v>
      </c>
      <c r="P163" s="1">
        <v>5.3</v>
      </c>
      <c r="Q163" s="1">
        <v>0</v>
      </c>
      <c r="R163" s="1">
        <v>0.2</v>
      </c>
      <c r="S163" s="1">
        <v>0.3</v>
      </c>
      <c r="T163" s="1">
        <v>0</v>
      </c>
      <c r="U163" s="1">
        <v>0</v>
      </c>
      <c r="V163" s="1">
        <v>48</v>
      </c>
      <c r="W163" s="1">
        <f t="shared" si="5"/>
        <v>76.8</v>
      </c>
      <c r="X163" s="1"/>
      <c r="Y163" s="6"/>
      <c r="Z163" s="30">
        <v>16.2</v>
      </c>
      <c r="AA163" s="1"/>
      <c r="AB163" s="6"/>
      <c r="AC163" s="6"/>
      <c r="AD163" s="1">
        <v>1.9</v>
      </c>
      <c r="AE163" s="1"/>
    </row>
    <row r="164" spans="1:31" ht="15" customHeight="1">
      <c r="A164" s="1"/>
      <c r="B164" s="1"/>
      <c r="C164" s="1"/>
      <c r="D164" s="1">
        <v>2</v>
      </c>
      <c r="E164" s="1">
        <v>0</v>
      </c>
      <c r="F164" s="1">
        <v>0</v>
      </c>
      <c r="G164" s="1">
        <v>0</v>
      </c>
      <c r="H164" s="1">
        <v>0</v>
      </c>
      <c r="I164" s="1">
        <v>20.7</v>
      </c>
      <c r="J164" s="1">
        <v>0</v>
      </c>
      <c r="K164" s="1">
        <v>0</v>
      </c>
      <c r="L164" s="1">
        <v>0</v>
      </c>
      <c r="M164" s="1">
        <v>0</v>
      </c>
      <c r="N164" s="1">
        <v>0</v>
      </c>
      <c r="O164" s="1">
        <v>1.9</v>
      </c>
      <c r="P164" s="1">
        <v>0.5</v>
      </c>
      <c r="Q164" s="1">
        <v>0.2</v>
      </c>
      <c r="R164" s="1">
        <v>1.3</v>
      </c>
      <c r="S164" s="1">
        <v>0.3</v>
      </c>
      <c r="T164" s="1">
        <v>0</v>
      </c>
      <c r="U164" s="1">
        <v>0</v>
      </c>
      <c r="V164" s="1">
        <v>48.6</v>
      </c>
      <c r="W164" s="1">
        <f t="shared" si="5"/>
        <v>73.5</v>
      </c>
      <c r="X164" s="1"/>
      <c r="Y164" s="6"/>
      <c r="Z164" s="30">
        <v>7.3</v>
      </c>
      <c r="AA164" s="1"/>
      <c r="AB164" s="6"/>
      <c r="AC164" s="6"/>
      <c r="AD164" s="1">
        <v>1.4</v>
      </c>
      <c r="AE164" s="1"/>
    </row>
    <row r="165" spans="1:31" ht="15" customHeight="1">
      <c r="A165" s="1"/>
      <c r="B165" s="1"/>
      <c r="C165" s="1"/>
      <c r="D165" s="1">
        <v>3</v>
      </c>
      <c r="E165" s="1">
        <v>0</v>
      </c>
      <c r="F165" s="1">
        <v>0.6</v>
      </c>
      <c r="G165" s="1">
        <v>0</v>
      </c>
      <c r="H165" s="1">
        <v>0</v>
      </c>
      <c r="I165" s="1">
        <v>0</v>
      </c>
      <c r="J165" s="1">
        <v>0</v>
      </c>
      <c r="K165" s="1">
        <v>0</v>
      </c>
      <c r="L165" s="1">
        <v>0</v>
      </c>
      <c r="M165" s="1">
        <v>0</v>
      </c>
      <c r="N165" s="1">
        <v>0</v>
      </c>
      <c r="O165" s="1">
        <v>0.3</v>
      </c>
      <c r="P165" s="1">
        <v>1.6</v>
      </c>
      <c r="Q165" s="1">
        <v>0.2</v>
      </c>
      <c r="R165" s="1">
        <v>0.4</v>
      </c>
      <c r="S165" s="1">
        <v>1.2</v>
      </c>
      <c r="T165" s="1">
        <v>0</v>
      </c>
      <c r="U165" s="1">
        <v>0</v>
      </c>
      <c r="V165" s="1">
        <v>34.6</v>
      </c>
      <c r="W165" s="1">
        <f t="shared" si="5"/>
        <v>38.9</v>
      </c>
      <c r="X165" s="1"/>
      <c r="Y165" s="6"/>
      <c r="Z165" s="1">
        <v>11.82</v>
      </c>
      <c r="AA165" s="1"/>
      <c r="AB165" s="6"/>
      <c r="AC165" s="6"/>
      <c r="AD165" s="1">
        <v>3.8</v>
      </c>
      <c r="AE165" s="1"/>
    </row>
    <row r="166" spans="1:31" ht="15" customHeight="1">
      <c r="A166" s="1"/>
      <c r="B166" s="1"/>
      <c r="C166" s="1"/>
      <c r="D166" s="1">
        <v>4</v>
      </c>
      <c r="E166" s="1">
        <v>0</v>
      </c>
      <c r="F166" s="1">
        <v>0</v>
      </c>
      <c r="G166" s="1">
        <v>0</v>
      </c>
      <c r="H166" s="1">
        <v>0</v>
      </c>
      <c r="I166" s="1">
        <v>23</v>
      </c>
      <c r="J166" s="1">
        <v>0</v>
      </c>
      <c r="K166" s="1">
        <v>0</v>
      </c>
      <c r="L166" s="1">
        <v>0</v>
      </c>
      <c r="M166" s="1">
        <v>0</v>
      </c>
      <c r="N166" s="1">
        <v>0</v>
      </c>
      <c r="O166" s="1">
        <v>1.4</v>
      </c>
      <c r="P166" s="1">
        <v>6</v>
      </c>
      <c r="Q166" s="1">
        <v>0</v>
      </c>
      <c r="R166" s="1">
        <v>0.9</v>
      </c>
      <c r="S166" s="1">
        <v>0.7</v>
      </c>
      <c r="T166" s="1">
        <v>0</v>
      </c>
      <c r="U166" s="1">
        <v>0</v>
      </c>
      <c r="V166" s="1">
        <v>44.7</v>
      </c>
      <c r="W166" s="1">
        <f t="shared" si="5"/>
        <v>76.7</v>
      </c>
      <c r="X166" s="1"/>
      <c r="Y166" s="6"/>
      <c r="Z166" s="30">
        <v>3.2</v>
      </c>
      <c r="AA166" s="1"/>
      <c r="AB166" s="6"/>
      <c r="AC166" s="6"/>
      <c r="AD166" s="1">
        <v>10.5</v>
      </c>
      <c r="AE166" s="1"/>
    </row>
    <row r="167" spans="1:31" ht="15" customHeight="1">
      <c r="A167" s="1"/>
      <c r="B167" s="1"/>
      <c r="C167" s="1"/>
      <c r="D167" s="1">
        <v>5</v>
      </c>
      <c r="E167" s="1">
        <v>0</v>
      </c>
      <c r="F167" s="1">
        <v>0</v>
      </c>
      <c r="G167" s="1">
        <v>0</v>
      </c>
      <c r="H167" s="1">
        <v>0</v>
      </c>
      <c r="I167" s="1">
        <v>27.9</v>
      </c>
      <c r="J167" s="1">
        <v>0</v>
      </c>
      <c r="K167" s="1">
        <v>0</v>
      </c>
      <c r="L167" s="1">
        <v>0</v>
      </c>
      <c r="M167" s="1">
        <v>0</v>
      </c>
      <c r="N167" s="1">
        <v>0</v>
      </c>
      <c r="O167" s="1">
        <v>2.5</v>
      </c>
      <c r="P167" s="1">
        <v>0.1</v>
      </c>
      <c r="Q167" s="1">
        <v>0</v>
      </c>
      <c r="R167" s="1">
        <v>0.6</v>
      </c>
      <c r="S167" s="1">
        <v>0.3</v>
      </c>
      <c r="T167" s="1">
        <v>0</v>
      </c>
      <c r="U167" s="1">
        <v>0</v>
      </c>
      <c r="V167" s="1">
        <v>26</v>
      </c>
      <c r="W167" s="1">
        <f t="shared" si="5"/>
        <v>57.400000000000006</v>
      </c>
      <c r="X167" s="1">
        <f>AVERAGE(W163:W167)</f>
        <v>64.660000000000011</v>
      </c>
      <c r="Y167" s="6"/>
      <c r="Z167" s="30">
        <v>11.2</v>
      </c>
      <c r="AA167" s="30">
        <f>AVERAGE(Z163:Z167)</f>
        <v>9.9439999999999991</v>
      </c>
      <c r="AB167" s="6"/>
      <c r="AC167" s="6"/>
      <c r="AD167" s="1">
        <v>1</v>
      </c>
      <c r="AE167" s="1">
        <f>AVERAGE(AD163:AD167)</f>
        <v>3.72</v>
      </c>
    </row>
    <row r="168" spans="1:31" ht="15" customHeight="1">
      <c r="A168" s="1"/>
      <c r="B168" s="1"/>
      <c r="C168" s="1">
        <v>2</v>
      </c>
      <c r="D168" s="1">
        <v>1</v>
      </c>
      <c r="E168" s="1">
        <v>0</v>
      </c>
      <c r="F168" s="1">
        <v>0</v>
      </c>
      <c r="G168" s="1">
        <v>0</v>
      </c>
      <c r="H168" s="1">
        <v>0</v>
      </c>
      <c r="I168" s="1">
        <v>21.3</v>
      </c>
      <c r="J168" s="1">
        <v>0</v>
      </c>
      <c r="K168" s="1">
        <v>0</v>
      </c>
      <c r="L168" s="1">
        <v>0</v>
      </c>
      <c r="M168" s="1">
        <v>0</v>
      </c>
      <c r="N168" s="1">
        <v>0</v>
      </c>
      <c r="O168" s="1">
        <v>0.8</v>
      </c>
      <c r="P168" s="1">
        <v>17.8</v>
      </c>
      <c r="Q168" s="1">
        <v>0</v>
      </c>
      <c r="R168" s="1">
        <v>0</v>
      </c>
      <c r="S168" s="1">
        <v>1.3</v>
      </c>
      <c r="T168" s="1">
        <v>0</v>
      </c>
      <c r="U168" s="1">
        <v>0</v>
      </c>
      <c r="V168" s="1">
        <v>48.2</v>
      </c>
      <c r="W168" s="1">
        <f t="shared" si="5"/>
        <v>89.4</v>
      </c>
      <c r="X168" s="1"/>
      <c r="Y168" s="6"/>
      <c r="Z168" s="30">
        <v>12.8</v>
      </c>
      <c r="AA168" s="1"/>
      <c r="AB168" s="6"/>
      <c r="AC168" s="6"/>
      <c r="AD168" s="1">
        <v>3.9</v>
      </c>
      <c r="AE168" s="1"/>
    </row>
    <row r="169" spans="1:31" ht="15" customHeight="1">
      <c r="A169" s="1"/>
      <c r="B169" s="1"/>
      <c r="C169" s="1"/>
      <c r="D169" s="1">
        <v>2</v>
      </c>
      <c r="E169" s="1">
        <v>0</v>
      </c>
      <c r="F169" s="1">
        <v>0</v>
      </c>
      <c r="G169" s="1">
        <v>0</v>
      </c>
      <c r="H169" s="1">
        <v>0</v>
      </c>
      <c r="I169" s="1">
        <v>24.2</v>
      </c>
      <c r="J169" s="1">
        <v>0</v>
      </c>
      <c r="K169" s="1">
        <v>0</v>
      </c>
      <c r="L169" s="1">
        <v>0</v>
      </c>
      <c r="M169" s="1">
        <v>0</v>
      </c>
      <c r="N169" s="1">
        <v>0</v>
      </c>
      <c r="O169" s="1">
        <v>1</v>
      </c>
      <c r="P169" s="1">
        <v>4.5</v>
      </c>
      <c r="Q169" s="1">
        <v>1.6</v>
      </c>
      <c r="R169" s="1">
        <v>0</v>
      </c>
      <c r="S169" s="1">
        <v>2.7</v>
      </c>
      <c r="T169" s="1">
        <v>0</v>
      </c>
      <c r="U169" s="1">
        <v>1.1000000000000001</v>
      </c>
      <c r="V169" s="1">
        <v>36.5</v>
      </c>
      <c r="W169" s="1">
        <f t="shared" si="5"/>
        <v>71.599999999999994</v>
      </c>
      <c r="X169" s="1"/>
      <c r="Y169" s="6"/>
      <c r="Z169" s="30">
        <v>12.1</v>
      </c>
      <c r="AA169" s="1"/>
      <c r="AB169" s="6"/>
      <c r="AC169" s="6"/>
      <c r="AD169" s="1">
        <v>3</v>
      </c>
      <c r="AE169" s="1"/>
    </row>
    <row r="170" spans="1:31" ht="15" customHeight="1">
      <c r="A170" s="1"/>
      <c r="B170" s="1"/>
      <c r="C170" s="1"/>
      <c r="D170" s="1">
        <v>3</v>
      </c>
      <c r="E170" s="1">
        <v>1.5</v>
      </c>
      <c r="F170" s="1">
        <v>0</v>
      </c>
      <c r="G170" s="1">
        <v>0</v>
      </c>
      <c r="H170" s="1">
        <v>0</v>
      </c>
      <c r="I170" s="1">
        <v>14.6</v>
      </c>
      <c r="J170" s="1">
        <v>0</v>
      </c>
      <c r="K170" s="1">
        <v>0</v>
      </c>
      <c r="L170" s="1">
        <v>0</v>
      </c>
      <c r="M170" s="1">
        <v>0.2</v>
      </c>
      <c r="N170" s="1">
        <v>0</v>
      </c>
      <c r="O170" s="1">
        <v>0.5</v>
      </c>
      <c r="P170" s="1">
        <v>24.1</v>
      </c>
      <c r="Q170" s="1">
        <v>0.6</v>
      </c>
      <c r="R170" s="1">
        <v>0.1</v>
      </c>
      <c r="S170" s="1">
        <v>0.9</v>
      </c>
      <c r="T170" s="1">
        <v>0</v>
      </c>
      <c r="U170" s="1">
        <v>0.2</v>
      </c>
      <c r="V170" s="1">
        <v>29.4</v>
      </c>
      <c r="W170" s="1">
        <f t="shared" si="5"/>
        <v>72.100000000000009</v>
      </c>
      <c r="X170" s="1"/>
      <c r="Y170" s="6"/>
      <c r="Z170" s="30">
        <v>9.9</v>
      </c>
      <c r="AA170" s="1"/>
      <c r="AB170" s="6"/>
      <c r="AC170" s="6"/>
      <c r="AD170" s="1">
        <v>2.9</v>
      </c>
      <c r="AE170" s="1"/>
    </row>
    <row r="171" spans="1:31" ht="15" customHeight="1">
      <c r="A171" s="1"/>
      <c r="B171" s="1"/>
      <c r="C171" s="1"/>
      <c r="D171" s="1">
        <v>4</v>
      </c>
      <c r="E171" s="1">
        <v>0</v>
      </c>
      <c r="F171" s="1">
        <v>0</v>
      </c>
      <c r="G171" s="1">
        <v>0</v>
      </c>
      <c r="H171" s="1">
        <v>0</v>
      </c>
      <c r="I171" s="1">
        <v>13.4</v>
      </c>
      <c r="J171" s="1">
        <v>0</v>
      </c>
      <c r="K171" s="1">
        <v>0</v>
      </c>
      <c r="L171" s="1">
        <v>0</v>
      </c>
      <c r="M171" s="1">
        <v>3.7</v>
      </c>
      <c r="N171" s="1">
        <v>0</v>
      </c>
      <c r="O171" s="1">
        <v>0</v>
      </c>
      <c r="P171" s="1">
        <v>16.5</v>
      </c>
      <c r="Q171" s="1">
        <v>0.2</v>
      </c>
      <c r="R171" s="1">
        <v>1.1000000000000001</v>
      </c>
      <c r="S171" s="1">
        <v>1.4</v>
      </c>
      <c r="T171" s="1">
        <v>0</v>
      </c>
      <c r="U171" s="1">
        <v>4</v>
      </c>
      <c r="V171" s="1">
        <v>50.3</v>
      </c>
      <c r="W171" s="1">
        <f t="shared" si="5"/>
        <v>90.6</v>
      </c>
      <c r="X171" s="1"/>
      <c r="Y171" s="6"/>
      <c r="Z171" s="1">
        <v>11.15</v>
      </c>
      <c r="AA171" s="1"/>
      <c r="AB171" s="6"/>
      <c r="AC171" s="6"/>
      <c r="AD171" s="1">
        <v>3.1</v>
      </c>
      <c r="AE171" s="1"/>
    </row>
    <row r="172" spans="1:31" ht="15" customHeight="1">
      <c r="A172" s="1"/>
      <c r="B172" s="1"/>
      <c r="C172" s="1"/>
      <c r="D172" s="1">
        <v>5</v>
      </c>
      <c r="E172" s="1">
        <v>0</v>
      </c>
      <c r="F172" s="1">
        <v>0</v>
      </c>
      <c r="G172" s="1">
        <v>0</v>
      </c>
      <c r="H172" s="1">
        <v>0</v>
      </c>
      <c r="I172" s="1">
        <v>17</v>
      </c>
      <c r="J172" s="1">
        <v>0</v>
      </c>
      <c r="K172" s="1">
        <v>0</v>
      </c>
      <c r="L172" s="1">
        <v>0</v>
      </c>
      <c r="M172" s="1">
        <v>0</v>
      </c>
      <c r="N172" s="1">
        <v>0</v>
      </c>
      <c r="O172" s="1">
        <v>0.8</v>
      </c>
      <c r="P172" s="1">
        <v>11</v>
      </c>
      <c r="Q172" s="1">
        <v>0</v>
      </c>
      <c r="R172" s="1">
        <v>0.2</v>
      </c>
      <c r="S172" s="1">
        <v>0.6</v>
      </c>
      <c r="T172" s="1">
        <v>0</v>
      </c>
      <c r="U172" s="1">
        <v>0</v>
      </c>
      <c r="V172" s="1">
        <v>35.5</v>
      </c>
      <c r="W172" s="1">
        <f t="shared" si="5"/>
        <v>65.099999999999994</v>
      </c>
      <c r="X172" s="1">
        <f>AVERAGE(W168:W172)</f>
        <v>77.760000000000019</v>
      </c>
      <c r="Y172" s="6"/>
      <c r="Z172" s="30">
        <v>7.5</v>
      </c>
      <c r="AA172" s="30">
        <f>AVERAGE(Z168:Z172)</f>
        <v>10.69</v>
      </c>
      <c r="AB172" s="6"/>
      <c r="AC172" s="6"/>
      <c r="AD172" s="1">
        <v>0.9</v>
      </c>
      <c r="AE172" s="1">
        <f>AVERAGE(AD168:AD172)</f>
        <v>2.7600000000000002</v>
      </c>
    </row>
    <row r="173" spans="1:31" ht="15" customHeight="1">
      <c r="A173" s="1"/>
      <c r="B173" s="1"/>
      <c r="C173" s="1">
        <v>3</v>
      </c>
      <c r="D173" s="1">
        <v>1</v>
      </c>
      <c r="E173" s="1">
        <v>0.4</v>
      </c>
      <c r="F173" s="1">
        <v>0</v>
      </c>
      <c r="G173" s="1">
        <v>0</v>
      </c>
      <c r="H173" s="1">
        <v>0</v>
      </c>
      <c r="I173" s="1">
        <v>19.7</v>
      </c>
      <c r="J173" s="1">
        <v>0</v>
      </c>
      <c r="K173" s="1">
        <v>0</v>
      </c>
      <c r="L173" s="1">
        <v>0</v>
      </c>
      <c r="M173" s="1">
        <v>7.5</v>
      </c>
      <c r="N173" s="1">
        <v>0</v>
      </c>
      <c r="O173" s="1">
        <v>0.3</v>
      </c>
      <c r="P173" s="1">
        <v>6.1</v>
      </c>
      <c r="Q173" s="1">
        <v>0</v>
      </c>
      <c r="R173" s="1">
        <v>0.2</v>
      </c>
      <c r="S173" s="1">
        <v>3.8</v>
      </c>
      <c r="T173" s="1">
        <v>0</v>
      </c>
      <c r="U173" s="1">
        <v>0</v>
      </c>
      <c r="V173" s="1">
        <v>48.3</v>
      </c>
      <c r="W173" s="1">
        <f t="shared" si="5"/>
        <v>86.3</v>
      </c>
      <c r="X173" s="1"/>
      <c r="Y173" s="6"/>
      <c r="Z173" s="1">
        <v>13.34</v>
      </c>
      <c r="AA173" s="1"/>
      <c r="AB173" s="6"/>
      <c r="AC173" s="6"/>
      <c r="AD173" s="1">
        <v>5</v>
      </c>
      <c r="AE173" s="1"/>
    </row>
    <row r="174" spans="1:31" ht="15" customHeight="1">
      <c r="A174" s="1"/>
      <c r="B174" s="1"/>
      <c r="C174" s="1"/>
      <c r="D174" s="1">
        <v>2</v>
      </c>
      <c r="E174" s="1">
        <v>0.1</v>
      </c>
      <c r="F174" s="1">
        <v>0</v>
      </c>
      <c r="G174" s="1">
        <v>0</v>
      </c>
      <c r="H174" s="1">
        <v>0</v>
      </c>
      <c r="I174" s="1">
        <v>8.4</v>
      </c>
      <c r="J174" s="1">
        <v>0</v>
      </c>
      <c r="K174" s="1">
        <v>0</v>
      </c>
      <c r="L174" s="1">
        <v>0</v>
      </c>
      <c r="M174" s="1">
        <v>5</v>
      </c>
      <c r="N174" s="1">
        <v>0</v>
      </c>
      <c r="O174" s="1">
        <v>0.2</v>
      </c>
      <c r="P174" s="1">
        <v>7.4</v>
      </c>
      <c r="Q174" s="1">
        <v>0.2</v>
      </c>
      <c r="R174" s="1">
        <v>0.6</v>
      </c>
      <c r="S174" s="1">
        <v>1.6</v>
      </c>
      <c r="T174" s="1">
        <v>0</v>
      </c>
      <c r="U174" s="1">
        <v>0</v>
      </c>
      <c r="V174" s="1">
        <v>35.1</v>
      </c>
      <c r="W174" s="1">
        <f t="shared" si="5"/>
        <v>58.600000000000009</v>
      </c>
      <c r="X174" s="1"/>
      <c r="Y174" s="6"/>
      <c r="Z174" s="1">
        <v>5.57</v>
      </c>
      <c r="AA174" s="1"/>
      <c r="AB174" s="6"/>
      <c r="AC174" s="6"/>
      <c r="AD174" s="1">
        <v>1.5</v>
      </c>
      <c r="AE174" s="1"/>
    </row>
    <row r="175" spans="1:31" ht="15" customHeight="1">
      <c r="A175" s="1"/>
      <c r="B175" s="1"/>
      <c r="C175" s="1"/>
      <c r="D175" s="1">
        <v>3</v>
      </c>
      <c r="E175" s="1">
        <v>0.2</v>
      </c>
      <c r="F175" s="1">
        <v>0</v>
      </c>
      <c r="G175" s="1">
        <v>0</v>
      </c>
      <c r="H175" s="1">
        <v>0</v>
      </c>
      <c r="I175" s="1">
        <v>17.5</v>
      </c>
      <c r="J175" s="1">
        <v>0</v>
      </c>
      <c r="K175" s="1">
        <v>0</v>
      </c>
      <c r="L175" s="1">
        <v>0</v>
      </c>
      <c r="M175" s="1">
        <v>7.9</v>
      </c>
      <c r="N175" s="1">
        <v>0</v>
      </c>
      <c r="O175" s="1">
        <v>1.2</v>
      </c>
      <c r="P175" s="1">
        <v>7</v>
      </c>
      <c r="Q175" s="1">
        <v>2</v>
      </c>
      <c r="R175" s="1">
        <v>0.8</v>
      </c>
      <c r="S175" s="1">
        <v>0.7</v>
      </c>
      <c r="T175" s="1">
        <v>0</v>
      </c>
      <c r="U175" s="1">
        <v>0</v>
      </c>
      <c r="V175" s="1">
        <v>42</v>
      </c>
      <c r="W175" s="1">
        <f t="shared" si="5"/>
        <v>79.3</v>
      </c>
      <c r="X175" s="1"/>
      <c r="Y175" s="6"/>
      <c r="Z175" s="1">
        <v>4.3600000000000003</v>
      </c>
      <c r="AA175" s="1"/>
      <c r="AB175" s="6"/>
      <c r="AC175" s="6"/>
      <c r="AD175" s="1">
        <v>2.2999999999999998</v>
      </c>
      <c r="AE175" s="1"/>
    </row>
    <row r="176" spans="1:31" ht="15" customHeight="1">
      <c r="A176" s="1"/>
      <c r="B176" s="1"/>
      <c r="C176" s="1"/>
      <c r="D176" s="1">
        <v>4</v>
      </c>
      <c r="E176" s="1">
        <v>1.4</v>
      </c>
      <c r="F176" s="1">
        <v>0</v>
      </c>
      <c r="G176" s="1">
        <v>0</v>
      </c>
      <c r="H176" s="1">
        <v>0</v>
      </c>
      <c r="I176" s="1">
        <v>26.2</v>
      </c>
      <c r="J176" s="1">
        <v>0</v>
      </c>
      <c r="K176" s="1">
        <v>0</v>
      </c>
      <c r="L176" s="1">
        <v>0</v>
      </c>
      <c r="M176" s="1">
        <v>3.6</v>
      </c>
      <c r="N176" s="1">
        <v>0</v>
      </c>
      <c r="O176" s="1">
        <v>0.7</v>
      </c>
      <c r="P176" s="1">
        <v>4.5</v>
      </c>
      <c r="Q176" s="1">
        <v>0.5</v>
      </c>
      <c r="R176" s="1">
        <v>0.3</v>
      </c>
      <c r="S176" s="1">
        <v>0.4</v>
      </c>
      <c r="T176" s="1">
        <v>0</v>
      </c>
      <c r="U176" s="1">
        <v>0</v>
      </c>
      <c r="V176" s="1">
        <v>34.9</v>
      </c>
      <c r="W176" s="1">
        <f t="shared" si="5"/>
        <v>72.5</v>
      </c>
      <c r="X176" s="1"/>
      <c r="Y176" s="6"/>
      <c r="Z176" s="1">
        <v>3.12</v>
      </c>
      <c r="AA176" s="1"/>
      <c r="AB176" s="6"/>
      <c r="AC176" s="6"/>
      <c r="AD176" s="1">
        <v>0.8</v>
      </c>
      <c r="AE176" s="1"/>
    </row>
    <row r="177" spans="1:31" ht="15" customHeight="1">
      <c r="A177" s="1"/>
      <c r="B177" s="1"/>
      <c r="C177" s="1"/>
      <c r="D177" s="1">
        <v>5</v>
      </c>
      <c r="E177" s="10">
        <v>0</v>
      </c>
      <c r="F177" s="10">
        <v>0</v>
      </c>
      <c r="G177" s="10">
        <v>0</v>
      </c>
      <c r="H177" s="10">
        <v>0</v>
      </c>
      <c r="I177" s="10">
        <v>0</v>
      </c>
      <c r="J177" s="10">
        <v>0</v>
      </c>
      <c r="K177" s="10">
        <v>0</v>
      </c>
      <c r="L177" s="10">
        <v>0</v>
      </c>
      <c r="M177" s="10">
        <v>0</v>
      </c>
      <c r="N177" s="10">
        <v>0</v>
      </c>
      <c r="O177" s="10">
        <v>0</v>
      </c>
      <c r="P177" s="10">
        <v>0</v>
      </c>
      <c r="Q177" s="10">
        <v>0</v>
      </c>
      <c r="R177" s="10">
        <v>0</v>
      </c>
      <c r="S177" s="10">
        <v>0</v>
      </c>
      <c r="T177" s="10">
        <v>0</v>
      </c>
      <c r="U177" s="10">
        <v>0</v>
      </c>
      <c r="V177" s="10">
        <v>0</v>
      </c>
      <c r="W177" s="8">
        <f>AVERAGE(W173:W176)</f>
        <v>74.174999999999997</v>
      </c>
      <c r="X177" s="1">
        <f>AVERAGE(W173:W177)</f>
        <v>74.174999999999997</v>
      </c>
      <c r="Y177" s="6"/>
      <c r="Z177" s="1">
        <v>9.17</v>
      </c>
      <c r="AA177" s="1">
        <f>AVERAGE(Z173:Z177)</f>
        <v>7.1120000000000001</v>
      </c>
      <c r="AB177" s="6"/>
      <c r="AC177" s="6"/>
      <c r="AD177" s="1">
        <v>8.6</v>
      </c>
      <c r="AE177" s="1">
        <f>AVERAGE(AD173:AD177)</f>
        <v>3.6400000000000006</v>
      </c>
    </row>
    <row r="178" spans="1:31" ht="15" customHeight="1">
      <c r="A178" s="1"/>
      <c r="B178" s="1"/>
      <c r="C178" s="1">
        <v>4</v>
      </c>
      <c r="D178" s="1">
        <v>1</v>
      </c>
      <c r="E178" s="10">
        <v>0</v>
      </c>
      <c r="F178" s="10">
        <v>0</v>
      </c>
      <c r="G178" s="10">
        <v>0</v>
      </c>
      <c r="H178" s="10">
        <v>0</v>
      </c>
      <c r="I178" s="10">
        <v>0</v>
      </c>
      <c r="J178" s="10">
        <v>0</v>
      </c>
      <c r="K178" s="10">
        <v>0</v>
      </c>
      <c r="L178" s="10">
        <v>0</v>
      </c>
      <c r="M178" s="10">
        <v>0</v>
      </c>
      <c r="N178" s="10">
        <v>0</v>
      </c>
      <c r="O178" s="10">
        <v>0</v>
      </c>
      <c r="P178" s="10">
        <v>0</v>
      </c>
      <c r="Q178" s="10">
        <v>0</v>
      </c>
      <c r="R178" s="10">
        <v>0</v>
      </c>
      <c r="S178" s="10">
        <v>0</v>
      </c>
      <c r="T178" s="10">
        <v>0</v>
      </c>
      <c r="U178" s="10">
        <v>0</v>
      </c>
      <c r="V178" s="10">
        <v>0</v>
      </c>
      <c r="W178" s="8">
        <f>AVERAGE(W179:W181)</f>
        <v>93.800000000000011</v>
      </c>
      <c r="X178" s="1"/>
      <c r="Y178" s="6"/>
      <c r="Z178" s="1">
        <v>23.6</v>
      </c>
      <c r="AA178" s="1"/>
      <c r="AB178" s="6"/>
      <c r="AC178" s="6"/>
      <c r="AD178" s="1">
        <v>1.7</v>
      </c>
      <c r="AE178" s="1"/>
    </row>
    <row r="179" spans="1:31" ht="15" customHeight="1">
      <c r="A179" s="1"/>
      <c r="B179" s="1"/>
      <c r="C179" s="1"/>
      <c r="D179" s="1">
        <v>2</v>
      </c>
      <c r="E179" s="1">
        <v>0</v>
      </c>
      <c r="F179" s="1">
        <v>0</v>
      </c>
      <c r="G179" s="1">
        <v>0</v>
      </c>
      <c r="H179" s="1">
        <v>0</v>
      </c>
      <c r="I179" s="1">
        <v>31.6</v>
      </c>
      <c r="J179" s="1">
        <v>0</v>
      </c>
      <c r="K179" s="1">
        <v>0</v>
      </c>
      <c r="L179" s="1">
        <v>0</v>
      </c>
      <c r="M179" s="1">
        <v>1.5</v>
      </c>
      <c r="N179" s="1">
        <v>0</v>
      </c>
      <c r="O179" s="1">
        <v>1.1000000000000001</v>
      </c>
      <c r="P179" s="1">
        <v>55.4</v>
      </c>
      <c r="Q179" s="1">
        <v>0</v>
      </c>
      <c r="R179" s="1">
        <v>2.7</v>
      </c>
      <c r="S179" s="1">
        <v>1</v>
      </c>
      <c r="T179" s="1">
        <v>0</v>
      </c>
      <c r="U179" s="1">
        <v>0</v>
      </c>
      <c r="V179" s="1">
        <v>12.1</v>
      </c>
      <c r="W179" s="1">
        <f t="shared" ref="W179:W181" si="6">SUM(E179:V179)</f>
        <v>105.39999999999999</v>
      </c>
      <c r="X179" s="1"/>
      <c r="Y179" s="6"/>
      <c r="Z179" s="1">
        <v>16.03</v>
      </c>
      <c r="AA179" s="1"/>
      <c r="AB179" s="6"/>
      <c r="AC179" s="6"/>
      <c r="AD179" s="1">
        <v>4</v>
      </c>
      <c r="AE179" s="1"/>
    </row>
    <row r="180" spans="1:31" ht="15" customHeight="1">
      <c r="A180" s="1"/>
      <c r="B180" s="1"/>
      <c r="C180" s="1"/>
      <c r="D180" s="1">
        <v>3</v>
      </c>
      <c r="E180" s="1">
        <v>0</v>
      </c>
      <c r="F180" s="1">
        <v>0</v>
      </c>
      <c r="G180" s="1">
        <v>0</v>
      </c>
      <c r="H180" s="1">
        <v>0</v>
      </c>
      <c r="I180" s="1">
        <v>41.5</v>
      </c>
      <c r="J180" s="1">
        <v>0</v>
      </c>
      <c r="K180" s="1">
        <v>0</v>
      </c>
      <c r="L180" s="1">
        <v>0</v>
      </c>
      <c r="M180" s="1">
        <v>0.2</v>
      </c>
      <c r="N180" s="1">
        <v>0</v>
      </c>
      <c r="O180" s="1">
        <v>1.7</v>
      </c>
      <c r="P180" s="1">
        <v>18.7</v>
      </c>
      <c r="Q180" s="1">
        <v>0.6</v>
      </c>
      <c r="R180" s="1">
        <v>0.7</v>
      </c>
      <c r="S180" s="1">
        <v>0.4</v>
      </c>
      <c r="T180" s="1">
        <v>0</v>
      </c>
      <c r="U180" s="1">
        <v>0</v>
      </c>
      <c r="V180" s="1">
        <v>23.9</v>
      </c>
      <c r="W180" s="1">
        <f t="shared" si="6"/>
        <v>87.700000000000017</v>
      </c>
      <c r="X180" s="1"/>
      <c r="Y180" s="6"/>
      <c r="Z180" s="1">
        <v>23.35</v>
      </c>
      <c r="AA180" s="1"/>
      <c r="AB180" s="6"/>
      <c r="AC180" s="6"/>
      <c r="AD180" s="1">
        <v>3.6</v>
      </c>
      <c r="AE180" s="1"/>
    </row>
    <row r="181" spans="1:31" ht="15" customHeight="1">
      <c r="A181" s="1"/>
      <c r="B181" s="1"/>
      <c r="C181" s="1"/>
      <c r="D181" s="1">
        <v>4</v>
      </c>
      <c r="E181" s="1">
        <v>0</v>
      </c>
      <c r="F181" s="1">
        <v>0</v>
      </c>
      <c r="G181" s="1">
        <v>0</v>
      </c>
      <c r="H181" s="1">
        <v>0</v>
      </c>
      <c r="I181" s="1">
        <v>35.200000000000003</v>
      </c>
      <c r="J181" s="1">
        <v>0</v>
      </c>
      <c r="K181" s="1">
        <v>0</v>
      </c>
      <c r="L181" s="1">
        <v>0</v>
      </c>
      <c r="M181" s="1">
        <v>0</v>
      </c>
      <c r="N181" s="1">
        <v>0</v>
      </c>
      <c r="O181" s="1">
        <v>7.2</v>
      </c>
      <c r="P181" s="1">
        <v>10.1</v>
      </c>
      <c r="Q181" s="1"/>
      <c r="R181" s="1">
        <v>2</v>
      </c>
      <c r="S181" s="1">
        <v>1.1000000000000001</v>
      </c>
      <c r="T181" s="1">
        <v>0</v>
      </c>
      <c r="U181" s="1">
        <v>0</v>
      </c>
      <c r="V181" s="1">
        <v>32.700000000000003</v>
      </c>
      <c r="W181" s="1">
        <f t="shared" si="6"/>
        <v>88.300000000000011</v>
      </c>
      <c r="X181" s="1"/>
      <c r="Y181" s="6"/>
      <c r="Z181" s="30">
        <v>24.5</v>
      </c>
      <c r="AA181" s="1"/>
      <c r="AB181" s="6"/>
      <c r="AC181" s="6"/>
      <c r="AD181" s="1">
        <v>3.2</v>
      </c>
      <c r="AE181" s="1"/>
    </row>
    <row r="182" spans="1:31" ht="15" customHeight="1">
      <c r="A182" s="1"/>
      <c r="B182" s="1"/>
      <c r="C182" s="1"/>
      <c r="D182" s="1">
        <v>5</v>
      </c>
      <c r="E182" s="10">
        <v>0</v>
      </c>
      <c r="F182" s="10">
        <v>0</v>
      </c>
      <c r="G182" s="10">
        <v>0</v>
      </c>
      <c r="H182" s="10">
        <v>0</v>
      </c>
      <c r="I182" s="10">
        <v>0</v>
      </c>
      <c r="J182" s="10">
        <v>0</v>
      </c>
      <c r="K182" s="10">
        <v>0</v>
      </c>
      <c r="L182" s="10">
        <v>0</v>
      </c>
      <c r="M182" s="10">
        <v>0</v>
      </c>
      <c r="N182" s="10">
        <v>0</v>
      </c>
      <c r="O182" s="10">
        <v>0</v>
      </c>
      <c r="P182" s="10">
        <v>0</v>
      </c>
      <c r="Q182" s="10">
        <v>0</v>
      </c>
      <c r="R182" s="10">
        <v>0</v>
      </c>
      <c r="S182" s="10">
        <v>0</v>
      </c>
      <c r="T182" s="10">
        <v>0</v>
      </c>
      <c r="U182" s="10">
        <v>0</v>
      </c>
      <c r="V182" s="10">
        <v>0</v>
      </c>
      <c r="W182" s="8">
        <f>AVERAGE(W179:W181)</f>
        <v>93.800000000000011</v>
      </c>
      <c r="X182" s="1">
        <f>AVERAGE(W178:W182)</f>
        <v>93.8</v>
      </c>
      <c r="Y182" s="6"/>
      <c r="Z182" s="30">
        <v>25.2</v>
      </c>
      <c r="AA182" s="1">
        <f>AVERAGE(Z178:Z182)</f>
        <v>22.536000000000001</v>
      </c>
      <c r="AB182" s="6"/>
      <c r="AC182" s="6"/>
      <c r="AD182" s="1">
        <v>2.8</v>
      </c>
      <c r="AE182" s="1">
        <f>AVERAGE(AD178:AD182)</f>
        <v>3.06</v>
      </c>
    </row>
    <row r="183" spans="1:31" ht="15" customHeight="1">
      <c r="A183" s="1" t="s">
        <v>109</v>
      </c>
      <c r="B183" s="1" t="s">
        <v>104</v>
      </c>
      <c r="C183" s="1">
        <v>1</v>
      </c>
      <c r="D183" s="1">
        <v>1</v>
      </c>
      <c r="E183" s="1">
        <v>0</v>
      </c>
      <c r="F183" s="1">
        <v>0</v>
      </c>
      <c r="G183" s="1">
        <v>0</v>
      </c>
      <c r="H183" s="1">
        <v>0</v>
      </c>
      <c r="I183" s="1">
        <v>1.25</v>
      </c>
      <c r="J183" s="1">
        <v>0</v>
      </c>
      <c r="K183" s="1">
        <v>0</v>
      </c>
      <c r="L183" s="1">
        <v>2.89</v>
      </c>
      <c r="M183" s="1">
        <v>0</v>
      </c>
      <c r="N183" s="1">
        <v>0</v>
      </c>
      <c r="O183" s="1">
        <v>7.0000000000000007E-2</v>
      </c>
      <c r="P183" s="1">
        <v>23.74</v>
      </c>
      <c r="Q183" s="1">
        <v>0.75</v>
      </c>
      <c r="R183" s="1">
        <v>0</v>
      </c>
      <c r="S183" s="1">
        <v>0</v>
      </c>
      <c r="T183" s="1">
        <v>0</v>
      </c>
      <c r="U183" s="1">
        <v>2.67</v>
      </c>
      <c r="V183" s="1">
        <v>15.77</v>
      </c>
      <c r="W183" s="1">
        <f t="shared" ref="W183:W184" si="7">SUM(E183:V183)</f>
        <v>47.14</v>
      </c>
      <c r="X183" s="6"/>
      <c r="Y183" s="6"/>
      <c r="Z183" s="30">
        <v>14.5</v>
      </c>
      <c r="AA183" s="1"/>
      <c r="AB183" s="6"/>
      <c r="AC183" s="6"/>
      <c r="AD183" s="1">
        <v>8.1</v>
      </c>
      <c r="AE183" s="1"/>
    </row>
    <row r="184" spans="1:31" ht="15" customHeight="1">
      <c r="A184" s="1"/>
      <c r="B184" s="1"/>
      <c r="C184" s="1"/>
      <c r="D184" s="1">
        <v>2</v>
      </c>
      <c r="E184" s="1">
        <v>2.78</v>
      </c>
      <c r="F184" s="1">
        <v>0</v>
      </c>
      <c r="G184" s="1">
        <v>0.7</v>
      </c>
      <c r="H184" s="1">
        <v>0</v>
      </c>
      <c r="I184" s="1">
        <v>20.53</v>
      </c>
      <c r="J184" s="1">
        <v>0</v>
      </c>
      <c r="K184" s="1">
        <v>0</v>
      </c>
      <c r="L184" s="1">
        <v>2.33</v>
      </c>
      <c r="M184" s="1">
        <v>12.9</v>
      </c>
      <c r="N184" s="1">
        <v>0</v>
      </c>
      <c r="O184" s="1">
        <v>7.0000000000000007E-2</v>
      </c>
      <c r="P184" s="1">
        <v>1.42</v>
      </c>
      <c r="Q184" s="1">
        <v>0</v>
      </c>
      <c r="R184" s="1">
        <v>0</v>
      </c>
      <c r="S184" s="1">
        <v>0</v>
      </c>
      <c r="T184" s="1">
        <v>0</v>
      </c>
      <c r="U184" s="1">
        <v>55.2</v>
      </c>
      <c r="V184" s="1">
        <v>8.39</v>
      </c>
      <c r="W184" s="1">
        <f t="shared" si="7"/>
        <v>104.32000000000001</v>
      </c>
      <c r="X184" s="6"/>
      <c r="Y184" s="6"/>
      <c r="Z184" s="30">
        <v>10</v>
      </c>
      <c r="AA184" s="1"/>
      <c r="AB184" s="6"/>
      <c r="AC184" s="6"/>
      <c r="AD184" s="1">
        <v>0.9</v>
      </c>
      <c r="AE184" s="1"/>
    </row>
    <row r="185" spans="1:31" ht="15" customHeight="1">
      <c r="A185" s="1"/>
      <c r="B185" s="1"/>
      <c r="C185" s="1"/>
      <c r="D185" s="1">
        <v>3</v>
      </c>
      <c r="E185" s="10">
        <v>0</v>
      </c>
      <c r="F185" s="10">
        <v>0</v>
      </c>
      <c r="G185" s="10">
        <v>0</v>
      </c>
      <c r="H185" s="10">
        <v>0</v>
      </c>
      <c r="I185" s="10">
        <v>0</v>
      </c>
      <c r="J185" s="10">
        <v>0</v>
      </c>
      <c r="K185" s="10">
        <v>0</v>
      </c>
      <c r="L185" s="10">
        <v>0</v>
      </c>
      <c r="M185" s="10">
        <v>0</v>
      </c>
      <c r="N185" s="10">
        <v>0</v>
      </c>
      <c r="O185" s="10">
        <v>0</v>
      </c>
      <c r="P185" s="10">
        <v>0</v>
      </c>
      <c r="Q185" s="10">
        <v>0</v>
      </c>
      <c r="R185" s="10">
        <v>0</v>
      </c>
      <c r="S185" s="10">
        <v>0</v>
      </c>
      <c r="T185" s="10">
        <v>0</v>
      </c>
      <c r="U185" s="10">
        <v>0</v>
      </c>
      <c r="V185" s="10">
        <v>0</v>
      </c>
      <c r="W185" s="8">
        <f>AVERAGE(W183:W184,W186:W187)</f>
        <v>69.22</v>
      </c>
      <c r="X185" s="6"/>
      <c r="Y185" s="6"/>
      <c r="Z185" s="30">
        <v>10.9</v>
      </c>
      <c r="AA185" s="1"/>
      <c r="AB185" s="6"/>
      <c r="AC185" s="6"/>
      <c r="AD185" s="1">
        <v>5.4</v>
      </c>
      <c r="AE185" s="1"/>
    </row>
    <row r="186" spans="1:31" ht="15" customHeight="1">
      <c r="A186" s="1"/>
      <c r="B186" s="1"/>
      <c r="C186" s="1"/>
      <c r="D186" s="1">
        <v>4</v>
      </c>
      <c r="E186" s="1">
        <v>0</v>
      </c>
      <c r="F186" s="1">
        <v>0</v>
      </c>
      <c r="G186" s="1">
        <v>0.06</v>
      </c>
      <c r="H186" s="1">
        <v>0</v>
      </c>
      <c r="I186" s="1">
        <v>2.66</v>
      </c>
      <c r="J186" s="1">
        <v>0</v>
      </c>
      <c r="K186" s="1">
        <v>0</v>
      </c>
      <c r="L186" s="1">
        <v>0.22</v>
      </c>
      <c r="M186" s="1">
        <v>0</v>
      </c>
      <c r="N186" s="1">
        <v>0</v>
      </c>
      <c r="O186" s="1">
        <v>10.31</v>
      </c>
      <c r="P186" s="1">
        <v>9.94</v>
      </c>
      <c r="Q186" s="1">
        <v>0</v>
      </c>
      <c r="R186" s="1">
        <v>0</v>
      </c>
      <c r="S186" s="1">
        <v>0</v>
      </c>
      <c r="T186" s="1">
        <v>0</v>
      </c>
      <c r="U186" s="1">
        <v>2.54</v>
      </c>
      <c r="V186" s="1">
        <v>13.16</v>
      </c>
      <c r="W186" s="1">
        <f t="shared" ref="W186:W192" si="8">SUM(E186:V186)</f>
        <v>38.89</v>
      </c>
      <c r="X186" s="6"/>
      <c r="Y186" s="6"/>
      <c r="Z186" s="30">
        <v>10.1</v>
      </c>
      <c r="AA186" s="1"/>
      <c r="AB186" s="6"/>
      <c r="AC186" s="6"/>
      <c r="AD186" s="1">
        <v>2.2000000000000002</v>
      </c>
      <c r="AE186" s="1"/>
    </row>
    <row r="187" spans="1:31" ht="15" customHeight="1">
      <c r="A187" s="1"/>
      <c r="B187" s="1"/>
      <c r="C187" s="1"/>
      <c r="D187" s="1">
        <v>5</v>
      </c>
      <c r="E187" s="1">
        <v>0</v>
      </c>
      <c r="F187" s="1">
        <v>0</v>
      </c>
      <c r="G187" s="1">
        <v>0</v>
      </c>
      <c r="H187" s="1">
        <v>0</v>
      </c>
      <c r="I187" s="1">
        <v>6.96</v>
      </c>
      <c r="J187" s="1">
        <v>0</v>
      </c>
      <c r="K187" s="1">
        <v>0</v>
      </c>
      <c r="L187" s="1">
        <v>2.4000000000000004</v>
      </c>
      <c r="M187" s="1">
        <v>0</v>
      </c>
      <c r="N187" s="1">
        <v>0</v>
      </c>
      <c r="O187" s="1">
        <v>0.71</v>
      </c>
      <c r="P187" s="1">
        <v>20.3</v>
      </c>
      <c r="Q187" s="1">
        <v>1.01</v>
      </c>
      <c r="R187" s="1">
        <v>0</v>
      </c>
      <c r="S187" s="1">
        <v>0</v>
      </c>
      <c r="T187" s="1">
        <v>0</v>
      </c>
      <c r="U187" s="1">
        <v>20.04</v>
      </c>
      <c r="V187" s="1">
        <v>35.11</v>
      </c>
      <c r="W187" s="1">
        <f t="shared" si="8"/>
        <v>86.53</v>
      </c>
      <c r="X187" s="1">
        <f>AVERAGE(W183:W187)</f>
        <v>69.22</v>
      </c>
      <c r="Y187" s="6"/>
      <c r="Z187" s="30">
        <v>9</v>
      </c>
      <c r="AA187" s="30">
        <f>AVERAGE(Z183:Z187)</f>
        <v>10.9</v>
      </c>
      <c r="AB187" s="6"/>
      <c r="AC187" s="6"/>
      <c r="AD187" s="1">
        <v>2.2999999999999998</v>
      </c>
      <c r="AE187" s="1">
        <f>AVERAGE(AD183:AD187)</f>
        <v>3.7800000000000002</v>
      </c>
    </row>
    <row r="188" spans="1:31" ht="15" customHeight="1">
      <c r="A188" s="1"/>
      <c r="B188" s="1"/>
      <c r="C188" s="1">
        <v>2</v>
      </c>
      <c r="D188" s="1">
        <v>1</v>
      </c>
      <c r="E188" s="1">
        <v>0</v>
      </c>
      <c r="F188" s="1">
        <v>0</v>
      </c>
      <c r="G188" s="1">
        <v>0</v>
      </c>
      <c r="H188" s="1">
        <v>0</v>
      </c>
      <c r="I188" s="1">
        <v>1.3</v>
      </c>
      <c r="J188" s="1">
        <v>0</v>
      </c>
      <c r="K188" s="1">
        <v>0</v>
      </c>
      <c r="L188" s="1">
        <v>0.9</v>
      </c>
      <c r="M188" s="1">
        <v>0</v>
      </c>
      <c r="N188" s="1">
        <v>0</v>
      </c>
      <c r="O188" s="1">
        <v>0</v>
      </c>
      <c r="P188" s="1">
        <v>3.7</v>
      </c>
      <c r="Q188" s="1">
        <v>3.5</v>
      </c>
      <c r="R188" s="1">
        <v>0.3</v>
      </c>
      <c r="S188" s="1">
        <v>10.5</v>
      </c>
      <c r="T188" s="1">
        <v>0</v>
      </c>
      <c r="U188" s="1">
        <v>3.8</v>
      </c>
      <c r="V188" s="1">
        <v>14.7</v>
      </c>
      <c r="W188" s="1">
        <f t="shared" si="8"/>
        <v>38.700000000000003</v>
      </c>
      <c r="X188" s="1"/>
      <c r="Y188" s="6"/>
      <c r="Z188" s="30">
        <v>15</v>
      </c>
      <c r="AA188" s="1"/>
      <c r="AB188" s="6"/>
      <c r="AC188" s="6"/>
      <c r="AD188" s="1">
        <v>4</v>
      </c>
      <c r="AE188" s="1"/>
    </row>
    <row r="189" spans="1:31" ht="15" customHeight="1">
      <c r="A189" s="1"/>
      <c r="B189" s="1"/>
      <c r="C189" s="1"/>
      <c r="D189" s="1">
        <v>2</v>
      </c>
      <c r="E189" s="1">
        <v>0</v>
      </c>
      <c r="F189" s="1">
        <v>0</v>
      </c>
      <c r="G189" s="1">
        <v>0.1</v>
      </c>
      <c r="H189" s="1">
        <v>0</v>
      </c>
      <c r="I189" s="1">
        <v>0.59</v>
      </c>
      <c r="J189" s="1">
        <v>0</v>
      </c>
      <c r="K189" s="1">
        <v>0</v>
      </c>
      <c r="L189" s="1">
        <v>1.72</v>
      </c>
      <c r="M189" s="1">
        <v>0</v>
      </c>
      <c r="N189" s="1">
        <v>0</v>
      </c>
      <c r="O189" s="1">
        <v>0.23</v>
      </c>
      <c r="P189" s="1">
        <v>25.52</v>
      </c>
      <c r="Q189" s="1">
        <v>3.38</v>
      </c>
      <c r="R189" s="1">
        <v>3.82</v>
      </c>
      <c r="S189" s="1">
        <v>14.88</v>
      </c>
      <c r="T189" s="1">
        <v>0</v>
      </c>
      <c r="U189" s="1">
        <v>9.9700000000000006</v>
      </c>
      <c r="V189" s="1">
        <v>23.92</v>
      </c>
      <c r="W189" s="1">
        <f t="shared" si="8"/>
        <v>84.13</v>
      </c>
      <c r="X189" s="1"/>
      <c r="Y189" s="6"/>
      <c r="Z189" s="30">
        <v>13.6</v>
      </c>
      <c r="AA189" s="1"/>
      <c r="AB189" s="6"/>
      <c r="AC189" s="6"/>
      <c r="AD189" s="1">
        <v>2.8</v>
      </c>
      <c r="AE189" s="1"/>
    </row>
    <row r="190" spans="1:31" ht="15" customHeight="1">
      <c r="A190" s="1"/>
      <c r="B190" s="1"/>
      <c r="C190" s="1"/>
      <c r="D190" s="1">
        <v>3</v>
      </c>
      <c r="E190" s="1">
        <v>0</v>
      </c>
      <c r="F190" s="1">
        <v>0</v>
      </c>
      <c r="G190" s="1">
        <v>0.4</v>
      </c>
      <c r="H190" s="1">
        <v>0</v>
      </c>
      <c r="I190" s="1">
        <v>0.5</v>
      </c>
      <c r="J190" s="1">
        <v>0</v>
      </c>
      <c r="K190" s="1">
        <v>0</v>
      </c>
      <c r="L190" s="1">
        <v>0.7</v>
      </c>
      <c r="M190" s="1">
        <v>0</v>
      </c>
      <c r="N190" s="1">
        <v>0</v>
      </c>
      <c r="O190" s="1">
        <v>0.1</v>
      </c>
      <c r="P190" s="1">
        <v>5.3</v>
      </c>
      <c r="Q190" s="1"/>
      <c r="R190" s="1">
        <v>0.4</v>
      </c>
      <c r="S190" s="1">
        <v>10.7</v>
      </c>
      <c r="T190" s="1">
        <v>0</v>
      </c>
      <c r="U190" s="1">
        <v>13.8</v>
      </c>
      <c r="V190" s="1">
        <v>21.6</v>
      </c>
      <c r="W190" s="1">
        <f t="shared" si="8"/>
        <v>53.5</v>
      </c>
      <c r="X190" s="1"/>
      <c r="Y190" s="6"/>
      <c r="Z190" s="30">
        <v>15.2</v>
      </c>
      <c r="AA190" s="1"/>
      <c r="AB190" s="6"/>
      <c r="AC190" s="6"/>
      <c r="AD190" s="1">
        <v>2.9</v>
      </c>
      <c r="AE190" s="1"/>
    </row>
    <row r="191" spans="1:31" ht="15" customHeight="1">
      <c r="A191" s="1"/>
      <c r="B191" s="1"/>
      <c r="C191" s="1"/>
      <c r="D191" s="1">
        <v>4</v>
      </c>
      <c r="E191" s="1">
        <v>0</v>
      </c>
      <c r="F191" s="1">
        <v>0</v>
      </c>
      <c r="G191" s="1">
        <v>0.8</v>
      </c>
      <c r="H191" s="1">
        <v>0</v>
      </c>
      <c r="I191" s="1">
        <v>0.7</v>
      </c>
      <c r="J191" s="1">
        <v>0</v>
      </c>
      <c r="K191" s="1">
        <v>0</v>
      </c>
      <c r="L191" s="1">
        <v>0.8</v>
      </c>
      <c r="M191" s="1">
        <v>0</v>
      </c>
      <c r="N191" s="1">
        <v>0</v>
      </c>
      <c r="O191" s="1">
        <v>0.1</v>
      </c>
      <c r="P191" s="1">
        <v>4.8</v>
      </c>
      <c r="Q191" s="1">
        <v>0.5</v>
      </c>
      <c r="R191" s="1">
        <v>0.6</v>
      </c>
      <c r="S191" s="1">
        <v>10.1</v>
      </c>
      <c r="T191" s="1">
        <v>0</v>
      </c>
      <c r="U191" s="1">
        <v>9.6</v>
      </c>
      <c r="V191" s="1">
        <v>11</v>
      </c>
      <c r="W191" s="1">
        <f t="shared" si="8"/>
        <v>39</v>
      </c>
      <c r="X191" s="1"/>
      <c r="Y191" s="6"/>
      <c r="Z191" s="30">
        <v>16.100000000000001</v>
      </c>
      <c r="AA191" s="1"/>
      <c r="AB191" s="6"/>
      <c r="AC191" s="6"/>
      <c r="AD191" s="1">
        <v>1.9</v>
      </c>
      <c r="AE191" s="1"/>
    </row>
    <row r="192" spans="1:31" ht="15" customHeight="1">
      <c r="A192" s="1"/>
      <c r="B192" s="1"/>
      <c r="C192" s="1"/>
      <c r="D192" s="1">
        <v>5</v>
      </c>
      <c r="E192" s="1">
        <v>0</v>
      </c>
      <c r="F192" s="1">
        <v>0</v>
      </c>
      <c r="G192" s="1">
        <v>0.6</v>
      </c>
      <c r="H192" s="1">
        <v>0</v>
      </c>
      <c r="I192" s="1">
        <v>1.5</v>
      </c>
      <c r="J192" s="1">
        <v>0</v>
      </c>
      <c r="K192" s="1">
        <v>0</v>
      </c>
      <c r="L192" s="1">
        <v>0.3</v>
      </c>
      <c r="M192" s="1">
        <v>0</v>
      </c>
      <c r="N192" s="1">
        <v>0</v>
      </c>
      <c r="O192" s="1">
        <v>0.1</v>
      </c>
      <c r="P192" s="1">
        <v>5.3</v>
      </c>
      <c r="Q192" s="1">
        <v>2.1</v>
      </c>
      <c r="R192" s="1">
        <v>1.8</v>
      </c>
      <c r="S192" s="1">
        <v>7.5</v>
      </c>
      <c r="T192" s="1">
        <v>0</v>
      </c>
      <c r="U192" s="1">
        <v>4.4000000000000004</v>
      </c>
      <c r="V192" s="1">
        <v>13</v>
      </c>
      <c r="W192" s="1">
        <f t="shared" si="8"/>
        <v>36.6</v>
      </c>
      <c r="X192" s="1">
        <f>AVERAGE(W188:W192)</f>
        <v>50.385999999999996</v>
      </c>
      <c r="Y192" s="6"/>
      <c r="Z192" s="30">
        <v>21.3</v>
      </c>
      <c r="AA192" s="30">
        <f>AVERAGE(Z188:Z192)</f>
        <v>16.240000000000002</v>
      </c>
      <c r="AB192" s="6"/>
      <c r="AC192" s="6"/>
      <c r="AD192" s="1">
        <v>6.9</v>
      </c>
      <c r="AE192" s="1">
        <f>AVERAGE(AD188:AD192)</f>
        <v>3.7</v>
      </c>
    </row>
    <row r="193" spans="1:31" ht="15" customHeight="1">
      <c r="A193" s="1"/>
      <c r="B193" s="1"/>
      <c r="C193" s="1">
        <v>3</v>
      </c>
      <c r="D193" s="1">
        <v>1</v>
      </c>
      <c r="E193" s="10">
        <v>0</v>
      </c>
      <c r="F193" s="10">
        <v>0</v>
      </c>
      <c r="G193" s="10">
        <v>0</v>
      </c>
      <c r="H193" s="10">
        <v>0</v>
      </c>
      <c r="I193" s="10">
        <v>0</v>
      </c>
      <c r="J193" s="10">
        <v>0</v>
      </c>
      <c r="K193" s="10">
        <v>0</v>
      </c>
      <c r="L193" s="10">
        <v>0</v>
      </c>
      <c r="M193" s="10">
        <v>0</v>
      </c>
      <c r="N193" s="10">
        <v>0</v>
      </c>
      <c r="O193" s="10">
        <v>0</v>
      </c>
      <c r="P193" s="10">
        <v>0</v>
      </c>
      <c r="Q193" s="10">
        <v>0</v>
      </c>
      <c r="R193" s="10">
        <v>0</v>
      </c>
      <c r="S193" s="10">
        <v>0</v>
      </c>
      <c r="T193" s="10">
        <v>0</v>
      </c>
      <c r="U193" s="10">
        <v>0</v>
      </c>
      <c r="V193" s="10">
        <v>0</v>
      </c>
      <c r="W193" s="8">
        <f>AVERAGE(W194:W197)</f>
        <v>42.824999999999996</v>
      </c>
      <c r="X193" s="1"/>
      <c r="Y193" s="6"/>
      <c r="Z193" s="30">
        <v>14.7</v>
      </c>
      <c r="AA193" s="1"/>
      <c r="AB193" s="6"/>
      <c r="AC193" s="6"/>
      <c r="AD193" s="1">
        <v>16.2</v>
      </c>
      <c r="AE193" s="1"/>
    </row>
    <row r="194" spans="1:31" ht="15" customHeight="1">
      <c r="A194" s="1"/>
      <c r="B194" s="1"/>
      <c r="C194" s="1"/>
      <c r="D194" s="1">
        <v>2</v>
      </c>
      <c r="E194" s="1">
        <v>0</v>
      </c>
      <c r="F194" s="1">
        <v>0</v>
      </c>
      <c r="G194" s="1">
        <v>0.7</v>
      </c>
      <c r="H194" s="1">
        <v>0</v>
      </c>
      <c r="I194" s="1">
        <v>0.4</v>
      </c>
      <c r="J194" s="1">
        <v>0</v>
      </c>
      <c r="K194" s="1">
        <v>0</v>
      </c>
      <c r="L194" s="1">
        <v>0.2</v>
      </c>
      <c r="M194" s="1">
        <v>0</v>
      </c>
      <c r="N194" s="1">
        <v>0</v>
      </c>
      <c r="O194" s="1">
        <v>0</v>
      </c>
      <c r="P194" s="1">
        <v>10.1</v>
      </c>
      <c r="Q194" s="1">
        <v>0.3</v>
      </c>
      <c r="R194" s="1">
        <v>0.1</v>
      </c>
      <c r="S194" s="1">
        <v>2.6</v>
      </c>
      <c r="T194" s="1">
        <v>0</v>
      </c>
      <c r="U194" s="1">
        <v>4.7</v>
      </c>
      <c r="V194" s="1">
        <v>10.6</v>
      </c>
      <c r="W194" s="1">
        <f t="shared" ref="W194:W222" si="9">SUM(E194:V194)</f>
        <v>29.700000000000003</v>
      </c>
      <c r="X194" s="1"/>
      <c r="Y194" s="6"/>
      <c r="Z194" s="30">
        <v>23.2</v>
      </c>
      <c r="AA194" s="1"/>
      <c r="AB194" s="6"/>
      <c r="AC194" s="6"/>
      <c r="AD194" s="1">
        <v>6.5</v>
      </c>
      <c r="AE194" s="1"/>
    </row>
    <row r="195" spans="1:31" ht="15" customHeight="1">
      <c r="A195" s="1"/>
      <c r="B195" s="1"/>
      <c r="C195" s="1"/>
      <c r="D195" s="1">
        <v>3</v>
      </c>
      <c r="E195" s="1">
        <v>0</v>
      </c>
      <c r="F195" s="1">
        <v>0</v>
      </c>
      <c r="G195" s="1">
        <v>11.3</v>
      </c>
      <c r="H195" s="1">
        <v>0</v>
      </c>
      <c r="I195" s="1">
        <v>0.3</v>
      </c>
      <c r="J195" s="1">
        <v>0</v>
      </c>
      <c r="K195" s="1">
        <v>0</v>
      </c>
      <c r="L195" s="1">
        <v>0.5</v>
      </c>
      <c r="M195" s="1">
        <v>0</v>
      </c>
      <c r="N195" s="1">
        <v>0</v>
      </c>
      <c r="O195" s="1">
        <v>0.1</v>
      </c>
      <c r="P195" s="1">
        <v>21.8</v>
      </c>
      <c r="Q195" s="1">
        <v>0</v>
      </c>
      <c r="R195" s="1">
        <v>3.8</v>
      </c>
      <c r="S195" s="1">
        <v>2.5</v>
      </c>
      <c r="T195" s="1">
        <v>0</v>
      </c>
      <c r="U195" s="1">
        <v>3.7</v>
      </c>
      <c r="V195" s="1">
        <v>7.8</v>
      </c>
      <c r="W195" s="1">
        <f t="shared" si="9"/>
        <v>51.8</v>
      </c>
      <c r="X195" s="1"/>
      <c r="Y195" s="6"/>
      <c r="Z195" s="30">
        <v>23.9</v>
      </c>
      <c r="AA195" s="1"/>
      <c r="AB195" s="6"/>
      <c r="AC195" s="6"/>
      <c r="AD195" s="1">
        <v>3.2</v>
      </c>
      <c r="AE195" s="1"/>
    </row>
    <row r="196" spans="1:31" ht="15" customHeight="1">
      <c r="A196" s="1"/>
      <c r="B196" s="1"/>
      <c r="C196" s="1"/>
      <c r="D196" s="1">
        <v>4</v>
      </c>
      <c r="E196" s="1">
        <v>0</v>
      </c>
      <c r="F196" s="1">
        <v>0</v>
      </c>
      <c r="G196" s="1">
        <v>10.199999999999999</v>
      </c>
      <c r="H196" s="1">
        <v>0</v>
      </c>
      <c r="I196" s="1">
        <v>3</v>
      </c>
      <c r="J196" s="1">
        <v>0</v>
      </c>
      <c r="K196" s="1">
        <v>0</v>
      </c>
      <c r="L196" s="1">
        <v>0.2</v>
      </c>
      <c r="M196" s="1">
        <v>0</v>
      </c>
      <c r="N196" s="1">
        <v>0</v>
      </c>
      <c r="O196" s="1">
        <v>0</v>
      </c>
      <c r="P196" s="1">
        <v>21.2</v>
      </c>
      <c r="Q196" s="1">
        <v>0</v>
      </c>
      <c r="R196" s="1">
        <v>4.5</v>
      </c>
      <c r="S196" s="1">
        <v>1</v>
      </c>
      <c r="T196" s="1">
        <v>0</v>
      </c>
      <c r="U196" s="1">
        <v>3</v>
      </c>
      <c r="V196" s="1">
        <v>10.6</v>
      </c>
      <c r="W196" s="1">
        <f t="shared" si="9"/>
        <v>53.699999999999996</v>
      </c>
      <c r="X196" s="1"/>
      <c r="Y196" s="6"/>
      <c r="Z196" s="30">
        <v>26.3</v>
      </c>
      <c r="AA196" s="1"/>
      <c r="AB196" s="6"/>
      <c r="AC196" s="6"/>
      <c r="AD196" s="1">
        <v>3.2</v>
      </c>
      <c r="AE196" s="1"/>
    </row>
    <row r="197" spans="1:31" ht="15" customHeight="1">
      <c r="A197" s="1"/>
      <c r="B197" s="1"/>
      <c r="C197" s="1"/>
      <c r="D197" s="1">
        <v>5</v>
      </c>
      <c r="E197" s="1">
        <v>0</v>
      </c>
      <c r="F197" s="1">
        <v>0</v>
      </c>
      <c r="G197" s="1">
        <v>5.0999999999999996</v>
      </c>
      <c r="H197" s="1">
        <v>0</v>
      </c>
      <c r="I197" s="1">
        <v>0.2</v>
      </c>
      <c r="J197" s="1">
        <v>0</v>
      </c>
      <c r="K197" s="1">
        <v>0</v>
      </c>
      <c r="L197" s="1">
        <v>0</v>
      </c>
      <c r="M197" s="1">
        <v>0</v>
      </c>
      <c r="N197" s="1">
        <v>0</v>
      </c>
      <c r="O197" s="1">
        <v>0</v>
      </c>
      <c r="P197" s="1">
        <v>16.100000000000001</v>
      </c>
      <c r="Q197" s="1">
        <v>0</v>
      </c>
      <c r="R197" s="1">
        <v>4</v>
      </c>
      <c r="S197" s="1">
        <v>4.3</v>
      </c>
      <c r="T197" s="1">
        <v>0</v>
      </c>
      <c r="U197" s="1">
        <v>3.6</v>
      </c>
      <c r="V197" s="1">
        <v>2.8</v>
      </c>
      <c r="W197" s="1">
        <f t="shared" si="9"/>
        <v>36.1</v>
      </c>
      <c r="X197" s="1">
        <f>AVERAGE(W193:W197)</f>
        <v>42.825000000000003</v>
      </c>
      <c r="Y197" s="6"/>
      <c r="Z197" s="30">
        <v>23.7</v>
      </c>
      <c r="AA197" s="30">
        <f>AVERAGE(Z193:Z197)</f>
        <v>22.36</v>
      </c>
      <c r="AB197" s="6"/>
      <c r="AC197" s="6"/>
      <c r="AD197" s="1">
        <v>9.9</v>
      </c>
      <c r="AE197" s="1">
        <f>AVERAGE(AD193:AD197)</f>
        <v>7.8</v>
      </c>
    </row>
    <row r="198" spans="1:31" ht="15" customHeight="1">
      <c r="A198" s="1"/>
      <c r="B198" s="1"/>
      <c r="C198" s="1">
        <v>4</v>
      </c>
      <c r="D198" s="1">
        <v>1</v>
      </c>
      <c r="E198" s="1">
        <v>0.17</v>
      </c>
      <c r="F198" s="1">
        <v>0</v>
      </c>
      <c r="G198" s="1">
        <v>1.25</v>
      </c>
      <c r="H198" s="1">
        <v>0</v>
      </c>
      <c r="I198" s="1">
        <v>1.53</v>
      </c>
      <c r="J198" s="1">
        <v>0</v>
      </c>
      <c r="K198" s="1">
        <v>0</v>
      </c>
      <c r="L198" s="1">
        <v>0.1</v>
      </c>
      <c r="M198" s="1">
        <v>0</v>
      </c>
      <c r="N198" s="1">
        <v>0</v>
      </c>
      <c r="O198" s="1">
        <v>0</v>
      </c>
      <c r="P198" s="1">
        <v>11.73</v>
      </c>
      <c r="Q198" s="1">
        <v>0</v>
      </c>
      <c r="R198" s="1">
        <v>12.78</v>
      </c>
      <c r="S198" s="1">
        <v>5.79</v>
      </c>
      <c r="T198" s="1">
        <v>0</v>
      </c>
      <c r="U198" s="1">
        <v>2.62</v>
      </c>
      <c r="V198" s="1">
        <v>20.14</v>
      </c>
      <c r="W198" s="1">
        <f t="shared" si="9"/>
        <v>56.11</v>
      </c>
      <c r="X198" s="1"/>
      <c r="Y198" s="6"/>
      <c r="Z198" s="30">
        <v>17.5</v>
      </c>
      <c r="AA198" s="1"/>
      <c r="AB198" s="6"/>
      <c r="AC198" s="6"/>
      <c r="AD198" s="1">
        <v>3.4</v>
      </c>
      <c r="AE198" s="1"/>
    </row>
    <row r="199" spans="1:31" ht="15" customHeight="1">
      <c r="A199" s="1"/>
      <c r="B199" s="1"/>
      <c r="C199" s="1"/>
      <c r="D199" s="1">
        <v>2</v>
      </c>
      <c r="E199" s="1">
        <v>0</v>
      </c>
      <c r="F199" s="1">
        <v>0.37</v>
      </c>
      <c r="G199" s="1">
        <v>0.96</v>
      </c>
      <c r="H199" s="1">
        <v>0</v>
      </c>
      <c r="I199" s="1">
        <v>2.36</v>
      </c>
      <c r="J199" s="1">
        <v>0</v>
      </c>
      <c r="K199" s="1">
        <v>0</v>
      </c>
      <c r="L199" s="1">
        <v>0.23</v>
      </c>
      <c r="M199" s="1">
        <v>0</v>
      </c>
      <c r="N199" s="1">
        <v>0</v>
      </c>
      <c r="O199" s="1">
        <v>0</v>
      </c>
      <c r="P199" s="1">
        <v>11.68</v>
      </c>
      <c r="Q199" s="1">
        <v>0.25</v>
      </c>
      <c r="R199" s="1">
        <v>0</v>
      </c>
      <c r="S199" s="1">
        <v>4.78</v>
      </c>
      <c r="T199" s="1">
        <v>0</v>
      </c>
      <c r="U199" s="1">
        <v>6.13</v>
      </c>
      <c r="V199" s="1">
        <v>21.13</v>
      </c>
      <c r="W199" s="1">
        <f t="shared" si="9"/>
        <v>47.89</v>
      </c>
      <c r="X199" s="1"/>
      <c r="Y199" s="6"/>
      <c r="Z199" s="30">
        <v>16.399999999999999</v>
      </c>
      <c r="AA199" s="1"/>
      <c r="AB199" s="6"/>
      <c r="AC199" s="6"/>
      <c r="AD199" s="1">
        <v>2.7</v>
      </c>
      <c r="AE199" s="1"/>
    </row>
    <row r="200" spans="1:31" ht="15" customHeight="1">
      <c r="A200" s="1"/>
      <c r="B200" s="1"/>
      <c r="C200" s="1"/>
      <c r="D200" s="1">
        <v>3</v>
      </c>
      <c r="E200" s="1">
        <v>0.2</v>
      </c>
      <c r="F200" s="1">
        <v>1.61</v>
      </c>
      <c r="G200" s="1">
        <v>10.210000000000001</v>
      </c>
      <c r="H200" s="1">
        <v>0</v>
      </c>
      <c r="I200" s="1">
        <v>4.03</v>
      </c>
      <c r="J200" s="1">
        <v>0</v>
      </c>
      <c r="K200" s="1">
        <v>0</v>
      </c>
      <c r="L200" s="1">
        <v>0.79</v>
      </c>
      <c r="M200" s="1">
        <v>0</v>
      </c>
      <c r="N200" s="1">
        <v>0</v>
      </c>
      <c r="O200" s="1">
        <v>0</v>
      </c>
      <c r="P200" s="1">
        <v>9.36</v>
      </c>
      <c r="Q200" s="1">
        <v>1.51</v>
      </c>
      <c r="R200" s="1">
        <v>3.36</v>
      </c>
      <c r="S200" s="1">
        <v>12.67</v>
      </c>
      <c r="T200" s="1">
        <v>0</v>
      </c>
      <c r="U200" s="1">
        <v>4.1900000000000004</v>
      </c>
      <c r="V200" s="1">
        <v>26.86</v>
      </c>
      <c r="W200" s="1">
        <f t="shared" si="9"/>
        <v>74.789999999999992</v>
      </c>
      <c r="X200" s="1"/>
      <c r="Y200" s="6"/>
      <c r="Z200" s="30">
        <v>9</v>
      </c>
      <c r="AA200" s="1"/>
      <c r="AB200" s="6"/>
      <c r="AC200" s="6"/>
      <c r="AD200" s="1">
        <v>3.4</v>
      </c>
      <c r="AE200" s="1"/>
    </row>
    <row r="201" spans="1:31" ht="15" customHeight="1">
      <c r="A201" s="1"/>
      <c r="B201" s="1"/>
      <c r="C201" s="1"/>
      <c r="D201" s="1">
        <v>4</v>
      </c>
      <c r="E201" s="1">
        <v>0</v>
      </c>
      <c r="F201" s="1">
        <v>1.22</v>
      </c>
      <c r="G201" s="1">
        <v>4.5</v>
      </c>
      <c r="H201" s="1">
        <v>0</v>
      </c>
      <c r="I201" s="1">
        <v>4.22</v>
      </c>
      <c r="J201" s="1">
        <v>0</v>
      </c>
      <c r="K201" s="1">
        <v>0</v>
      </c>
      <c r="L201" s="1">
        <v>0.42</v>
      </c>
      <c r="M201" s="1">
        <v>0</v>
      </c>
      <c r="N201" s="1">
        <v>0</v>
      </c>
      <c r="O201" s="1">
        <v>0</v>
      </c>
      <c r="P201" s="1">
        <v>14.88</v>
      </c>
      <c r="Q201" s="1">
        <v>0</v>
      </c>
      <c r="R201" s="1">
        <v>2.4900000000000002</v>
      </c>
      <c r="S201" s="1">
        <v>3.46</v>
      </c>
      <c r="T201" s="1">
        <v>0</v>
      </c>
      <c r="U201" s="1">
        <v>12.61</v>
      </c>
      <c r="V201" s="1">
        <v>12.58</v>
      </c>
      <c r="W201" s="1">
        <f t="shared" si="9"/>
        <v>56.38</v>
      </c>
      <c r="X201" s="1"/>
      <c r="Y201" s="6"/>
      <c r="Z201" s="30">
        <v>15.9</v>
      </c>
      <c r="AA201" s="1"/>
      <c r="AB201" s="6"/>
      <c r="AC201" s="6"/>
      <c r="AD201" s="1">
        <v>9.8000000000000007</v>
      </c>
      <c r="AE201" s="1"/>
    </row>
    <row r="202" spans="1:31" ht="15" customHeight="1">
      <c r="A202" s="1"/>
      <c r="B202" s="1"/>
      <c r="C202" s="1"/>
      <c r="D202" s="1">
        <v>5</v>
      </c>
      <c r="E202" s="1">
        <v>0.09</v>
      </c>
      <c r="F202" s="1">
        <v>1.24</v>
      </c>
      <c r="G202" s="1">
        <v>3.85</v>
      </c>
      <c r="H202" s="1">
        <v>0</v>
      </c>
      <c r="I202" s="1">
        <v>3.76</v>
      </c>
      <c r="J202" s="1">
        <v>0</v>
      </c>
      <c r="K202" s="1">
        <v>0</v>
      </c>
      <c r="L202" s="1">
        <v>0.57999999999999996</v>
      </c>
      <c r="M202" s="1">
        <v>0.09</v>
      </c>
      <c r="N202" s="1">
        <v>0</v>
      </c>
      <c r="O202" s="1">
        <v>0</v>
      </c>
      <c r="P202" s="1">
        <v>13.51</v>
      </c>
      <c r="Q202" s="1">
        <v>0.76</v>
      </c>
      <c r="R202" s="1">
        <v>0</v>
      </c>
      <c r="S202" s="1">
        <v>4.2699999999999996</v>
      </c>
      <c r="T202" s="1">
        <v>0</v>
      </c>
      <c r="U202" s="1">
        <v>10.94</v>
      </c>
      <c r="V202" s="1">
        <v>17.72</v>
      </c>
      <c r="W202" s="1">
        <f t="shared" si="9"/>
        <v>56.809999999999995</v>
      </c>
      <c r="X202" s="1">
        <f>AVERAGE(W198:W202)</f>
        <v>58.395999999999994</v>
      </c>
      <c r="Y202" s="6"/>
      <c r="Z202" s="30">
        <v>18</v>
      </c>
      <c r="AA202" s="30">
        <f>AVERAGE(Z198:Z202)</f>
        <v>15.36</v>
      </c>
      <c r="AB202" s="6"/>
      <c r="AC202" s="6"/>
      <c r="AD202" s="1">
        <v>4.0999999999999996</v>
      </c>
      <c r="AE202" s="1">
        <f>AVERAGE(AD198:AD202)</f>
        <v>4.68</v>
      </c>
    </row>
    <row r="203" spans="1:31" ht="15" customHeight="1">
      <c r="A203" s="1" t="s">
        <v>109</v>
      </c>
      <c r="B203" s="1" t="s">
        <v>105</v>
      </c>
      <c r="C203" s="1">
        <v>1</v>
      </c>
      <c r="D203" s="1">
        <v>1</v>
      </c>
      <c r="E203" s="1">
        <v>0</v>
      </c>
      <c r="F203" s="1">
        <v>0</v>
      </c>
      <c r="G203" s="1">
        <v>0</v>
      </c>
      <c r="H203" s="1">
        <v>0</v>
      </c>
      <c r="I203" s="1">
        <v>2.8</v>
      </c>
      <c r="J203" s="1">
        <v>0</v>
      </c>
      <c r="K203" s="1">
        <v>0</v>
      </c>
      <c r="L203" s="1">
        <v>0</v>
      </c>
      <c r="M203" s="1">
        <v>0</v>
      </c>
      <c r="N203" s="1">
        <v>0</v>
      </c>
      <c r="O203" s="1">
        <v>0.3</v>
      </c>
      <c r="P203" s="1">
        <v>51.9</v>
      </c>
      <c r="Q203" s="1">
        <v>0.6</v>
      </c>
      <c r="R203" s="1">
        <v>0.1</v>
      </c>
      <c r="S203" s="1">
        <v>2.9</v>
      </c>
      <c r="T203" s="1">
        <v>0</v>
      </c>
      <c r="U203" s="1">
        <v>0</v>
      </c>
      <c r="V203" s="1">
        <v>8.1</v>
      </c>
      <c r="W203" s="1">
        <f t="shared" si="9"/>
        <v>66.7</v>
      </c>
      <c r="X203" s="1"/>
      <c r="Y203" s="6"/>
      <c r="Z203" s="30">
        <v>15.9</v>
      </c>
      <c r="AA203" s="1"/>
      <c r="AB203" s="6"/>
      <c r="AC203" s="6"/>
      <c r="AD203" s="1">
        <v>5.7</v>
      </c>
      <c r="AE203" s="1"/>
    </row>
    <row r="204" spans="1:31" ht="15" customHeight="1">
      <c r="A204" s="1"/>
      <c r="B204" s="1"/>
      <c r="C204" s="1"/>
      <c r="D204" s="1">
        <v>2</v>
      </c>
      <c r="E204" s="1">
        <v>0</v>
      </c>
      <c r="F204" s="1">
        <v>0</v>
      </c>
      <c r="G204" s="1">
        <v>0</v>
      </c>
      <c r="H204" s="1">
        <v>0</v>
      </c>
      <c r="I204" s="1">
        <v>2.2000000000000002</v>
      </c>
      <c r="J204" s="1">
        <v>0</v>
      </c>
      <c r="K204" s="1">
        <v>0</v>
      </c>
      <c r="L204" s="1">
        <v>0</v>
      </c>
      <c r="M204" s="1">
        <v>0</v>
      </c>
      <c r="N204" s="1">
        <v>0</v>
      </c>
      <c r="O204" s="1">
        <v>0.4</v>
      </c>
      <c r="P204" s="1">
        <v>43.7</v>
      </c>
      <c r="Q204" s="1">
        <v>0</v>
      </c>
      <c r="R204" s="1">
        <v>0.7</v>
      </c>
      <c r="S204" s="1">
        <v>1</v>
      </c>
      <c r="T204" s="1">
        <v>0</v>
      </c>
      <c r="U204" s="1">
        <v>0</v>
      </c>
      <c r="V204" s="1">
        <v>1.2</v>
      </c>
      <c r="W204" s="1">
        <f t="shared" si="9"/>
        <v>49.20000000000001</v>
      </c>
      <c r="X204" s="1"/>
      <c r="Y204" s="6"/>
      <c r="Z204" s="30">
        <v>22.1</v>
      </c>
      <c r="AA204" s="1"/>
      <c r="AB204" s="6"/>
      <c r="AC204" s="6"/>
      <c r="AD204" s="1">
        <v>3</v>
      </c>
      <c r="AE204" s="1"/>
    </row>
    <row r="205" spans="1:31" ht="15" customHeight="1">
      <c r="A205" s="1"/>
      <c r="B205" s="1"/>
      <c r="C205" s="1"/>
      <c r="D205" s="1">
        <v>3</v>
      </c>
      <c r="E205" s="1">
        <v>0</v>
      </c>
      <c r="F205" s="1">
        <v>0</v>
      </c>
      <c r="G205" s="1">
        <v>0</v>
      </c>
      <c r="H205" s="1">
        <v>0</v>
      </c>
      <c r="I205" s="1">
        <v>2.9</v>
      </c>
      <c r="J205" s="1">
        <v>0</v>
      </c>
      <c r="K205" s="1">
        <v>0</v>
      </c>
      <c r="L205" s="1">
        <v>0</v>
      </c>
      <c r="M205" s="1">
        <v>0</v>
      </c>
      <c r="N205" s="1">
        <v>0</v>
      </c>
      <c r="O205" s="1">
        <v>0.7</v>
      </c>
      <c r="P205" s="1">
        <v>56.6</v>
      </c>
      <c r="Q205" s="1">
        <v>0</v>
      </c>
      <c r="R205" s="1">
        <v>1.3</v>
      </c>
      <c r="S205" s="1">
        <v>1.5</v>
      </c>
      <c r="T205" s="1">
        <v>0</v>
      </c>
      <c r="U205" s="1">
        <v>0</v>
      </c>
      <c r="V205" s="1">
        <v>2.4</v>
      </c>
      <c r="W205" s="1">
        <f t="shared" si="9"/>
        <v>65.400000000000006</v>
      </c>
      <c r="X205" s="1"/>
      <c r="Y205" s="6"/>
      <c r="Z205" s="30">
        <v>10</v>
      </c>
      <c r="AA205" s="1"/>
      <c r="AB205" s="6"/>
      <c r="AC205" s="6"/>
      <c r="AD205" s="1">
        <v>1.8</v>
      </c>
      <c r="AE205" s="1"/>
    </row>
    <row r="206" spans="1:31" ht="15" customHeight="1">
      <c r="A206" s="1"/>
      <c r="B206" s="1"/>
      <c r="C206" s="1"/>
      <c r="D206" s="1">
        <v>4</v>
      </c>
      <c r="E206" s="1">
        <v>0</v>
      </c>
      <c r="F206" s="1">
        <v>0</v>
      </c>
      <c r="G206" s="1">
        <v>0</v>
      </c>
      <c r="H206" s="1">
        <v>0</v>
      </c>
      <c r="I206" s="1">
        <v>0.67</v>
      </c>
      <c r="J206" s="1">
        <v>0</v>
      </c>
      <c r="K206" s="1">
        <v>0</v>
      </c>
      <c r="L206" s="1">
        <v>0</v>
      </c>
      <c r="M206" s="1">
        <v>0</v>
      </c>
      <c r="N206" s="1">
        <v>0</v>
      </c>
      <c r="O206" s="1">
        <v>0.52</v>
      </c>
      <c r="P206" s="1">
        <v>27.78</v>
      </c>
      <c r="Q206" s="1">
        <v>1.29</v>
      </c>
      <c r="R206" s="1">
        <v>1.1000000000000001</v>
      </c>
      <c r="S206" s="1">
        <v>1.1499999999999999</v>
      </c>
      <c r="T206" s="1">
        <v>0</v>
      </c>
      <c r="U206" s="1">
        <v>0</v>
      </c>
      <c r="V206" s="1">
        <v>9.0299999999999994</v>
      </c>
      <c r="W206" s="1">
        <f t="shared" si="9"/>
        <v>41.540000000000006</v>
      </c>
      <c r="X206" s="1"/>
      <c r="Y206" s="6"/>
      <c r="Z206" s="30">
        <v>16.600000000000001</v>
      </c>
      <c r="AA206" s="1"/>
      <c r="AB206" s="6"/>
      <c r="AC206" s="6"/>
      <c r="AD206" s="1">
        <v>1.5</v>
      </c>
      <c r="AE206" s="1"/>
    </row>
    <row r="207" spans="1:31" ht="15" customHeight="1">
      <c r="A207" s="1"/>
      <c r="B207" s="1"/>
      <c r="C207" s="1"/>
      <c r="D207" s="1">
        <v>5</v>
      </c>
      <c r="E207" s="1">
        <v>0</v>
      </c>
      <c r="F207" s="1">
        <v>0</v>
      </c>
      <c r="G207" s="1">
        <v>0</v>
      </c>
      <c r="H207" s="1">
        <v>0</v>
      </c>
      <c r="I207" s="1">
        <v>3.1</v>
      </c>
      <c r="J207" s="1">
        <v>0</v>
      </c>
      <c r="K207" s="1">
        <v>0</v>
      </c>
      <c r="L207" s="1">
        <v>0</v>
      </c>
      <c r="M207" s="1">
        <v>0</v>
      </c>
      <c r="N207" s="1">
        <v>0</v>
      </c>
      <c r="O207" s="1">
        <v>0.73</v>
      </c>
      <c r="P207" s="1">
        <v>45.589999999999996</v>
      </c>
      <c r="Q207" s="1">
        <v>0.16</v>
      </c>
      <c r="R207" s="1">
        <v>0</v>
      </c>
      <c r="S207" s="1">
        <v>0</v>
      </c>
      <c r="T207" s="1">
        <v>0</v>
      </c>
      <c r="U207" s="1">
        <v>0</v>
      </c>
      <c r="V207" s="1">
        <v>9.43</v>
      </c>
      <c r="W207" s="1">
        <f t="shared" si="9"/>
        <v>59.009999999999991</v>
      </c>
      <c r="X207" s="1">
        <f>AVERAGE(W203:W207)</f>
        <v>56.370000000000005</v>
      </c>
      <c r="Y207" s="6"/>
      <c r="Z207" s="30">
        <v>19.600000000000001</v>
      </c>
      <c r="AA207" s="30">
        <f>AVERAGE(Z203:Z207)</f>
        <v>16.839999999999996</v>
      </c>
      <c r="AB207" s="6"/>
      <c r="AC207" s="6"/>
      <c r="AD207" s="1">
        <v>15.7</v>
      </c>
      <c r="AE207" s="1">
        <f>AVERAGE(AD203:AD207)</f>
        <v>5.54</v>
      </c>
    </row>
    <row r="208" spans="1:31" ht="15" customHeight="1">
      <c r="A208" s="1"/>
      <c r="B208" s="1"/>
      <c r="C208" s="1">
        <v>2</v>
      </c>
      <c r="D208" s="1">
        <v>1</v>
      </c>
      <c r="E208" s="1">
        <v>0</v>
      </c>
      <c r="F208" s="1">
        <v>0</v>
      </c>
      <c r="G208" s="1">
        <v>0</v>
      </c>
      <c r="H208" s="1">
        <v>0</v>
      </c>
      <c r="I208" s="1">
        <v>4.3</v>
      </c>
      <c r="J208" s="1">
        <v>0</v>
      </c>
      <c r="K208" s="1">
        <v>0</v>
      </c>
      <c r="L208" s="1">
        <v>0</v>
      </c>
      <c r="M208" s="1">
        <v>0</v>
      </c>
      <c r="N208" s="1">
        <v>0</v>
      </c>
      <c r="O208" s="1">
        <v>0.6</v>
      </c>
      <c r="P208" s="1">
        <v>41.4</v>
      </c>
      <c r="Q208" s="1">
        <v>0</v>
      </c>
      <c r="R208" s="1">
        <v>3.9</v>
      </c>
      <c r="S208" s="1">
        <v>1.8</v>
      </c>
      <c r="T208" s="1">
        <v>0</v>
      </c>
      <c r="U208" s="1">
        <v>0</v>
      </c>
      <c r="V208" s="1">
        <v>6.2</v>
      </c>
      <c r="W208" s="1">
        <f t="shared" si="9"/>
        <v>58.199999999999996</v>
      </c>
      <c r="X208" s="1"/>
      <c r="Y208" s="6"/>
      <c r="Z208" s="30">
        <v>17.3</v>
      </c>
      <c r="AA208" s="1"/>
      <c r="AB208" s="6"/>
      <c r="AC208" s="6"/>
      <c r="AD208" s="1">
        <v>5.8</v>
      </c>
      <c r="AE208" s="1"/>
    </row>
    <row r="209" spans="1:31" ht="15" customHeight="1">
      <c r="A209" s="1"/>
      <c r="B209" s="1"/>
      <c r="C209" s="1"/>
      <c r="D209" s="1">
        <v>2</v>
      </c>
      <c r="E209" s="1">
        <v>0</v>
      </c>
      <c r="F209" s="1">
        <v>0</v>
      </c>
      <c r="G209" s="1">
        <v>0</v>
      </c>
      <c r="H209" s="1">
        <v>0</v>
      </c>
      <c r="I209" s="1">
        <v>1.3</v>
      </c>
      <c r="J209" s="1">
        <v>0</v>
      </c>
      <c r="K209" s="1">
        <v>0</v>
      </c>
      <c r="L209" s="1">
        <v>0</v>
      </c>
      <c r="M209" s="1">
        <v>0</v>
      </c>
      <c r="N209" s="1">
        <v>0</v>
      </c>
      <c r="O209" s="1">
        <v>0.8</v>
      </c>
      <c r="P209" s="1">
        <v>33.700000000000003</v>
      </c>
      <c r="Q209" s="1">
        <v>0.2</v>
      </c>
      <c r="R209" s="1">
        <v>3</v>
      </c>
      <c r="S209" s="1">
        <v>3.4</v>
      </c>
      <c r="T209" s="1">
        <v>0</v>
      </c>
      <c r="U209" s="1">
        <v>0</v>
      </c>
      <c r="V209" s="1">
        <v>13.5</v>
      </c>
      <c r="W209" s="1">
        <f t="shared" si="9"/>
        <v>55.900000000000006</v>
      </c>
      <c r="X209" s="1"/>
      <c r="Y209" s="6"/>
      <c r="Z209" s="30">
        <v>17</v>
      </c>
      <c r="AA209" s="1"/>
      <c r="AB209" s="6"/>
      <c r="AC209" s="6"/>
      <c r="AD209" s="1">
        <v>2.4</v>
      </c>
      <c r="AE209" s="1"/>
    </row>
    <row r="210" spans="1:31" ht="15" customHeight="1">
      <c r="A210" s="1"/>
      <c r="B210" s="1"/>
      <c r="C210" s="1"/>
      <c r="D210" s="1">
        <v>3</v>
      </c>
      <c r="E210" s="1">
        <v>0</v>
      </c>
      <c r="F210" s="1">
        <v>0</v>
      </c>
      <c r="G210" s="1">
        <v>0</v>
      </c>
      <c r="H210" s="1">
        <v>0</v>
      </c>
      <c r="I210" s="1">
        <v>2.9</v>
      </c>
      <c r="J210" s="1">
        <v>0</v>
      </c>
      <c r="K210" s="1">
        <v>0</v>
      </c>
      <c r="L210" s="1">
        <v>0</v>
      </c>
      <c r="M210" s="1">
        <v>0</v>
      </c>
      <c r="N210" s="1">
        <v>0</v>
      </c>
      <c r="O210" s="1">
        <v>1.1000000000000001</v>
      </c>
      <c r="P210" s="1">
        <v>41.7</v>
      </c>
      <c r="Q210" s="1">
        <v>0</v>
      </c>
      <c r="R210" s="1">
        <v>1.5</v>
      </c>
      <c r="S210" s="1">
        <v>1.3</v>
      </c>
      <c r="T210" s="1">
        <v>0</v>
      </c>
      <c r="U210" s="1">
        <v>0</v>
      </c>
      <c r="V210" s="1">
        <v>4.5999999999999996</v>
      </c>
      <c r="W210" s="1">
        <f t="shared" si="9"/>
        <v>53.1</v>
      </c>
      <c r="X210" s="1"/>
      <c r="Y210" s="6"/>
      <c r="Z210" s="30">
        <v>15.3</v>
      </c>
      <c r="AA210" s="1"/>
      <c r="AB210" s="6"/>
      <c r="AC210" s="6"/>
      <c r="AD210" s="1">
        <v>3.7</v>
      </c>
      <c r="AE210" s="1"/>
    </row>
    <row r="211" spans="1:31" ht="15" customHeight="1">
      <c r="A211" s="1"/>
      <c r="B211" s="1"/>
      <c r="C211" s="1"/>
      <c r="D211" s="1">
        <v>4</v>
      </c>
      <c r="E211" s="1">
        <v>0</v>
      </c>
      <c r="F211" s="1">
        <v>0</v>
      </c>
      <c r="G211" s="1">
        <v>0</v>
      </c>
      <c r="H211" s="1">
        <v>0</v>
      </c>
      <c r="I211" s="1">
        <v>2.1</v>
      </c>
      <c r="J211" s="1">
        <v>0</v>
      </c>
      <c r="K211" s="1">
        <v>0</v>
      </c>
      <c r="L211" s="1">
        <v>0</v>
      </c>
      <c r="M211" s="1">
        <v>0</v>
      </c>
      <c r="N211" s="1">
        <v>0</v>
      </c>
      <c r="O211" s="1">
        <v>0.6</v>
      </c>
      <c r="P211" s="1">
        <v>51.1</v>
      </c>
      <c r="Q211" s="1">
        <v>0</v>
      </c>
      <c r="R211" s="1">
        <v>2.5</v>
      </c>
      <c r="S211" s="1">
        <v>2.8</v>
      </c>
      <c r="T211" s="1">
        <v>0</v>
      </c>
      <c r="U211" s="1">
        <v>0</v>
      </c>
      <c r="V211" s="1">
        <v>2</v>
      </c>
      <c r="W211" s="1">
        <f t="shared" si="9"/>
        <v>61.1</v>
      </c>
      <c r="X211" s="1"/>
      <c r="Y211" s="6"/>
      <c r="Z211" s="30">
        <v>17.2</v>
      </c>
      <c r="AA211" s="1"/>
      <c r="AB211" s="6"/>
      <c r="AC211" s="6"/>
      <c r="AD211" s="1">
        <v>2</v>
      </c>
      <c r="AE211" s="1"/>
    </row>
    <row r="212" spans="1:31" ht="15" customHeight="1">
      <c r="A212" s="1"/>
      <c r="B212" s="1"/>
      <c r="C212" s="1"/>
      <c r="D212" s="1">
        <v>5</v>
      </c>
      <c r="E212" s="1">
        <v>0</v>
      </c>
      <c r="F212" s="1">
        <v>0</v>
      </c>
      <c r="G212" s="1">
        <v>0</v>
      </c>
      <c r="H212" s="1">
        <v>0</v>
      </c>
      <c r="I212" s="1">
        <v>2.9</v>
      </c>
      <c r="J212" s="1">
        <v>0</v>
      </c>
      <c r="K212" s="1">
        <v>0</v>
      </c>
      <c r="L212" s="1">
        <v>0</v>
      </c>
      <c r="M212" s="1">
        <v>0</v>
      </c>
      <c r="N212" s="1">
        <v>0</v>
      </c>
      <c r="O212" s="1">
        <v>0.1</v>
      </c>
      <c r="P212" s="1">
        <v>51.6</v>
      </c>
      <c r="Q212" s="1">
        <v>0.7</v>
      </c>
      <c r="R212" s="1">
        <v>3.3</v>
      </c>
      <c r="S212" s="1">
        <v>1.8</v>
      </c>
      <c r="T212" s="1">
        <v>0</v>
      </c>
      <c r="U212" s="1">
        <v>0</v>
      </c>
      <c r="V212" s="1">
        <v>5.5</v>
      </c>
      <c r="W212" s="1">
        <f t="shared" si="9"/>
        <v>65.900000000000006</v>
      </c>
      <c r="X212" s="1">
        <f>AVERAGE(W208:W212)</f>
        <v>58.839999999999996</v>
      </c>
      <c r="Y212" s="6"/>
      <c r="Z212" s="30">
        <v>20.6</v>
      </c>
      <c r="AA212" s="30">
        <f>AVERAGE(Z208:Z212)</f>
        <v>17.48</v>
      </c>
      <c r="AB212" s="6"/>
      <c r="AC212" s="6"/>
      <c r="AD212" s="1">
        <v>5</v>
      </c>
      <c r="AE212" s="1">
        <f>AVERAGE(AD208:AD212)</f>
        <v>3.78</v>
      </c>
    </row>
    <row r="213" spans="1:31" ht="15" customHeight="1">
      <c r="A213" s="1"/>
      <c r="B213" s="1"/>
      <c r="C213" s="1">
        <v>3</v>
      </c>
      <c r="D213" s="1">
        <v>1</v>
      </c>
      <c r="E213" s="1">
        <v>0</v>
      </c>
      <c r="F213" s="1">
        <v>0</v>
      </c>
      <c r="G213" s="1">
        <v>0</v>
      </c>
      <c r="H213" s="1">
        <v>0</v>
      </c>
      <c r="I213" s="1">
        <v>5.45</v>
      </c>
      <c r="J213" s="1">
        <v>0</v>
      </c>
      <c r="K213" s="1">
        <v>0</v>
      </c>
      <c r="L213" s="1">
        <v>0</v>
      </c>
      <c r="M213" s="1">
        <v>0</v>
      </c>
      <c r="N213" s="1">
        <v>0</v>
      </c>
      <c r="O213" s="1">
        <v>0.44</v>
      </c>
      <c r="P213" s="1">
        <v>54.71</v>
      </c>
      <c r="Q213" s="1">
        <v>0</v>
      </c>
      <c r="R213" s="1">
        <v>0</v>
      </c>
      <c r="S213" s="1">
        <v>0</v>
      </c>
      <c r="T213" s="1">
        <v>0</v>
      </c>
      <c r="U213" s="1">
        <v>0</v>
      </c>
      <c r="V213" s="1">
        <v>1.1599999999999999</v>
      </c>
      <c r="W213" s="1">
        <f t="shared" si="9"/>
        <v>61.76</v>
      </c>
      <c r="X213" s="1"/>
      <c r="Y213" s="6"/>
      <c r="Z213" s="30">
        <v>15.4</v>
      </c>
      <c r="AA213" s="1"/>
      <c r="AB213" s="6"/>
      <c r="AC213" s="6"/>
      <c r="AD213" s="1">
        <v>4.5</v>
      </c>
      <c r="AE213" s="1"/>
    </row>
    <row r="214" spans="1:31" ht="15" customHeight="1">
      <c r="A214" s="1"/>
      <c r="B214" s="1"/>
      <c r="C214" s="1"/>
      <c r="D214" s="1">
        <v>2</v>
      </c>
      <c r="E214" s="1">
        <v>0</v>
      </c>
      <c r="F214" s="1">
        <v>0</v>
      </c>
      <c r="G214" s="1">
        <v>0</v>
      </c>
      <c r="H214" s="1">
        <v>0</v>
      </c>
      <c r="I214" s="1">
        <v>6.63</v>
      </c>
      <c r="J214" s="1">
        <v>0</v>
      </c>
      <c r="K214" s="1">
        <v>0</v>
      </c>
      <c r="L214" s="1">
        <v>0</v>
      </c>
      <c r="M214" s="1">
        <v>0</v>
      </c>
      <c r="N214" s="1">
        <v>0</v>
      </c>
      <c r="O214" s="1">
        <v>0.68</v>
      </c>
      <c r="P214" s="1">
        <v>42.65</v>
      </c>
      <c r="Q214" s="1">
        <v>0</v>
      </c>
      <c r="R214" s="1">
        <v>0</v>
      </c>
      <c r="S214" s="1">
        <v>0</v>
      </c>
      <c r="T214" s="1">
        <v>0</v>
      </c>
      <c r="U214" s="1">
        <v>0</v>
      </c>
      <c r="V214" s="1">
        <v>8.73</v>
      </c>
      <c r="W214" s="1">
        <f t="shared" si="9"/>
        <v>58.69</v>
      </c>
      <c r="X214" s="1"/>
      <c r="Y214" s="6"/>
      <c r="Z214" s="30">
        <v>10.6</v>
      </c>
      <c r="AA214" s="1"/>
      <c r="AB214" s="6"/>
      <c r="AC214" s="6"/>
      <c r="AD214" s="1">
        <v>2.1</v>
      </c>
      <c r="AE214" s="1"/>
    </row>
    <row r="215" spans="1:31" ht="15" customHeight="1">
      <c r="A215" s="1"/>
      <c r="B215" s="1"/>
      <c r="C215" s="1"/>
      <c r="D215" s="1">
        <v>3</v>
      </c>
      <c r="E215" s="1">
        <v>0</v>
      </c>
      <c r="F215" s="1">
        <v>0</v>
      </c>
      <c r="G215" s="1">
        <v>0</v>
      </c>
      <c r="H215" s="1">
        <v>0</v>
      </c>
      <c r="I215" s="1">
        <v>9.8000000000000007</v>
      </c>
      <c r="J215" s="1">
        <v>0</v>
      </c>
      <c r="K215" s="1">
        <v>0</v>
      </c>
      <c r="L215" s="1">
        <v>0</v>
      </c>
      <c r="M215" s="1">
        <v>0</v>
      </c>
      <c r="N215" s="1">
        <v>0</v>
      </c>
      <c r="O215" s="1">
        <v>0.7</v>
      </c>
      <c r="P215" s="1">
        <v>17.7</v>
      </c>
      <c r="Q215" s="1">
        <v>0.4</v>
      </c>
      <c r="R215" s="1">
        <v>11.3</v>
      </c>
      <c r="S215" s="1">
        <v>1.6</v>
      </c>
      <c r="T215" s="1">
        <v>0</v>
      </c>
      <c r="U215" s="1">
        <v>0</v>
      </c>
      <c r="V215" s="1">
        <v>15.8</v>
      </c>
      <c r="W215" s="1">
        <f t="shared" si="9"/>
        <v>57.3</v>
      </c>
      <c r="X215" s="1"/>
      <c r="Y215" s="6"/>
      <c r="Z215" s="30">
        <v>22.4</v>
      </c>
      <c r="AA215" s="1"/>
      <c r="AB215" s="6"/>
      <c r="AC215" s="6"/>
      <c r="AD215" s="1">
        <v>4.0999999999999996</v>
      </c>
      <c r="AE215" s="1"/>
    </row>
    <row r="216" spans="1:31" ht="15" customHeight="1">
      <c r="A216" s="1"/>
      <c r="B216" s="1"/>
      <c r="C216" s="1"/>
      <c r="D216" s="1">
        <v>4</v>
      </c>
      <c r="E216" s="1">
        <v>0</v>
      </c>
      <c r="F216" s="1">
        <v>0</v>
      </c>
      <c r="G216" s="1">
        <v>0</v>
      </c>
      <c r="H216" s="1">
        <v>0</v>
      </c>
      <c r="I216" s="1">
        <v>13.11</v>
      </c>
      <c r="J216" s="1">
        <v>0</v>
      </c>
      <c r="K216" s="1">
        <v>0</v>
      </c>
      <c r="L216" s="1">
        <v>0</v>
      </c>
      <c r="M216" s="1">
        <v>0</v>
      </c>
      <c r="N216" s="1">
        <v>0</v>
      </c>
      <c r="O216" s="1">
        <v>0.61</v>
      </c>
      <c r="P216" s="1">
        <v>0</v>
      </c>
      <c r="Q216" s="1">
        <v>0</v>
      </c>
      <c r="R216" s="1">
        <v>0</v>
      </c>
      <c r="S216" s="1">
        <v>0</v>
      </c>
      <c r="T216" s="1">
        <v>0</v>
      </c>
      <c r="U216" s="1">
        <v>0</v>
      </c>
      <c r="V216" s="1">
        <v>0</v>
      </c>
      <c r="W216" s="35">
        <f t="shared" si="9"/>
        <v>13.719999999999999</v>
      </c>
      <c r="X216" s="1"/>
      <c r="Y216" s="6"/>
      <c r="Z216" s="30">
        <v>22.3</v>
      </c>
      <c r="AA216" s="1"/>
      <c r="AB216" s="6"/>
      <c r="AC216" s="6"/>
      <c r="AD216" s="1">
        <v>1.7</v>
      </c>
      <c r="AE216" s="1"/>
    </row>
    <row r="217" spans="1:31" ht="15" customHeight="1">
      <c r="A217" s="1"/>
      <c r="B217" s="1"/>
      <c r="C217" s="1"/>
      <c r="D217" s="1">
        <v>5</v>
      </c>
      <c r="E217" s="1">
        <v>0</v>
      </c>
      <c r="F217" s="1">
        <v>0</v>
      </c>
      <c r="G217" s="1">
        <v>0</v>
      </c>
      <c r="H217" s="1">
        <v>0</v>
      </c>
      <c r="I217" s="1">
        <v>5.04</v>
      </c>
      <c r="J217" s="1">
        <v>0</v>
      </c>
      <c r="K217" s="1">
        <v>0</v>
      </c>
      <c r="L217" s="1">
        <v>0</v>
      </c>
      <c r="M217" s="1">
        <v>0</v>
      </c>
      <c r="N217" s="1">
        <v>0</v>
      </c>
      <c r="O217" s="1">
        <v>2.41</v>
      </c>
      <c r="P217" s="1">
        <v>35.47</v>
      </c>
      <c r="Q217" s="1">
        <v>0</v>
      </c>
      <c r="R217" s="1">
        <v>0</v>
      </c>
      <c r="S217" s="1">
        <v>0</v>
      </c>
      <c r="T217" s="1">
        <v>0</v>
      </c>
      <c r="U217" s="1"/>
      <c r="V217" s="1">
        <v>11.93</v>
      </c>
      <c r="W217" s="1">
        <f t="shared" si="9"/>
        <v>54.85</v>
      </c>
      <c r="X217" s="1">
        <f>AVERAGE(W213:W217)</f>
        <v>49.263999999999996</v>
      </c>
      <c r="Y217" s="6"/>
      <c r="Z217" s="30">
        <v>16.899999999999999</v>
      </c>
      <c r="AA217" s="30">
        <f>AVERAGE(Z213:Z217)</f>
        <v>17.52</v>
      </c>
      <c r="AB217" s="6"/>
      <c r="AC217" s="6"/>
      <c r="AD217" s="1">
        <v>2.7</v>
      </c>
      <c r="AE217" s="1">
        <f>AVERAGE(AD213:AD217)</f>
        <v>3.0199999999999996</v>
      </c>
    </row>
    <row r="218" spans="1:31" ht="15" customHeight="1">
      <c r="A218" s="1"/>
      <c r="B218" s="1"/>
      <c r="C218" s="1">
        <v>4</v>
      </c>
      <c r="D218" s="1">
        <v>1</v>
      </c>
      <c r="E218" s="1">
        <v>0</v>
      </c>
      <c r="F218" s="1">
        <v>0</v>
      </c>
      <c r="G218" s="1">
        <v>0</v>
      </c>
      <c r="H218" s="1">
        <v>0</v>
      </c>
      <c r="I218" s="1">
        <v>1.79</v>
      </c>
      <c r="J218" s="1">
        <v>0</v>
      </c>
      <c r="K218" s="1">
        <v>0</v>
      </c>
      <c r="L218" s="1">
        <v>0</v>
      </c>
      <c r="M218" s="1">
        <v>0</v>
      </c>
      <c r="N218" s="1">
        <v>0</v>
      </c>
      <c r="O218" s="1">
        <v>0.75</v>
      </c>
      <c r="P218" s="1">
        <v>58.45</v>
      </c>
      <c r="Q218" s="1">
        <v>0</v>
      </c>
      <c r="R218" s="1">
        <v>0</v>
      </c>
      <c r="S218" s="1">
        <v>0</v>
      </c>
      <c r="T218" s="1">
        <v>0</v>
      </c>
      <c r="U218" s="1">
        <v>0.64</v>
      </c>
      <c r="V218" s="1">
        <v>2.2200000000000002</v>
      </c>
      <c r="W218" s="1">
        <f t="shared" si="9"/>
        <v>63.85</v>
      </c>
      <c r="X218" s="1"/>
      <c r="Y218" s="6"/>
      <c r="Z218" s="30">
        <v>13.5</v>
      </c>
      <c r="AA218" s="1"/>
      <c r="AB218" s="6"/>
      <c r="AC218" s="6"/>
      <c r="AD218" s="1">
        <v>8.9</v>
      </c>
      <c r="AE218" s="1"/>
    </row>
    <row r="219" spans="1:31" ht="15" customHeight="1">
      <c r="A219" s="1"/>
      <c r="B219" s="1"/>
      <c r="C219" s="1"/>
      <c r="D219" s="1">
        <v>2</v>
      </c>
      <c r="E219" s="1">
        <v>0</v>
      </c>
      <c r="F219" s="1">
        <v>0</v>
      </c>
      <c r="G219" s="1">
        <v>0</v>
      </c>
      <c r="H219" s="1">
        <v>0</v>
      </c>
      <c r="I219" s="1">
        <v>0.78</v>
      </c>
      <c r="J219" s="1">
        <v>0</v>
      </c>
      <c r="K219" s="1">
        <v>0</v>
      </c>
      <c r="L219" s="1">
        <v>0</v>
      </c>
      <c r="M219" s="1">
        <v>0</v>
      </c>
      <c r="N219" s="1">
        <v>0</v>
      </c>
      <c r="O219" s="1">
        <v>1.54</v>
      </c>
      <c r="P219" s="1">
        <v>54.48</v>
      </c>
      <c r="Q219" s="1">
        <v>0</v>
      </c>
      <c r="R219" s="1">
        <v>0</v>
      </c>
      <c r="S219" s="1">
        <v>0</v>
      </c>
      <c r="T219" s="1">
        <v>0</v>
      </c>
      <c r="U219" s="1">
        <v>0</v>
      </c>
      <c r="V219" s="1">
        <v>0.23</v>
      </c>
      <c r="W219" s="1">
        <f t="shared" si="9"/>
        <v>57.029999999999994</v>
      </c>
      <c r="X219" s="1"/>
      <c r="Y219" s="6"/>
      <c r="Z219" s="30">
        <v>16.2</v>
      </c>
      <c r="AA219" s="1"/>
      <c r="AB219" s="6"/>
      <c r="AC219" s="6"/>
      <c r="AD219" s="1">
        <v>1.7</v>
      </c>
      <c r="AE219" s="1"/>
    </row>
    <row r="220" spans="1:31" ht="15" customHeight="1">
      <c r="A220" s="1"/>
      <c r="B220" s="1"/>
      <c r="C220" s="1"/>
      <c r="D220" s="1">
        <v>3</v>
      </c>
      <c r="E220" s="1">
        <v>0</v>
      </c>
      <c r="F220" s="1">
        <v>0</v>
      </c>
      <c r="G220" s="1">
        <v>0</v>
      </c>
      <c r="H220" s="1">
        <v>0</v>
      </c>
      <c r="I220" s="1">
        <v>1.17</v>
      </c>
      <c r="J220" s="1">
        <v>0</v>
      </c>
      <c r="K220" s="1">
        <v>0</v>
      </c>
      <c r="L220" s="1">
        <v>0</v>
      </c>
      <c r="M220" s="1">
        <v>0</v>
      </c>
      <c r="N220" s="1">
        <v>0</v>
      </c>
      <c r="O220" s="1">
        <v>0.32</v>
      </c>
      <c r="P220" s="1">
        <v>51.52</v>
      </c>
      <c r="Q220" s="1">
        <v>0</v>
      </c>
      <c r="R220" s="1">
        <v>0</v>
      </c>
      <c r="S220" s="1">
        <v>0.83</v>
      </c>
      <c r="T220" s="1">
        <v>0</v>
      </c>
      <c r="U220" s="1">
        <v>0.27</v>
      </c>
      <c r="V220" s="1">
        <v>46.85</v>
      </c>
      <c r="W220" s="1">
        <f t="shared" si="9"/>
        <v>100.96000000000001</v>
      </c>
      <c r="X220" s="1"/>
      <c r="Y220" s="6"/>
      <c r="Z220" s="30">
        <v>12.5</v>
      </c>
      <c r="AA220" s="1"/>
      <c r="AB220" s="6"/>
      <c r="AC220" s="6"/>
      <c r="AD220" s="1">
        <v>1.8</v>
      </c>
      <c r="AE220" s="1"/>
    </row>
    <row r="221" spans="1:31" ht="15" customHeight="1">
      <c r="A221" s="1"/>
      <c r="B221" s="1"/>
      <c r="C221" s="1"/>
      <c r="D221" s="1">
        <v>4</v>
      </c>
      <c r="E221" s="1">
        <v>0</v>
      </c>
      <c r="F221" s="1">
        <v>0</v>
      </c>
      <c r="G221" s="1">
        <v>0</v>
      </c>
      <c r="H221" s="1">
        <v>0</v>
      </c>
      <c r="I221" s="1">
        <v>2.35</v>
      </c>
      <c r="J221" s="1">
        <v>0</v>
      </c>
      <c r="K221" s="1">
        <v>0</v>
      </c>
      <c r="L221" s="1">
        <v>0</v>
      </c>
      <c r="M221" s="1">
        <v>0</v>
      </c>
      <c r="N221" s="1">
        <v>0</v>
      </c>
      <c r="O221" s="1">
        <v>0</v>
      </c>
      <c r="P221" s="1">
        <v>105.1</v>
      </c>
      <c r="Q221" s="1">
        <v>0.28000000000000003</v>
      </c>
      <c r="R221" s="1">
        <v>0</v>
      </c>
      <c r="S221" s="1">
        <v>0</v>
      </c>
      <c r="T221" s="1">
        <v>0</v>
      </c>
      <c r="U221" s="1">
        <v>0.28999999999999998</v>
      </c>
      <c r="V221" s="1">
        <v>1.05</v>
      </c>
      <c r="W221" s="1">
        <f t="shared" si="9"/>
        <v>109.07</v>
      </c>
      <c r="X221" s="1"/>
      <c r="Y221" s="6"/>
      <c r="Z221" s="30">
        <v>12.6</v>
      </c>
      <c r="AA221" s="1"/>
      <c r="AB221" s="6"/>
      <c r="AC221" s="6"/>
      <c r="AD221" s="1">
        <v>4</v>
      </c>
      <c r="AE221" s="1"/>
    </row>
    <row r="222" spans="1:31" ht="15" customHeight="1">
      <c r="A222" s="1"/>
      <c r="B222" s="1"/>
      <c r="C222" s="1"/>
      <c r="D222" s="1">
        <v>5</v>
      </c>
      <c r="E222" s="1">
        <v>0</v>
      </c>
      <c r="F222" s="1">
        <v>0</v>
      </c>
      <c r="G222" s="1">
        <v>0</v>
      </c>
      <c r="H222" s="1">
        <v>0</v>
      </c>
      <c r="I222" s="1">
        <v>3.24</v>
      </c>
      <c r="J222" s="1">
        <v>0</v>
      </c>
      <c r="K222" s="1">
        <v>0</v>
      </c>
      <c r="L222" s="1">
        <v>0</v>
      </c>
      <c r="M222" s="1">
        <v>0</v>
      </c>
      <c r="N222" s="1">
        <v>0</v>
      </c>
      <c r="O222" s="1">
        <v>0</v>
      </c>
      <c r="P222" s="1">
        <v>0</v>
      </c>
      <c r="Q222" s="1">
        <v>0</v>
      </c>
      <c r="R222" s="1">
        <v>0</v>
      </c>
      <c r="S222" s="1">
        <v>0.53</v>
      </c>
      <c r="T222" s="1">
        <v>0.23</v>
      </c>
      <c r="U222" s="1">
        <v>3.22</v>
      </c>
      <c r="V222" s="1">
        <v>2.06</v>
      </c>
      <c r="W222" s="35">
        <f t="shared" si="9"/>
        <v>9.2800000000000011</v>
      </c>
      <c r="X222" s="1">
        <f>AVERAGE(W218:W222)</f>
        <v>68.037999999999982</v>
      </c>
      <c r="Y222" s="6"/>
      <c r="Z222" s="30">
        <v>11.6</v>
      </c>
      <c r="AA222" s="30">
        <f>AVERAGE(Z218:Z222)</f>
        <v>13.280000000000001</v>
      </c>
      <c r="AB222" s="6"/>
      <c r="AC222" s="6"/>
      <c r="AD222" s="1">
        <v>3.7</v>
      </c>
      <c r="AE222" s="1">
        <f>AVERAGE(AD218:AD222)</f>
        <v>4.0199999999999996</v>
      </c>
    </row>
    <row r="223" spans="1:31"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row>
    <row r="224" spans="1:31" ht="15.75" customHeight="1">
      <c r="A224" s="6"/>
      <c r="B224" s="6"/>
      <c r="C224" s="6"/>
      <c r="D224" s="6"/>
      <c r="E224" s="6"/>
      <c r="F224" s="6"/>
      <c r="G224" s="6"/>
      <c r="H224" s="6"/>
      <c r="I224" s="6"/>
      <c r="J224" s="6"/>
      <c r="K224" s="6"/>
      <c r="L224" s="6"/>
      <c r="M224" s="6"/>
      <c r="N224" s="6"/>
      <c r="O224" s="6"/>
      <c r="P224" s="6"/>
      <c r="Q224" s="6"/>
      <c r="R224" s="6"/>
      <c r="S224" s="6"/>
      <c r="T224" s="6"/>
      <c r="U224" s="6"/>
      <c r="V224" s="6"/>
      <c r="W224" s="57">
        <f>MAX(W3:W222)</f>
        <v>127.28</v>
      </c>
      <c r="X224" s="6"/>
      <c r="Y224" s="6"/>
      <c r="Z224" s="64">
        <f>MAX(Z3:Z222)</f>
        <v>49.6</v>
      </c>
      <c r="AA224" s="6"/>
      <c r="AB224" s="6"/>
      <c r="AC224" s="6"/>
      <c r="AD224" s="57">
        <f>MAX(AD3:AD222)</f>
        <v>77.7</v>
      </c>
      <c r="AE224" s="6"/>
    </row>
    <row r="225" spans="1:32"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row>
    <row r="226" spans="1:32"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t="s">
        <v>114</v>
      </c>
      <c r="AA226" s="6"/>
      <c r="AB226" s="6"/>
      <c r="AC226" s="6"/>
      <c r="AD226" s="6"/>
      <c r="AE226" s="6"/>
      <c r="AF226" s="6" t="s">
        <v>2</v>
      </c>
    </row>
    <row r="227" spans="1:32"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t="s">
        <v>115</v>
      </c>
    </row>
    <row r="228" spans="1:32"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t="s">
        <v>118</v>
      </c>
    </row>
    <row r="229" spans="1:32"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t="s">
        <v>119</v>
      </c>
      <c r="AA229" s="6"/>
      <c r="AB229" s="6"/>
      <c r="AC229" s="6"/>
      <c r="AD229" s="6"/>
      <c r="AE229" s="6"/>
      <c r="AF229" s="6" t="s">
        <v>120</v>
      </c>
    </row>
    <row r="230" spans="1:32"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t="s">
        <v>121</v>
      </c>
      <c r="AA230" s="6"/>
      <c r="AB230" s="6"/>
      <c r="AC230" s="6"/>
      <c r="AD230" s="6"/>
      <c r="AE230" s="6"/>
      <c r="AF230" s="6" t="s">
        <v>122</v>
      </c>
    </row>
    <row r="231" spans="1:32"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t="s">
        <v>125</v>
      </c>
      <c r="AA231" s="6"/>
      <c r="AB231" s="6"/>
      <c r="AC231" s="6"/>
      <c r="AD231" s="6"/>
      <c r="AE231" s="6"/>
      <c r="AF231" s="6" t="s">
        <v>127</v>
      </c>
    </row>
  </sheetData>
  <mergeCells count="1">
    <mergeCell ref="E1:X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232"/>
  <sheetViews>
    <sheetView workbookViewId="0">
      <pane ySplit="2" topLeftCell="A3" activePane="bottomLeft" state="frozen"/>
      <selection pane="bottomLeft" activeCell="B4" sqref="B4"/>
    </sheetView>
  </sheetViews>
  <sheetFormatPr defaultColWidth="17.28515625" defaultRowHeight="15" customHeight="1"/>
  <cols>
    <col min="1" max="5" width="9.140625" customWidth="1"/>
    <col min="6" max="6" width="13.5703125" customWidth="1"/>
    <col min="7" max="7" width="10.5703125" customWidth="1"/>
    <col min="8" max="25" width="9.140625" customWidth="1"/>
    <col min="26" max="27" width="18" customWidth="1"/>
    <col min="28" max="30" width="9.140625" customWidth="1"/>
    <col min="31" max="31" width="18.28515625" customWidth="1"/>
    <col min="32" max="32" width="9.140625" customWidth="1"/>
    <col min="33" max="39" width="17.28515625" customWidth="1"/>
  </cols>
  <sheetData>
    <row r="1" spans="1:34" ht="18" customHeight="1">
      <c r="A1" s="1"/>
      <c r="B1" s="1"/>
      <c r="C1" s="1"/>
      <c r="D1" s="1"/>
      <c r="E1" s="125" t="s">
        <v>78</v>
      </c>
      <c r="F1" s="115"/>
      <c r="G1" s="115"/>
      <c r="H1" s="115"/>
      <c r="I1" s="115"/>
      <c r="J1" s="115"/>
      <c r="K1" s="115"/>
      <c r="L1" s="115"/>
      <c r="M1" s="115"/>
      <c r="N1" s="115"/>
      <c r="O1" s="115"/>
      <c r="P1" s="115"/>
      <c r="Q1" s="115"/>
      <c r="R1" s="115"/>
      <c r="S1" s="115"/>
      <c r="T1" s="115"/>
      <c r="U1" s="115"/>
      <c r="V1" s="115"/>
      <c r="W1" s="1"/>
      <c r="X1" s="1"/>
      <c r="Y1" s="1"/>
      <c r="Z1" s="2" t="s">
        <v>79</v>
      </c>
      <c r="AA1" s="1"/>
      <c r="AB1" s="1"/>
      <c r="AC1" s="1"/>
      <c r="AD1" s="1"/>
      <c r="AE1" s="2" t="s">
        <v>80</v>
      </c>
      <c r="AF1" s="1"/>
      <c r="AH1" s="57"/>
    </row>
    <row r="2" spans="1:34" ht="15" customHeight="1">
      <c r="A2" s="3" t="s">
        <v>3</v>
      </c>
      <c r="B2" s="3" t="s">
        <v>5</v>
      </c>
      <c r="C2" s="3" t="s">
        <v>6</v>
      </c>
      <c r="D2" s="3" t="s">
        <v>7</v>
      </c>
      <c r="E2" s="3" t="s">
        <v>8</v>
      </c>
      <c r="F2" s="3" t="s">
        <v>9</v>
      </c>
      <c r="G2" s="3" t="s">
        <v>10</v>
      </c>
      <c r="H2" s="3" t="s">
        <v>11</v>
      </c>
      <c r="I2" s="3" t="s">
        <v>12</v>
      </c>
      <c r="J2" s="3" t="s">
        <v>13</v>
      </c>
      <c r="K2" s="3" t="s">
        <v>14</v>
      </c>
      <c r="L2" s="3" t="s">
        <v>15</v>
      </c>
      <c r="M2" s="1" t="s">
        <v>16</v>
      </c>
      <c r="N2" s="1" t="s">
        <v>17</v>
      </c>
      <c r="O2" s="1" t="s">
        <v>18</v>
      </c>
      <c r="P2" s="1" t="s">
        <v>19</v>
      </c>
      <c r="Q2" s="1" t="s">
        <v>20</v>
      </c>
      <c r="R2" s="1" t="s">
        <v>21</v>
      </c>
      <c r="S2" s="1" t="s">
        <v>22</v>
      </c>
      <c r="T2" s="1" t="s">
        <v>23</v>
      </c>
      <c r="U2" s="1" t="s">
        <v>24</v>
      </c>
      <c r="V2" s="1" t="s">
        <v>25</v>
      </c>
      <c r="W2" s="1" t="s">
        <v>26</v>
      </c>
      <c r="X2" s="1" t="s">
        <v>27</v>
      </c>
      <c r="Y2" s="1"/>
      <c r="Z2" s="1" t="s">
        <v>36</v>
      </c>
      <c r="AA2" s="1" t="s">
        <v>81</v>
      </c>
      <c r="AB2" s="1" t="s">
        <v>27</v>
      </c>
      <c r="AC2" s="1"/>
      <c r="AD2" s="1"/>
      <c r="AE2" s="1" t="s">
        <v>36</v>
      </c>
      <c r="AF2" s="1" t="s">
        <v>27</v>
      </c>
      <c r="AG2" s="1" t="s">
        <v>82</v>
      </c>
      <c r="AH2" s="1"/>
    </row>
    <row r="3" spans="1:34" ht="15" customHeight="1">
      <c r="A3" s="1" t="s">
        <v>37</v>
      </c>
      <c r="B3" s="1" t="s">
        <v>39</v>
      </c>
      <c r="C3" s="1">
        <v>1</v>
      </c>
      <c r="D3" s="1">
        <v>1</v>
      </c>
      <c r="E3" s="1"/>
      <c r="F3" s="1"/>
      <c r="G3" s="1"/>
      <c r="H3" s="1"/>
      <c r="I3" s="1">
        <v>13.4</v>
      </c>
      <c r="J3" s="1"/>
      <c r="K3" s="1"/>
      <c r="L3" s="1">
        <v>9.8000000000000007</v>
      </c>
      <c r="M3" s="1"/>
      <c r="N3" s="1"/>
      <c r="O3" s="1"/>
      <c r="P3" s="1">
        <v>3.26</v>
      </c>
      <c r="Q3" s="1">
        <v>0.21</v>
      </c>
      <c r="R3" s="1"/>
      <c r="S3" s="1">
        <v>4.5</v>
      </c>
      <c r="T3" s="1"/>
      <c r="U3" s="1">
        <v>11.1</v>
      </c>
      <c r="V3" s="1">
        <v>7.5</v>
      </c>
      <c r="W3" s="1">
        <f t="shared" ref="W3:W10" si="0">SUM(E3:V3)</f>
        <v>49.77</v>
      </c>
      <c r="X3" s="1"/>
      <c r="Y3" s="1"/>
      <c r="Z3" s="1">
        <v>5.8</v>
      </c>
      <c r="AA3" s="1">
        <v>1.26</v>
      </c>
      <c r="AB3" s="1"/>
      <c r="AC3" s="1"/>
      <c r="AD3" s="1"/>
      <c r="AE3" s="1">
        <v>8.86</v>
      </c>
      <c r="AF3" s="1"/>
      <c r="AG3" s="6">
        <f>SUM(W3,AA3,AE3)</f>
        <v>59.89</v>
      </c>
      <c r="AH3" s="57"/>
    </row>
    <row r="4" spans="1:34" ht="15" customHeight="1">
      <c r="A4" s="1"/>
      <c r="B4" s="1"/>
      <c r="C4" s="1"/>
      <c r="D4" s="1">
        <v>2</v>
      </c>
      <c r="E4" s="1"/>
      <c r="F4" s="1"/>
      <c r="G4" s="1"/>
      <c r="H4" s="1"/>
      <c r="I4" s="1">
        <v>15.99</v>
      </c>
      <c r="J4" s="1"/>
      <c r="K4" s="1"/>
      <c r="L4" s="1">
        <v>10.31</v>
      </c>
      <c r="M4" s="1">
        <v>5.75</v>
      </c>
      <c r="N4" s="1"/>
      <c r="O4" s="1"/>
      <c r="P4" s="1">
        <v>2.34</v>
      </c>
      <c r="Q4" s="1">
        <v>2.78</v>
      </c>
      <c r="R4" s="1"/>
      <c r="S4" s="1">
        <v>3.86</v>
      </c>
      <c r="T4" s="1"/>
      <c r="U4" s="1">
        <v>6.37</v>
      </c>
      <c r="V4" s="1">
        <v>1.93</v>
      </c>
      <c r="W4" s="1">
        <f t="shared" si="0"/>
        <v>49.33</v>
      </c>
      <c r="X4" s="1"/>
      <c r="Y4" s="1"/>
      <c r="Z4" s="1">
        <v>5.8</v>
      </c>
      <c r="AA4" s="1">
        <v>1.17</v>
      </c>
      <c r="AB4" s="1"/>
      <c r="AC4" s="1"/>
      <c r="AD4" s="1"/>
      <c r="AE4" s="1">
        <v>9.25</v>
      </c>
      <c r="AF4" s="1"/>
      <c r="AH4" s="57"/>
    </row>
    <row r="5" spans="1:34" ht="15" customHeight="1">
      <c r="A5" s="1"/>
      <c r="B5" s="1"/>
      <c r="C5" s="1"/>
      <c r="D5" s="1">
        <v>3</v>
      </c>
      <c r="E5" s="1">
        <v>28.01</v>
      </c>
      <c r="F5" s="1"/>
      <c r="G5" s="1"/>
      <c r="H5" s="1"/>
      <c r="I5" s="1">
        <v>10.16</v>
      </c>
      <c r="J5" s="1"/>
      <c r="K5" s="1"/>
      <c r="L5" s="1">
        <v>2.93</v>
      </c>
      <c r="M5" s="1">
        <v>6.03</v>
      </c>
      <c r="N5" s="1"/>
      <c r="O5" s="1"/>
      <c r="P5" s="1">
        <v>2.06</v>
      </c>
      <c r="Q5" s="1">
        <v>3.25</v>
      </c>
      <c r="R5" s="1"/>
      <c r="S5" s="1">
        <v>9.66</v>
      </c>
      <c r="T5" s="1"/>
      <c r="U5" s="1">
        <v>16.760000000000002</v>
      </c>
      <c r="V5" s="1">
        <v>3.33</v>
      </c>
      <c r="W5" s="1">
        <f t="shared" si="0"/>
        <v>82.190000000000012</v>
      </c>
      <c r="X5" s="1"/>
      <c r="Y5" s="1"/>
      <c r="Z5" s="1">
        <v>7.4</v>
      </c>
      <c r="AA5" s="1">
        <v>0.79</v>
      </c>
      <c r="AB5" s="1"/>
      <c r="AC5" s="1"/>
      <c r="AD5" s="1"/>
      <c r="AE5" s="1">
        <v>8.0299999999999994</v>
      </c>
      <c r="AF5" s="1"/>
      <c r="AH5" s="57"/>
    </row>
    <row r="6" spans="1:34" ht="15" customHeight="1">
      <c r="A6" s="1"/>
      <c r="B6" s="1"/>
      <c r="C6" s="1"/>
      <c r="D6" s="1">
        <v>4</v>
      </c>
      <c r="E6" s="1"/>
      <c r="F6" s="1"/>
      <c r="G6" s="1"/>
      <c r="H6" s="1"/>
      <c r="I6" s="1">
        <v>21.95</v>
      </c>
      <c r="J6" s="1"/>
      <c r="K6" s="1"/>
      <c r="L6" s="1">
        <v>3.49</v>
      </c>
      <c r="M6" s="1">
        <v>0.88</v>
      </c>
      <c r="N6" s="1"/>
      <c r="O6" s="1"/>
      <c r="P6" s="1"/>
      <c r="Q6" s="1">
        <v>6.34</v>
      </c>
      <c r="R6" s="1"/>
      <c r="S6" s="1">
        <v>12.57</v>
      </c>
      <c r="T6" s="1"/>
      <c r="U6" s="1">
        <v>17.34</v>
      </c>
      <c r="V6" s="1">
        <v>4.92</v>
      </c>
      <c r="W6" s="1">
        <f t="shared" si="0"/>
        <v>67.489999999999995</v>
      </c>
      <c r="X6" s="1"/>
      <c r="Y6" s="1"/>
      <c r="Z6" s="1">
        <v>10.4</v>
      </c>
      <c r="AA6" s="1">
        <v>2.23</v>
      </c>
      <c r="AB6" s="1"/>
      <c r="AC6" s="1"/>
      <c r="AD6" s="1"/>
      <c r="AE6" s="1">
        <v>10.37</v>
      </c>
      <c r="AF6" s="1"/>
      <c r="AH6" s="57"/>
    </row>
    <row r="7" spans="1:34" ht="15" customHeight="1">
      <c r="A7" s="1"/>
      <c r="B7" s="1"/>
      <c r="C7" s="1"/>
      <c r="D7" s="1">
        <v>5</v>
      </c>
      <c r="E7" s="1"/>
      <c r="F7" s="1"/>
      <c r="G7" s="1">
        <v>2.0699999999999998</v>
      </c>
      <c r="H7" s="1"/>
      <c r="I7" s="1">
        <v>10.02</v>
      </c>
      <c r="J7" s="1"/>
      <c r="K7" s="1"/>
      <c r="L7" s="1">
        <v>3.23</v>
      </c>
      <c r="M7" s="1"/>
      <c r="N7" s="1"/>
      <c r="O7" s="1"/>
      <c r="P7" s="1">
        <v>2.0099999999999998</v>
      </c>
      <c r="Q7" s="1">
        <v>2.44</v>
      </c>
      <c r="R7" s="1"/>
      <c r="S7" s="1">
        <v>20.079999999999998</v>
      </c>
      <c r="T7" s="1"/>
      <c r="U7" s="1">
        <v>6.52</v>
      </c>
      <c r="V7" s="1">
        <v>4.1100000000000003</v>
      </c>
      <c r="W7" s="1">
        <f t="shared" si="0"/>
        <v>50.47999999999999</v>
      </c>
      <c r="X7" s="1">
        <f>AVERAGE(W3:W7)</f>
        <v>59.851999999999997</v>
      </c>
      <c r="Y7" s="1"/>
      <c r="Z7" s="1">
        <v>5.0999999999999996</v>
      </c>
      <c r="AA7" s="1">
        <v>0.86</v>
      </c>
      <c r="AB7" s="1">
        <f>AVERAGE(AA3:AA7)</f>
        <v>1.262</v>
      </c>
      <c r="AC7" s="1"/>
      <c r="AD7" s="1"/>
      <c r="AE7" s="1">
        <v>8.0299999999999994</v>
      </c>
      <c r="AF7" s="1">
        <f>AVERAGE(AE3:AE7)</f>
        <v>8.9079999999999995</v>
      </c>
      <c r="AH7" s="57"/>
    </row>
    <row r="8" spans="1:34" ht="15" customHeight="1">
      <c r="A8" s="1"/>
      <c r="B8" s="1"/>
      <c r="C8" s="1">
        <v>2</v>
      </c>
      <c r="D8" s="1">
        <v>1</v>
      </c>
      <c r="E8" s="1">
        <v>0.51</v>
      </c>
      <c r="F8" s="1"/>
      <c r="G8" s="1">
        <v>0.63</v>
      </c>
      <c r="H8" s="1"/>
      <c r="I8" s="1">
        <v>7.53</v>
      </c>
      <c r="J8" s="1"/>
      <c r="K8" s="1"/>
      <c r="L8" s="1">
        <v>8.4600000000000009</v>
      </c>
      <c r="M8" s="1">
        <v>4.5999999999999996</v>
      </c>
      <c r="N8" s="1"/>
      <c r="O8" s="1"/>
      <c r="P8" s="1"/>
      <c r="Q8" s="1"/>
      <c r="R8" s="1"/>
      <c r="S8" s="1">
        <v>4.33</v>
      </c>
      <c r="T8" s="1"/>
      <c r="U8" s="1">
        <v>12.74</v>
      </c>
      <c r="V8" s="1">
        <v>10.43</v>
      </c>
      <c r="W8" s="1">
        <f t="shared" si="0"/>
        <v>49.230000000000004</v>
      </c>
      <c r="X8" s="1"/>
      <c r="Y8" s="1"/>
      <c r="Z8" s="1">
        <v>3.9</v>
      </c>
      <c r="AA8" s="1">
        <v>0.48</v>
      </c>
      <c r="AB8" s="1"/>
      <c r="AC8" s="1"/>
      <c r="AD8" s="1"/>
      <c r="AE8" s="1">
        <v>10.48</v>
      </c>
      <c r="AF8" s="1"/>
      <c r="AH8" s="57"/>
    </row>
    <row r="9" spans="1:34" ht="15" customHeight="1">
      <c r="A9" s="1"/>
      <c r="B9" s="1"/>
      <c r="C9" s="1"/>
      <c r="D9" s="1">
        <v>2</v>
      </c>
      <c r="E9" s="1">
        <v>2.19</v>
      </c>
      <c r="F9" s="1"/>
      <c r="G9" s="1"/>
      <c r="H9" s="1"/>
      <c r="I9" s="1">
        <v>11.55</v>
      </c>
      <c r="J9" s="1"/>
      <c r="K9" s="1">
        <v>0.04</v>
      </c>
      <c r="L9" s="1">
        <v>11.4</v>
      </c>
      <c r="M9" s="1">
        <v>2.2400000000000002</v>
      </c>
      <c r="N9" s="1"/>
      <c r="O9" s="1"/>
      <c r="P9" s="1">
        <v>1.76</v>
      </c>
      <c r="Q9" s="1">
        <v>3.7</v>
      </c>
      <c r="R9" s="1"/>
      <c r="S9" s="1">
        <v>3.42</v>
      </c>
      <c r="T9" s="1"/>
      <c r="U9" s="1">
        <v>8.4499999999999993</v>
      </c>
      <c r="V9" s="1">
        <v>5.33</v>
      </c>
      <c r="W9" s="1">
        <f t="shared" si="0"/>
        <v>50.08</v>
      </c>
      <c r="X9" s="1"/>
      <c r="Y9" s="1"/>
      <c r="Z9" s="1">
        <v>6.2</v>
      </c>
      <c r="AA9" s="1">
        <v>0.49</v>
      </c>
      <c r="AB9" s="1"/>
      <c r="AC9" s="1"/>
      <c r="AD9" s="1"/>
      <c r="AE9" s="1">
        <v>10.53</v>
      </c>
      <c r="AF9" s="1"/>
      <c r="AH9" s="57"/>
    </row>
    <row r="10" spans="1:34" ht="15" customHeight="1">
      <c r="A10" s="1"/>
      <c r="B10" s="1"/>
      <c r="C10" s="1"/>
      <c r="D10" s="1">
        <v>3</v>
      </c>
      <c r="E10" s="1"/>
      <c r="F10" s="1"/>
      <c r="G10" s="1"/>
      <c r="H10" s="1"/>
      <c r="I10" s="1">
        <v>10.33</v>
      </c>
      <c r="J10" s="1"/>
      <c r="K10" s="1"/>
      <c r="L10" s="1">
        <v>6.68</v>
      </c>
      <c r="M10" s="1">
        <v>3.67</v>
      </c>
      <c r="N10" s="1"/>
      <c r="O10" s="1"/>
      <c r="P10" s="1"/>
      <c r="Q10" s="1"/>
      <c r="R10" s="1"/>
      <c r="S10" s="1">
        <v>4.17</v>
      </c>
      <c r="T10" s="1"/>
      <c r="U10" s="1">
        <v>9.9600000000000009</v>
      </c>
      <c r="V10" s="1">
        <v>10.73</v>
      </c>
      <c r="W10" s="1">
        <f t="shared" si="0"/>
        <v>45.540000000000006</v>
      </c>
      <c r="X10" s="1"/>
      <c r="Y10" s="1"/>
      <c r="Z10" s="1">
        <v>6</v>
      </c>
      <c r="AA10" s="1">
        <v>0.66</v>
      </c>
      <c r="AB10" s="1"/>
      <c r="AC10" s="1"/>
      <c r="AD10" s="1"/>
      <c r="AE10" s="1">
        <v>5.99</v>
      </c>
      <c r="AF10" s="1"/>
      <c r="AH10" s="57"/>
    </row>
    <row r="11" spans="1:34" ht="15" customHeight="1">
      <c r="A11" s="1"/>
      <c r="B11" s="1"/>
      <c r="C11" s="1"/>
      <c r="D11" s="1">
        <v>4</v>
      </c>
      <c r="E11" s="1"/>
      <c r="F11" s="1">
        <v>0.52</v>
      </c>
      <c r="G11" s="1"/>
      <c r="H11" s="1"/>
      <c r="I11" s="1"/>
      <c r="J11" s="1"/>
      <c r="K11" s="1"/>
      <c r="L11" s="1"/>
      <c r="M11" s="1"/>
      <c r="N11" s="1"/>
      <c r="O11" s="1"/>
      <c r="P11" s="1"/>
      <c r="Q11" s="1">
        <v>0.19</v>
      </c>
      <c r="R11" s="1"/>
      <c r="S11" s="1"/>
      <c r="T11" s="1"/>
      <c r="U11" s="1"/>
      <c r="V11" s="1"/>
      <c r="W11" s="58">
        <v>48.887500000000003</v>
      </c>
      <c r="X11" s="1"/>
      <c r="Y11" s="1"/>
      <c r="Z11" s="1">
        <v>3.6</v>
      </c>
      <c r="AA11" s="1">
        <v>1.06</v>
      </c>
      <c r="AB11" s="1"/>
      <c r="AC11" s="1"/>
      <c r="AD11" s="1"/>
      <c r="AE11" s="1">
        <v>13.94</v>
      </c>
      <c r="AF11" s="1"/>
      <c r="AH11" s="57"/>
    </row>
    <row r="12" spans="1:34" ht="15" customHeight="1">
      <c r="A12" s="1"/>
      <c r="B12" s="1"/>
      <c r="C12" s="1"/>
      <c r="D12" s="1">
        <v>5</v>
      </c>
      <c r="E12" s="1"/>
      <c r="F12" s="1"/>
      <c r="G12" s="1"/>
      <c r="H12" s="1"/>
      <c r="I12" s="1">
        <v>10.5</v>
      </c>
      <c r="J12" s="1"/>
      <c r="K12" s="1"/>
      <c r="L12" s="1">
        <v>9.1</v>
      </c>
      <c r="M12" s="1">
        <v>6.1</v>
      </c>
      <c r="N12" s="1"/>
      <c r="O12" s="1"/>
      <c r="P12" s="1">
        <v>0.9</v>
      </c>
      <c r="Q12" s="1">
        <v>4.3</v>
      </c>
      <c r="R12" s="1"/>
      <c r="S12" s="1">
        <v>6.7</v>
      </c>
      <c r="T12" s="1"/>
      <c r="U12" s="1">
        <v>8.4</v>
      </c>
      <c r="V12" s="1">
        <v>4.7</v>
      </c>
      <c r="W12" s="1">
        <f>SUM(E12:V12)</f>
        <v>50.7</v>
      </c>
      <c r="X12" s="1">
        <f>AVERAGE(W8:W12)</f>
        <v>48.887500000000003</v>
      </c>
      <c r="Y12" s="1"/>
      <c r="Z12" s="1">
        <v>8.1</v>
      </c>
      <c r="AA12" s="1">
        <v>1.32</v>
      </c>
      <c r="AB12" s="1">
        <f>AVERAGE(AA8:AA12)</f>
        <v>0.80199999999999994</v>
      </c>
      <c r="AC12" s="1"/>
      <c r="AD12" s="1"/>
      <c r="AE12" s="1">
        <v>7.81</v>
      </c>
      <c r="AF12" s="1">
        <f>AVERAGE(AE8:AE12)</f>
        <v>9.75</v>
      </c>
      <c r="AH12" s="57"/>
    </row>
    <row r="13" spans="1:34" ht="15" customHeight="1">
      <c r="A13" s="1"/>
      <c r="B13" s="1"/>
      <c r="C13" s="1">
        <v>3</v>
      </c>
      <c r="D13" s="1">
        <v>1</v>
      </c>
      <c r="E13" s="1"/>
      <c r="F13" s="1"/>
      <c r="G13" s="1"/>
      <c r="H13" s="1"/>
      <c r="I13" s="1"/>
      <c r="J13" s="1"/>
      <c r="K13" s="1"/>
      <c r="L13" s="1"/>
      <c r="M13" s="1"/>
      <c r="N13" s="1"/>
      <c r="O13" s="1"/>
      <c r="P13" s="1"/>
      <c r="Q13" s="1"/>
      <c r="R13" s="1"/>
      <c r="S13" s="1"/>
      <c r="T13" s="1"/>
      <c r="U13" s="1"/>
      <c r="V13" s="1"/>
      <c r="W13" s="58">
        <v>53.45</v>
      </c>
      <c r="X13" s="1"/>
      <c r="Y13" s="1"/>
      <c r="Z13" s="1">
        <v>6.3</v>
      </c>
      <c r="AA13" s="1">
        <v>1.03</v>
      </c>
      <c r="AB13" s="1"/>
      <c r="AC13" s="1"/>
      <c r="AD13" s="1"/>
      <c r="AE13" s="1">
        <v>9.64</v>
      </c>
      <c r="AF13" s="1"/>
      <c r="AH13" s="57"/>
    </row>
    <row r="14" spans="1:34" ht="15" customHeight="1">
      <c r="A14" s="1"/>
      <c r="B14" s="1"/>
      <c r="C14" s="1"/>
      <c r="D14" s="1">
        <v>2</v>
      </c>
      <c r="E14" s="1">
        <v>0.24</v>
      </c>
      <c r="F14" s="1"/>
      <c r="G14" s="1"/>
      <c r="H14" s="1"/>
      <c r="I14" s="1">
        <v>11.46</v>
      </c>
      <c r="J14" s="1"/>
      <c r="K14" s="1"/>
      <c r="L14" s="1">
        <v>6.02</v>
      </c>
      <c r="M14" s="1"/>
      <c r="N14" s="1"/>
      <c r="O14" s="1"/>
      <c r="P14" s="1">
        <v>2.99</v>
      </c>
      <c r="Q14" s="1">
        <v>0.76</v>
      </c>
      <c r="R14" s="1"/>
      <c r="S14" s="1">
        <v>3.08</v>
      </c>
      <c r="T14" s="1"/>
      <c r="U14" s="1">
        <v>7.8</v>
      </c>
      <c r="V14" s="1">
        <v>16.07</v>
      </c>
      <c r="W14" s="1">
        <f t="shared" ref="W14:W21" si="1">SUM(E14:V14)</f>
        <v>48.42</v>
      </c>
      <c r="X14" s="1"/>
      <c r="Y14" s="1"/>
      <c r="Z14" s="1">
        <v>5.7</v>
      </c>
      <c r="AA14" s="1">
        <v>0.85</v>
      </c>
      <c r="AB14" s="1"/>
      <c r="AC14" s="1"/>
      <c r="AD14" s="1"/>
      <c r="AE14" s="1">
        <v>7.37</v>
      </c>
      <c r="AF14" s="1"/>
      <c r="AH14" s="57"/>
    </row>
    <row r="15" spans="1:34" ht="15" customHeight="1">
      <c r="A15" s="1"/>
      <c r="B15" s="1"/>
      <c r="C15" s="1"/>
      <c r="D15" s="1">
        <v>3</v>
      </c>
      <c r="E15" s="1"/>
      <c r="F15" s="1"/>
      <c r="G15" s="1"/>
      <c r="H15" s="1"/>
      <c r="I15" s="1">
        <v>29.61</v>
      </c>
      <c r="J15" s="1"/>
      <c r="K15" s="1"/>
      <c r="L15" s="1">
        <v>7.28</v>
      </c>
      <c r="M15" s="1">
        <v>4.8099999999999996</v>
      </c>
      <c r="N15" s="1"/>
      <c r="O15" s="1"/>
      <c r="P15" s="1">
        <v>1.19</v>
      </c>
      <c r="Q15" s="1">
        <v>0.43</v>
      </c>
      <c r="R15" s="1"/>
      <c r="S15" s="1">
        <v>0.69</v>
      </c>
      <c r="T15" s="1"/>
      <c r="U15" s="1">
        <v>24.2</v>
      </c>
      <c r="V15" s="1">
        <v>5.0599999999999996</v>
      </c>
      <c r="W15" s="1">
        <f t="shared" si="1"/>
        <v>73.27</v>
      </c>
      <c r="X15" s="1"/>
      <c r="Y15" s="1"/>
      <c r="Z15" s="1">
        <v>20.7</v>
      </c>
      <c r="AA15" s="59">
        <v>16.43</v>
      </c>
      <c r="AB15" s="1"/>
      <c r="AC15" s="1" t="s">
        <v>83</v>
      </c>
      <c r="AD15" s="1"/>
      <c r="AE15" s="1">
        <v>5.82</v>
      </c>
      <c r="AF15" s="1"/>
      <c r="AH15" s="57"/>
    </row>
    <row r="16" spans="1:34" ht="15" customHeight="1">
      <c r="A16" s="1"/>
      <c r="B16" s="13" t="s">
        <v>84</v>
      </c>
      <c r="C16" s="1"/>
      <c r="D16" s="1">
        <v>4</v>
      </c>
      <c r="E16" s="1">
        <v>0.71</v>
      </c>
      <c r="F16" s="1"/>
      <c r="G16" s="1"/>
      <c r="H16" s="1"/>
      <c r="I16" s="1">
        <v>9.0500000000000007</v>
      </c>
      <c r="J16" s="1"/>
      <c r="K16" s="1"/>
      <c r="L16" s="1">
        <v>8.16</v>
      </c>
      <c r="M16" s="1">
        <v>2.92</v>
      </c>
      <c r="N16" s="1"/>
      <c r="O16" s="1"/>
      <c r="P16" s="1"/>
      <c r="Q16" s="1"/>
      <c r="R16" s="1"/>
      <c r="S16" s="1"/>
      <c r="T16" s="1"/>
      <c r="U16" s="1">
        <v>16.36</v>
      </c>
      <c r="V16" s="1">
        <v>4.3</v>
      </c>
      <c r="W16" s="1">
        <f t="shared" si="1"/>
        <v>41.5</v>
      </c>
      <c r="X16" s="1"/>
      <c r="Y16" s="1"/>
      <c r="Z16" s="1">
        <v>8.6999999999999993</v>
      </c>
      <c r="AA16" s="1">
        <v>1.34</v>
      </c>
      <c r="AB16" s="1"/>
      <c r="AC16" s="1"/>
      <c r="AD16" s="1"/>
      <c r="AE16" s="1">
        <v>10.65</v>
      </c>
      <c r="AF16" s="1"/>
      <c r="AH16" s="57"/>
    </row>
    <row r="17" spans="1:39" ht="15" customHeight="1">
      <c r="A17" s="1"/>
      <c r="B17" s="1"/>
      <c r="C17" s="1"/>
      <c r="D17" s="1">
        <v>5</v>
      </c>
      <c r="E17" s="1">
        <v>0.39</v>
      </c>
      <c r="F17" s="1"/>
      <c r="G17" s="1"/>
      <c r="H17" s="1"/>
      <c r="I17" s="1">
        <v>10.39</v>
      </c>
      <c r="J17" s="1"/>
      <c r="K17" s="1"/>
      <c r="L17" s="1">
        <v>7.84</v>
      </c>
      <c r="M17" s="1">
        <v>1.43</v>
      </c>
      <c r="N17" s="1"/>
      <c r="O17" s="1"/>
      <c r="P17" s="1">
        <v>1.35</v>
      </c>
      <c r="Q17" s="1">
        <v>0.86</v>
      </c>
      <c r="R17" s="1"/>
      <c r="S17" s="1">
        <v>0.48</v>
      </c>
      <c r="T17" s="1"/>
      <c r="U17" s="1">
        <v>20.46</v>
      </c>
      <c r="V17" s="1">
        <v>7.41</v>
      </c>
      <c r="W17" s="1">
        <f t="shared" si="1"/>
        <v>50.61</v>
      </c>
      <c r="X17" s="1">
        <f>AVERAGE(W13:W17)</f>
        <v>53.45</v>
      </c>
      <c r="Y17" s="1"/>
      <c r="Z17" s="1">
        <v>6.1</v>
      </c>
      <c r="AA17" s="1">
        <v>2.97</v>
      </c>
      <c r="AB17" s="1">
        <f>AVERAGE(AA13:AA17)</f>
        <v>4.5239999999999991</v>
      </c>
      <c r="AC17" s="1"/>
      <c r="AD17" s="1"/>
      <c r="AE17" s="1">
        <v>15.1</v>
      </c>
      <c r="AF17" s="1">
        <f>AVERAGE(AE13:AE17)</f>
        <v>9.7160000000000011</v>
      </c>
      <c r="AH17" s="57"/>
    </row>
    <row r="18" spans="1:39" ht="15" customHeight="1">
      <c r="A18" s="1"/>
      <c r="B18" s="1"/>
      <c r="C18" s="1">
        <v>4</v>
      </c>
      <c r="D18" s="1">
        <v>1</v>
      </c>
      <c r="E18" s="1"/>
      <c r="F18" s="1"/>
      <c r="G18" s="1">
        <v>0.17</v>
      </c>
      <c r="H18" s="1"/>
      <c r="I18" s="1">
        <v>8.52</v>
      </c>
      <c r="J18" s="1"/>
      <c r="K18" s="1"/>
      <c r="L18" s="1">
        <v>9.9600000000000009</v>
      </c>
      <c r="M18" s="1">
        <v>8.18</v>
      </c>
      <c r="N18" s="1"/>
      <c r="O18" s="1"/>
      <c r="P18" s="1"/>
      <c r="Q18" s="1">
        <v>0.37</v>
      </c>
      <c r="R18" s="1"/>
      <c r="S18" s="1">
        <v>2.72</v>
      </c>
      <c r="T18" s="1"/>
      <c r="U18" s="1">
        <v>6.19</v>
      </c>
      <c r="V18" s="1">
        <v>8.64</v>
      </c>
      <c r="W18" s="1">
        <f t="shared" si="1"/>
        <v>44.75</v>
      </c>
      <c r="X18" s="1"/>
      <c r="Y18" s="1"/>
      <c r="Z18" s="1">
        <v>3</v>
      </c>
      <c r="AA18" s="1">
        <v>1.3</v>
      </c>
      <c r="AB18" s="1"/>
      <c r="AC18" s="1"/>
      <c r="AD18" s="1"/>
      <c r="AE18" s="1">
        <v>9.61</v>
      </c>
      <c r="AF18" s="1"/>
      <c r="AH18" s="57"/>
    </row>
    <row r="19" spans="1:39" ht="15" customHeight="1">
      <c r="A19" s="1"/>
      <c r="B19" s="1"/>
      <c r="C19" s="1"/>
      <c r="D19" s="1">
        <v>2</v>
      </c>
      <c r="E19" s="1"/>
      <c r="F19" s="1"/>
      <c r="G19" s="1">
        <v>0.1</v>
      </c>
      <c r="H19" s="1"/>
      <c r="I19" s="1">
        <v>11.7</v>
      </c>
      <c r="J19" s="1"/>
      <c r="K19" s="1"/>
      <c r="L19" s="1">
        <v>8</v>
      </c>
      <c r="M19" s="1">
        <v>4.3</v>
      </c>
      <c r="N19" s="1"/>
      <c r="O19" s="1"/>
      <c r="P19" s="1">
        <v>1.2</v>
      </c>
      <c r="Q19" s="1">
        <v>0.2</v>
      </c>
      <c r="R19" s="1"/>
      <c r="S19" s="1">
        <v>4.9000000000000004</v>
      </c>
      <c r="T19" s="1"/>
      <c r="U19" s="1">
        <v>10.1</v>
      </c>
      <c r="V19" s="1">
        <v>12.8</v>
      </c>
      <c r="W19" s="1">
        <f t="shared" si="1"/>
        <v>53.3</v>
      </c>
      <c r="X19" s="1"/>
      <c r="Y19" s="1"/>
      <c r="Z19" s="1">
        <v>3</v>
      </c>
      <c r="AA19" s="1">
        <v>1.38</v>
      </c>
      <c r="AB19" s="1"/>
      <c r="AC19" s="1"/>
      <c r="AD19" s="1"/>
      <c r="AE19" s="1">
        <v>8.65</v>
      </c>
      <c r="AF19" s="1"/>
      <c r="AH19" s="57"/>
    </row>
    <row r="20" spans="1:39" ht="15" customHeight="1">
      <c r="A20" s="1"/>
      <c r="B20" s="1"/>
      <c r="C20" s="1"/>
      <c r="D20" s="1">
        <v>3</v>
      </c>
      <c r="E20" s="1"/>
      <c r="F20" s="1"/>
      <c r="G20" s="1"/>
      <c r="H20" s="1"/>
      <c r="I20" s="1">
        <v>10.02</v>
      </c>
      <c r="J20" s="1"/>
      <c r="K20" s="1"/>
      <c r="L20" s="1">
        <v>2.84</v>
      </c>
      <c r="M20" s="1">
        <v>8.8699999999999992</v>
      </c>
      <c r="N20" s="1"/>
      <c r="O20" s="1"/>
      <c r="P20" s="1"/>
      <c r="Q20" s="1">
        <v>1.1000000000000001</v>
      </c>
      <c r="R20" s="1"/>
      <c r="S20" s="1">
        <v>0.34</v>
      </c>
      <c r="T20" s="1"/>
      <c r="U20" s="1">
        <v>13.46</v>
      </c>
      <c r="V20" s="1">
        <v>5.28</v>
      </c>
      <c r="W20" s="1">
        <f t="shared" si="1"/>
        <v>41.91</v>
      </c>
      <c r="X20" s="1"/>
      <c r="Y20" s="1"/>
      <c r="Z20" s="1">
        <v>10</v>
      </c>
      <c r="AA20" s="1">
        <v>1.48</v>
      </c>
      <c r="AB20" s="1"/>
      <c r="AC20" s="1"/>
      <c r="AD20" s="1"/>
      <c r="AE20" s="1">
        <v>9.58</v>
      </c>
      <c r="AF20" s="1"/>
      <c r="AH20" s="57"/>
    </row>
    <row r="21" spans="1:39" ht="15" customHeight="1">
      <c r="A21" s="1"/>
      <c r="B21" s="1"/>
      <c r="C21" s="1"/>
      <c r="D21" s="1">
        <v>4</v>
      </c>
      <c r="E21" s="1"/>
      <c r="F21" s="1"/>
      <c r="G21" s="1"/>
      <c r="H21" s="1"/>
      <c r="I21" s="1">
        <v>10.6</v>
      </c>
      <c r="J21" s="1"/>
      <c r="K21" s="1"/>
      <c r="L21" s="1">
        <v>4.97</v>
      </c>
      <c r="M21" s="1">
        <v>4.01</v>
      </c>
      <c r="N21" s="1"/>
      <c r="O21" s="1"/>
      <c r="P21" s="1"/>
      <c r="Q21" s="1"/>
      <c r="R21" s="1"/>
      <c r="S21" s="1">
        <v>3.1</v>
      </c>
      <c r="T21" s="1"/>
      <c r="U21" s="1"/>
      <c r="V21" s="1">
        <v>28.05</v>
      </c>
      <c r="W21" s="1">
        <f t="shared" si="1"/>
        <v>50.730000000000004</v>
      </c>
      <c r="X21" s="1"/>
      <c r="Y21" s="1"/>
      <c r="Z21" s="1">
        <v>4.7</v>
      </c>
      <c r="AA21" s="1">
        <v>0.8</v>
      </c>
      <c r="AB21" s="1"/>
      <c r="AC21" s="1"/>
      <c r="AD21" s="1"/>
      <c r="AE21" s="1">
        <v>18.21</v>
      </c>
      <c r="AF21" s="1"/>
      <c r="AH21" s="57"/>
      <c r="AJ21" s="6" t="s">
        <v>86</v>
      </c>
    </row>
    <row r="22" spans="1:39" ht="15" customHeight="1">
      <c r="A22" s="1"/>
      <c r="B22" s="1"/>
      <c r="C22" s="1"/>
      <c r="D22" s="1">
        <v>5</v>
      </c>
      <c r="E22" s="1"/>
      <c r="F22" s="1"/>
      <c r="G22" s="1"/>
      <c r="H22" s="1"/>
      <c r="I22" s="1"/>
      <c r="J22" s="1"/>
      <c r="K22" s="1"/>
      <c r="L22" s="1"/>
      <c r="M22" s="1"/>
      <c r="N22" s="1"/>
      <c r="O22" s="1"/>
      <c r="P22" s="1"/>
      <c r="Q22" s="1"/>
      <c r="R22" s="1"/>
      <c r="S22" s="1"/>
      <c r="T22" s="1"/>
      <c r="U22" s="1"/>
      <c r="V22" s="1"/>
      <c r="W22" s="58">
        <v>47.672499999999999</v>
      </c>
      <c r="X22" s="1">
        <f>AVERAGE(W18:W22)</f>
        <v>47.672499999999999</v>
      </c>
      <c r="Y22" s="1"/>
      <c r="Z22" s="1">
        <v>9</v>
      </c>
      <c r="AA22" s="1">
        <v>1.06</v>
      </c>
      <c r="AB22" s="1">
        <f>AVERAGE(AA18:AA22)</f>
        <v>1.204</v>
      </c>
      <c r="AC22" s="1"/>
      <c r="AD22" s="1"/>
      <c r="AE22" s="1">
        <v>10.4</v>
      </c>
      <c r="AF22" s="1">
        <f>AVERAGE(AE18:AE22)</f>
        <v>11.29</v>
      </c>
      <c r="AH22" s="57"/>
      <c r="AJ22" s="6" t="s">
        <v>87</v>
      </c>
      <c r="AK22" s="6" t="s">
        <v>88</v>
      </c>
      <c r="AL22" s="6" t="s">
        <v>89</v>
      </c>
      <c r="AM22" s="6" t="s">
        <v>90</v>
      </c>
    </row>
    <row r="23" spans="1:39" ht="15" customHeight="1">
      <c r="A23" s="1" t="s">
        <v>37</v>
      </c>
      <c r="B23" s="1" t="s">
        <v>77</v>
      </c>
      <c r="C23" s="1">
        <v>1</v>
      </c>
      <c r="D23" s="1">
        <v>1</v>
      </c>
      <c r="E23" s="1"/>
      <c r="F23" s="1"/>
      <c r="G23" s="1"/>
      <c r="H23" s="1"/>
      <c r="I23" s="1">
        <v>25.66</v>
      </c>
      <c r="J23" s="1"/>
      <c r="K23" s="1"/>
      <c r="L23" s="1">
        <v>2.99</v>
      </c>
      <c r="M23" s="1">
        <v>18.71</v>
      </c>
      <c r="N23" s="1"/>
      <c r="O23" s="1"/>
      <c r="P23" s="1"/>
      <c r="Q23" s="1"/>
      <c r="R23" s="1"/>
      <c r="S23" s="1">
        <v>0.13</v>
      </c>
      <c r="T23" s="1"/>
      <c r="U23" s="1">
        <v>7.91</v>
      </c>
      <c r="V23" s="1">
        <v>2.11</v>
      </c>
      <c r="W23" s="1">
        <f t="shared" ref="W23:W49" si="2">SUM(E23:V23)</f>
        <v>57.510000000000005</v>
      </c>
      <c r="X23" s="1"/>
      <c r="Y23" s="1"/>
      <c r="Z23" s="1">
        <v>6.6</v>
      </c>
      <c r="AA23" s="1">
        <v>2.12</v>
      </c>
      <c r="AB23" s="1"/>
      <c r="AC23" s="1"/>
      <c r="AD23" s="1"/>
      <c r="AE23" s="1">
        <v>0.52</v>
      </c>
      <c r="AF23" s="1"/>
      <c r="AG23" s="57"/>
      <c r="AH23" s="57"/>
      <c r="AI23" s="6">
        <v>2010</v>
      </c>
      <c r="AJ23" s="6">
        <v>57.510000000000005</v>
      </c>
      <c r="AK23" s="6">
        <v>45.58</v>
      </c>
      <c r="AL23" s="6">
        <v>69.47</v>
      </c>
      <c r="AM23" s="6">
        <v>54.36</v>
      </c>
    </row>
    <row r="24" spans="1:39" ht="15" customHeight="1">
      <c r="A24" s="1"/>
      <c r="B24" s="1"/>
      <c r="C24" s="1"/>
      <c r="D24" s="1">
        <v>2</v>
      </c>
      <c r="E24" s="1"/>
      <c r="F24" s="1"/>
      <c r="G24" s="1"/>
      <c r="H24" s="1"/>
      <c r="I24" s="1">
        <v>29.51</v>
      </c>
      <c r="J24" s="1"/>
      <c r="K24" s="1"/>
      <c r="L24" s="1">
        <v>1.72</v>
      </c>
      <c r="M24" s="1">
        <v>10.65</v>
      </c>
      <c r="N24" s="1"/>
      <c r="O24" s="1"/>
      <c r="P24" s="1"/>
      <c r="Q24" s="1">
        <v>0.24</v>
      </c>
      <c r="R24" s="1"/>
      <c r="S24" s="1">
        <v>0.27</v>
      </c>
      <c r="T24" s="1"/>
      <c r="U24" s="1">
        <v>6.63</v>
      </c>
      <c r="V24" s="1">
        <v>0.53</v>
      </c>
      <c r="W24" s="1">
        <f t="shared" si="2"/>
        <v>49.550000000000011</v>
      </c>
      <c r="X24" s="1"/>
      <c r="Y24" s="1"/>
      <c r="Z24" s="1">
        <v>3.5</v>
      </c>
      <c r="AA24" s="1">
        <v>1.97</v>
      </c>
      <c r="AB24" s="1"/>
      <c r="AC24" s="1"/>
      <c r="AD24" s="1"/>
      <c r="AE24" s="1">
        <v>4.63</v>
      </c>
      <c r="AF24" s="1"/>
      <c r="AG24" s="57"/>
      <c r="AH24" s="57"/>
      <c r="AJ24" s="6">
        <v>49.550000000000011</v>
      </c>
      <c r="AK24" s="6">
        <v>58.150000000000006</v>
      </c>
      <c r="AL24" s="6">
        <v>72.61</v>
      </c>
      <c r="AM24" s="6">
        <v>56.43</v>
      </c>
    </row>
    <row r="25" spans="1:39" ht="15" customHeight="1">
      <c r="A25" s="1"/>
      <c r="B25" s="1"/>
      <c r="C25" s="1"/>
      <c r="D25" s="1">
        <v>3</v>
      </c>
      <c r="E25" s="1"/>
      <c r="F25" s="1"/>
      <c r="G25" s="1"/>
      <c r="H25" s="1"/>
      <c r="I25" s="1">
        <v>19.5</v>
      </c>
      <c r="J25" s="1"/>
      <c r="K25" s="1"/>
      <c r="L25" s="1">
        <v>1.86</v>
      </c>
      <c r="M25" s="1">
        <v>15.21</v>
      </c>
      <c r="N25" s="1"/>
      <c r="O25" s="1"/>
      <c r="P25" s="1"/>
      <c r="Q25" s="1">
        <v>1.69</v>
      </c>
      <c r="R25" s="1"/>
      <c r="S25" s="1">
        <v>0.73</v>
      </c>
      <c r="T25" s="1"/>
      <c r="U25" s="1">
        <v>6.44</v>
      </c>
      <c r="V25" s="1"/>
      <c r="W25" s="1">
        <f t="shared" si="2"/>
        <v>45.429999999999993</v>
      </c>
      <c r="X25" s="1"/>
      <c r="Y25" s="1"/>
      <c r="Z25" s="1">
        <v>4.8</v>
      </c>
      <c r="AA25" s="1">
        <v>1.83</v>
      </c>
      <c r="AB25" s="1"/>
      <c r="AC25" s="1"/>
      <c r="AD25" s="1"/>
      <c r="AE25" s="1">
        <v>10.34</v>
      </c>
      <c r="AF25" s="1"/>
      <c r="AG25" s="57"/>
      <c r="AH25" s="57"/>
      <c r="AJ25" s="6">
        <v>45.429999999999993</v>
      </c>
      <c r="AK25" s="6">
        <v>59.129999999999995</v>
      </c>
      <c r="AL25" s="6">
        <v>58.350000000000009</v>
      </c>
      <c r="AM25" s="6">
        <v>47.559999999999988</v>
      </c>
    </row>
    <row r="26" spans="1:39" ht="15" customHeight="1">
      <c r="A26" s="1"/>
      <c r="B26" s="1"/>
      <c r="C26" s="1"/>
      <c r="D26" s="1">
        <v>4</v>
      </c>
      <c r="E26" s="1"/>
      <c r="F26" s="1"/>
      <c r="G26" s="1"/>
      <c r="H26" s="1"/>
      <c r="I26" s="1">
        <v>23.36</v>
      </c>
      <c r="J26" s="1"/>
      <c r="K26" s="1"/>
      <c r="L26" s="1">
        <v>4.01</v>
      </c>
      <c r="M26" s="1">
        <v>10.36</v>
      </c>
      <c r="N26" s="1"/>
      <c r="O26" s="1"/>
      <c r="P26" s="1"/>
      <c r="Q26" s="1"/>
      <c r="R26" s="1"/>
      <c r="S26" s="1">
        <v>0.5</v>
      </c>
      <c r="T26" s="1"/>
      <c r="U26" s="1">
        <v>8.6</v>
      </c>
      <c r="V26" s="1">
        <v>0.71</v>
      </c>
      <c r="W26" s="1">
        <f t="shared" si="2"/>
        <v>47.54</v>
      </c>
      <c r="X26" s="1"/>
      <c r="Y26" s="1"/>
      <c r="Z26" s="1">
        <v>2.9</v>
      </c>
      <c r="AA26" s="1">
        <v>0.2</v>
      </c>
      <c r="AB26" s="1"/>
      <c r="AC26" s="1"/>
      <c r="AD26" s="1"/>
      <c r="AE26" s="1">
        <v>6.39</v>
      </c>
      <c r="AF26" s="1"/>
      <c r="AG26" s="57"/>
      <c r="AH26" s="57"/>
      <c r="AJ26" s="6">
        <v>47.54</v>
      </c>
      <c r="AK26" s="6">
        <v>56.480000000000004</v>
      </c>
      <c r="AL26" s="6">
        <v>66.600000000000009</v>
      </c>
      <c r="AM26" s="6">
        <v>56.54</v>
      </c>
    </row>
    <row r="27" spans="1:39" ht="15" customHeight="1">
      <c r="A27" s="1"/>
      <c r="B27" s="1"/>
      <c r="C27" s="1"/>
      <c r="D27" s="1">
        <v>5</v>
      </c>
      <c r="E27" s="1"/>
      <c r="F27" s="1"/>
      <c r="G27" s="1"/>
      <c r="H27" s="1"/>
      <c r="I27" s="1">
        <v>28.27</v>
      </c>
      <c r="J27" s="1"/>
      <c r="K27" s="1"/>
      <c r="L27" s="1">
        <v>2.79</v>
      </c>
      <c r="M27" s="1">
        <v>2.2799999999999998</v>
      </c>
      <c r="N27" s="1"/>
      <c r="O27" s="1"/>
      <c r="P27" s="1"/>
      <c r="Q27" s="1"/>
      <c r="R27" s="1"/>
      <c r="S27" s="1">
        <v>0.33</v>
      </c>
      <c r="T27" s="1"/>
      <c r="U27" s="1">
        <v>4.3</v>
      </c>
      <c r="V27" s="1"/>
      <c r="W27" s="1">
        <f t="shared" si="2"/>
        <v>37.969999999999992</v>
      </c>
      <c r="X27" s="1">
        <f>AVERAGE(W23:W27)</f>
        <v>47.6</v>
      </c>
      <c r="Y27" s="1"/>
      <c r="Z27" s="1">
        <v>9.1999999999999993</v>
      </c>
      <c r="AA27" s="1">
        <v>1.2</v>
      </c>
      <c r="AB27" s="1">
        <f>AVERAGE(AA23:AA27)</f>
        <v>1.464</v>
      </c>
      <c r="AC27" s="1"/>
      <c r="AD27" s="1"/>
      <c r="AE27" s="1">
        <v>10.42</v>
      </c>
      <c r="AF27" s="1">
        <f>AVERAGE(AE23:AE27)</f>
        <v>6.4599999999999991</v>
      </c>
      <c r="AG27" s="57"/>
      <c r="AH27" s="57"/>
      <c r="AJ27" s="6">
        <v>37.969999999999992</v>
      </c>
      <c r="AK27" s="6">
        <v>46.82</v>
      </c>
      <c r="AL27" s="6">
        <v>44.029999999999994</v>
      </c>
      <c r="AM27" s="6">
        <v>66.219999999999985</v>
      </c>
    </row>
    <row r="28" spans="1:39" ht="15" customHeight="1">
      <c r="A28" s="1"/>
      <c r="B28" s="1"/>
      <c r="C28" s="1">
        <v>2</v>
      </c>
      <c r="D28" s="1">
        <v>1</v>
      </c>
      <c r="E28" s="1"/>
      <c r="F28" s="1"/>
      <c r="G28" s="1"/>
      <c r="H28" s="1"/>
      <c r="I28" s="1">
        <v>26.05</v>
      </c>
      <c r="J28" s="1"/>
      <c r="K28" s="1"/>
      <c r="L28" s="1">
        <v>6.71</v>
      </c>
      <c r="M28" s="1">
        <v>0.76</v>
      </c>
      <c r="N28" s="1"/>
      <c r="O28" s="1"/>
      <c r="P28" s="1"/>
      <c r="Q28" s="1"/>
      <c r="R28" s="1"/>
      <c r="S28" s="1">
        <v>0.17</v>
      </c>
      <c r="T28" s="1"/>
      <c r="U28" s="1">
        <v>11.61</v>
      </c>
      <c r="V28" s="1">
        <v>0.28000000000000003</v>
      </c>
      <c r="W28" s="1">
        <f t="shared" si="2"/>
        <v>45.58</v>
      </c>
      <c r="X28" s="1"/>
      <c r="Y28" s="1"/>
      <c r="Z28" s="1">
        <v>23.7</v>
      </c>
      <c r="AA28" s="1">
        <v>1.54</v>
      </c>
      <c r="AB28" s="1"/>
      <c r="AC28" s="1"/>
      <c r="AD28" s="1"/>
      <c r="AE28" s="61">
        <v>10.58</v>
      </c>
      <c r="AF28" s="1"/>
      <c r="AG28" s="57"/>
      <c r="AH28" s="57"/>
      <c r="AI28" s="6">
        <v>2011</v>
      </c>
      <c r="AJ28" s="6">
        <v>42.4</v>
      </c>
      <c r="AK28" s="6">
        <v>50.8</v>
      </c>
      <c r="AL28" s="6">
        <v>68.5</v>
      </c>
      <c r="AM28" s="6">
        <v>57.6</v>
      </c>
    </row>
    <row r="29" spans="1:39" ht="15" customHeight="1">
      <c r="A29" s="1"/>
      <c r="B29" s="1"/>
      <c r="C29" s="1"/>
      <c r="D29" s="1">
        <v>2</v>
      </c>
      <c r="E29" s="1">
        <v>0.2</v>
      </c>
      <c r="F29" s="1"/>
      <c r="G29" s="1"/>
      <c r="H29" s="1"/>
      <c r="I29" s="1">
        <v>17.89</v>
      </c>
      <c r="J29" s="1"/>
      <c r="K29" s="1"/>
      <c r="L29" s="1">
        <v>16.75</v>
      </c>
      <c r="M29" s="1">
        <v>4.8099999999999996</v>
      </c>
      <c r="N29" s="1"/>
      <c r="O29" s="1">
        <v>0.48</v>
      </c>
      <c r="P29" s="1"/>
      <c r="Q29" s="1">
        <v>0.14000000000000001</v>
      </c>
      <c r="R29" s="1"/>
      <c r="S29" s="1">
        <v>0.28000000000000003</v>
      </c>
      <c r="T29" s="1"/>
      <c r="U29" s="1">
        <v>14.49</v>
      </c>
      <c r="V29" s="1">
        <v>3.11</v>
      </c>
      <c r="W29" s="1">
        <f t="shared" si="2"/>
        <v>58.150000000000006</v>
      </c>
      <c r="X29" s="1"/>
      <c r="Y29" s="1"/>
      <c r="Z29" s="1">
        <v>7</v>
      </c>
      <c r="AA29" s="1">
        <v>5.48</v>
      </c>
      <c r="AB29" s="1"/>
      <c r="AC29" s="1"/>
      <c r="AD29" s="1"/>
      <c r="AE29" s="13">
        <v>8.82</v>
      </c>
      <c r="AF29" s="1"/>
      <c r="AG29" s="57"/>
      <c r="AH29" s="57"/>
      <c r="AJ29" s="6">
        <v>86.7</v>
      </c>
      <c r="AK29" s="6">
        <v>62.8</v>
      </c>
      <c r="AL29" s="6">
        <v>41.9</v>
      </c>
      <c r="AM29" s="6">
        <v>50.1</v>
      </c>
    </row>
    <row r="30" spans="1:39" ht="15" customHeight="1">
      <c r="A30" s="1"/>
      <c r="B30" s="1"/>
      <c r="C30" s="1"/>
      <c r="D30" s="1">
        <v>3</v>
      </c>
      <c r="E30" s="1"/>
      <c r="F30" s="1"/>
      <c r="G30" s="1"/>
      <c r="H30" s="1"/>
      <c r="I30" s="1">
        <v>9.5</v>
      </c>
      <c r="J30" s="1"/>
      <c r="K30" s="1"/>
      <c r="L30" s="1">
        <v>6.87</v>
      </c>
      <c r="M30" s="1">
        <v>26.45</v>
      </c>
      <c r="N30" s="1"/>
      <c r="O30" s="1"/>
      <c r="P30" s="1"/>
      <c r="Q30" s="1"/>
      <c r="R30" s="1"/>
      <c r="S30" s="1"/>
      <c r="T30" s="1"/>
      <c r="U30" s="1">
        <v>11.98</v>
      </c>
      <c r="V30" s="1">
        <v>4.33</v>
      </c>
      <c r="W30" s="1">
        <f t="shared" si="2"/>
        <v>59.129999999999995</v>
      </c>
      <c r="X30" s="1"/>
      <c r="Y30" s="1"/>
      <c r="Z30" s="1">
        <v>5.7</v>
      </c>
      <c r="AA30" s="1">
        <v>2.46</v>
      </c>
      <c r="AB30" s="1"/>
      <c r="AC30" s="1"/>
      <c r="AD30" s="1"/>
      <c r="AE30" s="13">
        <v>1.38</v>
      </c>
      <c r="AF30" s="1"/>
      <c r="AG30" s="57"/>
      <c r="AH30" s="57"/>
      <c r="AJ30" s="6">
        <v>53.7</v>
      </c>
      <c r="AK30" s="6">
        <v>74.900000000000006</v>
      </c>
      <c r="AL30" s="6">
        <v>54.5</v>
      </c>
      <c r="AM30" s="6">
        <v>50.8</v>
      </c>
    </row>
    <row r="31" spans="1:39" ht="15" customHeight="1">
      <c r="A31" s="1"/>
      <c r="B31" s="1"/>
      <c r="C31" s="1"/>
      <c r="D31" s="1">
        <v>4</v>
      </c>
      <c r="E31" s="1"/>
      <c r="F31" s="1"/>
      <c r="G31" s="1"/>
      <c r="H31" s="1"/>
      <c r="I31" s="1">
        <v>11.75</v>
      </c>
      <c r="J31" s="1"/>
      <c r="K31" s="1"/>
      <c r="L31" s="1">
        <v>10.37</v>
      </c>
      <c r="M31" s="1">
        <v>9.36</v>
      </c>
      <c r="N31" s="1"/>
      <c r="O31" s="1"/>
      <c r="P31" s="1"/>
      <c r="Q31" s="1">
        <v>1.01</v>
      </c>
      <c r="R31" s="1"/>
      <c r="S31" s="1">
        <v>1.0900000000000001</v>
      </c>
      <c r="T31" s="1"/>
      <c r="U31" s="1">
        <v>19.2</v>
      </c>
      <c r="V31" s="1">
        <v>3.7</v>
      </c>
      <c r="W31" s="1">
        <f t="shared" si="2"/>
        <v>56.480000000000004</v>
      </c>
      <c r="X31" s="1"/>
      <c r="Y31" s="1"/>
      <c r="Z31" s="1">
        <v>7.5</v>
      </c>
      <c r="AA31" s="1">
        <v>1.93</v>
      </c>
      <c r="AB31" s="1"/>
      <c r="AC31" s="1"/>
      <c r="AD31" s="1"/>
      <c r="AE31" s="13">
        <v>7.09</v>
      </c>
      <c r="AF31" s="1"/>
      <c r="AG31" s="57"/>
      <c r="AH31" s="57"/>
      <c r="AJ31" s="6">
        <v>86.7</v>
      </c>
      <c r="AK31" s="6">
        <v>24</v>
      </c>
      <c r="AL31" s="6">
        <v>64.599999999999994</v>
      </c>
      <c r="AM31" s="6">
        <v>41.3</v>
      </c>
    </row>
    <row r="32" spans="1:39" ht="15" customHeight="1">
      <c r="A32" s="1"/>
      <c r="B32" s="1"/>
      <c r="C32" s="1"/>
      <c r="D32" s="1">
        <v>5</v>
      </c>
      <c r="E32" s="1"/>
      <c r="F32" s="1"/>
      <c r="G32" s="1"/>
      <c r="H32" s="1"/>
      <c r="I32" s="1">
        <v>8.41</v>
      </c>
      <c r="J32" s="1"/>
      <c r="K32" s="1"/>
      <c r="L32" s="1">
        <v>4.12</v>
      </c>
      <c r="M32" s="1">
        <v>29.89</v>
      </c>
      <c r="N32" s="1"/>
      <c r="O32" s="1">
        <v>0.01</v>
      </c>
      <c r="P32" s="1"/>
      <c r="Q32" s="1"/>
      <c r="R32" s="1"/>
      <c r="S32" s="1">
        <v>1.82</v>
      </c>
      <c r="T32" s="1"/>
      <c r="U32" s="1">
        <v>2.57</v>
      </c>
      <c r="V32" s="1"/>
      <c r="W32" s="1">
        <f t="shared" si="2"/>
        <v>46.82</v>
      </c>
      <c r="X32" s="1">
        <f>AVERAGE(W28:W32)</f>
        <v>53.232000000000006</v>
      </c>
      <c r="Y32" s="1"/>
      <c r="Z32" s="1">
        <v>2.4</v>
      </c>
      <c r="AA32" s="1">
        <v>1.35</v>
      </c>
      <c r="AB32" s="1">
        <f>AVERAGE(AA28:AA32)</f>
        <v>2.552</v>
      </c>
      <c r="AC32" s="1"/>
      <c r="AD32" s="1"/>
      <c r="AE32" s="13">
        <v>1.1000000000000001</v>
      </c>
      <c r="AF32" s="1">
        <f>AVERAGE(AE28:AE32)</f>
        <v>5.7939999999999996</v>
      </c>
      <c r="AG32" s="57"/>
      <c r="AH32" s="57"/>
      <c r="AJ32" s="6">
        <v>92.8</v>
      </c>
      <c r="AK32" s="6">
        <v>41.5</v>
      </c>
      <c r="AL32" s="6">
        <v>64.3</v>
      </c>
      <c r="AM32" s="6">
        <v>52.4</v>
      </c>
    </row>
    <row r="33" spans="1:39" ht="15" customHeight="1">
      <c r="A33" s="1"/>
      <c r="B33" s="1"/>
      <c r="C33" s="1">
        <v>3</v>
      </c>
      <c r="D33" s="1">
        <v>1</v>
      </c>
      <c r="E33" s="1"/>
      <c r="F33" s="1"/>
      <c r="G33" s="1"/>
      <c r="H33" s="1"/>
      <c r="I33" s="1">
        <v>21.36</v>
      </c>
      <c r="J33" s="1"/>
      <c r="K33" s="1"/>
      <c r="L33" s="1">
        <v>5.51</v>
      </c>
      <c r="M33" s="1">
        <v>9.16</v>
      </c>
      <c r="N33" s="1"/>
      <c r="O33" s="1">
        <v>0.66</v>
      </c>
      <c r="P33" s="1">
        <v>0.08</v>
      </c>
      <c r="Q33" s="1">
        <v>1.84</v>
      </c>
      <c r="R33" s="1"/>
      <c r="S33" s="1">
        <v>5.43</v>
      </c>
      <c r="T33" s="1"/>
      <c r="U33" s="1">
        <v>21.66</v>
      </c>
      <c r="V33" s="1">
        <v>3.77</v>
      </c>
      <c r="W33" s="1">
        <f t="shared" si="2"/>
        <v>69.47</v>
      </c>
      <c r="X33" s="1"/>
      <c r="Y33" s="1"/>
      <c r="Z33" s="1">
        <v>3</v>
      </c>
      <c r="AA33" s="1">
        <v>6.9</v>
      </c>
      <c r="AB33" s="1"/>
      <c r="AC33" s="1"/>
      <c r="AD33" s="1"/>
      <c r="AE33" s="1">
        <v>14.84</v>
      </c>
      <c r="AF33" s="1"/>
      <c r="AG33" s="57"/>
      <c r="AH33" s="57"/>
      <c r="AI33" s="6">
        <v>2012</v>
      </c>
      <c r="AJ33" s="1">
        <v>75.949999999999989</v>
      </c>
      <c r="AK33" s="1">
        <v>63.9</v>
      </c>
      <c r="AL33" s="1">
        <v>79.13</v>
      </c>
      <c r="AM33" s="1">
        <v>67.47</v>
      </c>
    </row>
    <row r="34" spans="1:39" ht="15" customHeight="1">
      <c r="A34" s="1"/>
      <c r="B34" s="1"/>
      <c r="C34" s="1"/>
      <c r="D34" s="1">
        <v>2</v>
      </c>
      <c r="E34" s="1"/>
      <c r="F34" s="1"/>
      <c r="G34" s="1"/>
      <c r="H34" s="1"/>
      <c r="I34" s="1">
        <v>13.91</v>
      </c>
      <c r="J34" s="1"/>
      <c r="K34" s="1"/>
      <c r="L34" s="1">
        <v>1.68</v>
      </c>
      <c r="M34" s="1">
        <v>46.57</v>
      </c>
      <c r="N34" s="1"/>
      <c r="O34" s="1"/>
      <c r="P34" s="1"/>
      <c r="Q34" s="1">
        <v>1.54</v>
      </c>
      <c r="R34" s="1"/>
      <c r="S34" s="1">
        <v>0.8</v>
      </c>
      <c r="T34" s="1"/>
      <c r="U34" s="1">
        <v>5.46</v>
      </c>
      <c r="V34" s="1">
        <v>2.65</v>
      </c>
      <c r="W34" s="1">
        <f t="shared" si="2"/>
        <v>72.61</v>
      </c>
      <c r="X34" s="1"/>
      <c r="Y34" s="1"/>
      <c r="Z34" s="1">
        <v>7</v>
      </c>
      <c r="AA34" s="1">
        <v>4.0199999999999996</v>
      </c>
      <c r="AB34" s="1"/>
      <c r="AC34" s="1"/>
      <c r="AD34" s="1"/>
      <c r="AE34" s="1">
        <v>6.58</v>
      </c>
      <c r="AF34" s="1"/>
      <c r="AG34" s="57"/>
      <c r="AH34" s="57"/>
      <c r="AJ34" s="1">
        <v>50.03</v>
      </c>
      <c r="AK34" s="1">
        <v>69.08</v>
      </c>
      <c r="AL34" s="1">
        <v>46.47</v>
      </c>
      <c r="AM34" s="1">
        <v>48.190000000000005</v>
      </c>
    </row>
    <row r="35" spans="1:39" ht="15" customHeight="1">
      <c r="A35" s="1"/>
      <c r="B35" s="1"/>
      <c r="C35" s="1"/>
      <c r="D35" s="1">
        <v>3</v>
      </c>
      <c r="E35" s="1">
        <v>0.14000000000000001</v>
      </c>
      <c r="F35" s="1"/>
      <c r="G35" s="1"/>
      <c r="H35" s="1"/>
      <c r="I35" s="1">
        <v>27.1</v>
      </c>
      <c r="J35" s="1"/>
      <c r="K35" s="1"/>
      <c r="L35" s="1">
        <v>1.63</v>
      </c>
      <c r="M35" s="1">
        <v>6.53</v>
      </c>
      <c r="N35" s="1"/>
      <c r="O35" s="1">
        <v>0.44</v>
      </c>
      <c r="P35" s="1"/>
      <c r="Q35" s="1">
        <v>11.02</v>
      </c>
      <c r="R35" s="1"/>
      <c r="S35" s="1">
        <v>0.95</v>
      </c>
      <c r="T35" s="1"/>
      <c r="U35" s="1">
        <v>4.09</v>
      </c>
      <c r="V35" s="1">
        <v>6.45</v>
      </c>
      <c r="W35" s="1">
        <f t="shared" si="2"/>
        <v>58.350000000000009</v>
      </c>
      <c r="X35" s="1"/>
      <c r="Y35" s="1"/>
      <c r="Z35" s="1">
        <v>4.8</v>
      </c>
      <c r="AA35" s="1">
        <v>3.37</v>
      </c>
      <c r="AB35" s="1"/>
      <c r="AC35" s="1"/>
      <c r="AD35" s="1"/>
      <c r="AE35" s="1">
        <v>6.14</v>
      </c>
      <c r="AF35" s="1"/>
      <c r="AG35" s="57"/>
      <c r="AH35" s="57"/>
      <c r="AJ35" s="1">
        <v>74</v>
      </c>
      <c r="AK35" s="1">
        <v>72.36999999999999</v>
      </c>
      <c r="AL35" s="1">
        <v>57.49</v>
      </c>
      <c r="AM35" s="1">
        <v>65.849999999999994</v>
      </c>
    </row>
    <row r="36" spans="1:39" ht="15" customHeight="1">
      <c r="A36" s="1"/>
      <c r="B36" s="1"/>
      <c r="C36" s="1"/>
      <c r="D36" s="1">
        <v>4</v>
      </c>
      <c r="E36" s="1">
        <v>0.84</v>
      </c>
      <c r="F36" s="1"/>
      <c r="G36" s="1"/>
      <c r="H36" s="1"/>
      <c r="I36" s="1">
        <v>19.93</v>
      </c>
      <c r="J36" s="1"/>
      <c r="K36" s="1"/>
      <c r="L36" s="1">
        <v>5</v>
      </c>
      <c r="M36" s="1">
        <v>13.7</v>
      </c>
      <c r="N36" s="1"/>
      <c r="O36" s="1"/>
      <c r="P36" s="1"/>
      <c r="Q36" s="1">
        <v>2.3199999999999998</v>
      </c>
      <c r="R36" s="1"/>
      <c r="S36" s="1">
        <v>0.99</v>
      </c>
      <c r="T36" s="1"/>
      <c r="U36" s="1">
        <v>20.12</v>
      </c>
      <c r="V36" s="1">
        <v>3.7</v>
      </c>
      <c r="W36" s="1">
        <f t="shared" si="2"/>
        <v>66.600000000000009</v>
      </c>
      <c r="X36" s="1"/>
      <c r="Y36" s="1"/>
      <c r="Z36" s="1">
        <v>12.1</v>
      </c>
      <c r="AA36" s="1">
        <v>4.43</v>
      </c>
      <c r="AB36" s="1"/>
      <c r="AC36" s="1"/>
      <c r="AD36" s="1"/>
      <c r="AE36" s="1">
        <v>6.05</v>
      </c>
      <c r="AF36" s="1"/>
      <c r="AG36" s="57"/>
      <c r="AH36" s="57"/>
      <c r="AJ36" s="1">
        <v>50.46</v>
      </c>
      <c r="AK36" s="1">
        <v>66.86999999999999</v>
      </c>
      <c r="AL36" s="1">
        <v>68.569999999999993</v>
      </c>
      <c r="AM36" s="1">
        <v>62.79</v>
      </c>
    </row>
    <row r="37" spans="1:39" ht="15" customHeight="1">
      <c r="A37" s="1"/>
      <c r="B37" s="1"/>
      <c r="C37" s="1"/>
      <c r="D37" s="1">
        <v>5</v>
      </c>
      <c r="E37" s="1">
        <v>0.75</v>
      </c>
      <c r="F37" s="1"/>
      <c r="G37" s="1"/>
      <c r="H37" s="1"/>
      <c r="I37" s="1">
        <v>19.77</v>
      </c>
      <c r="J37" s="1"/>
      <c r="K37" s="1"/>
      <c r="L37" s="1">
        <v>8.17</v>
      </c>
      <c r="M37" s="1">
        <v>7.01</v>
      </c>
      <c r="N37" s="1"/>
      <c r="O37" s="1"/>
      <c r="P37" s="1"/>
      <c r="Q37" s="1">
        <v>1.62</v>
      </c>
      <c r="R37" s="1"/>
      <c r="S37" s="1"/>
      <c r="T37" s="1"/>
      <c r="U37" s="1">
        <v>4.93</v>
      </c>
      <c r="V37" s="1">
        <v>1.78</v>
      </c>
      <c r="W37" s="1">
        <f t="shared" si="2"/>
        <v>44.029999999999994</v>
      </c>
      <c r="X37" s="1">
        <f>AVERAGE(W33:W37)</f>
        <v>62.212000000000003</v>
      </c>
      <c r="Y37" s="1"/>
      <c r="Z37" s="1">
        <v>2.2999999999999998</v>
      </c>
      <c r="AA37" s="1">
        <v>0.73</v>
      </c>
      <c r="AB37" s="1">
        <f>AVERAGE(AA33:AA37)</f>
        <v>3.8899999999999997</v>
      </c>
      <c r="AC37" s="1"/>
      <c r="AD37" s="1"/>
      <c r="AE37" s="1">
        <v>3.92</v>
      </c>
      <c r="AF37" s="1">
        <f>AVERAGE(AE33:AE37)</f>
        <v>7.5060000000000002</v>
      </c>
      <c r="AG37" s="57"/>
      <c r="AH37" s="57"/>
      <c r="AJ37" s="1">
        <v>41.29</v>
      </c>
      <c r="AK37" s="1">
        <v>42.84</v>
      </c>
      <c r="AL37" s="1">
        <v>73.5</v>
      </c>
      <c r="AM37" s="1">
        <v>62.390000000000008</v>
      </c>
    </row>
    <row r="38" spans="1:39" ht="15" customHeight="1">
      <c r="A38" s="1"/>
      <c r="B38" s="1"/>
      <c r="C38" s="1">
        <v>4</v>
      </c>
      <c r="D38" s="1">
        <v>1</v>
      </c>
      <c r="E38" s="1"/>
      <c r="F38" s="1"/>
      <c r="G38" s="1"/>
      <c r="H38" s="1"/>
      <c r="I38" s="1">
        <v>8.9</v>
      </c>
      <c r="J38" s="1"/>
      <c r="K38" s="1"/>
      <c r="L38" s="1">
        <v>3.07</v>
      </c>
      <c r="M38" s="1">
        <v>11.31</v>
      </c>
      <c r="N38" s="1"/>
      <c r="O38" s="1"/>
      <c r="P38" s="1"/>
      <c r="Q38" s="1">
        <v>4.75</v>
      </c>
      <c r="R38" s="1"/>
      <c r="S38" s="1">
        <v>7.38</v>
      </c>
      <c r="T38" s="1"/>
      <c r="U38" s="1">
        <v>18.95</v>
      </c>
      <c r="V38" s="1"/>
      <c r="W38" s="1">
        <f t="shared" si="2"/>
        <v>54.36</v>
      </c>
      <c r="X38" s="1"/>
      <c r="Y38" s="1"/>
      <c r="Z38" s="1">
        <v>6.7</v>
      </c>
      <c r="AA38" s="1">
        <v>2.95</v>
      </c>
      <c r="AB38" s="1"/>
      <c r="AC38" s="1"/>
      <c r="AD38" s="1"/>
      <c r="AE38" s="1">
        <v>7.34</v>
      </c>
      <c r="AF38" s="1"/>
      <c r="AG38" s="57"/>
      <c r="AH38" s="57"/>
      <c r="AI38" s="6">
        <v>2013</v>
      </c>
      <c r="AJ38" s="1">
        <v>51.8</v>
      </c>
      <c r="AK38" s="1">
        <v>78.799999999999983</v>
      </c>
      <c r="AL38" s="1">
        <v>94.8</v>
      </c>
      <c r="AM38" s="1">
        <v>67.900000000000006</v>
      </c>
    </row>
    <row r="39" spans="1:39" ht="15" customHeight="1">
      <c r="A39" s="1"/>
      <c r="B39" s="1"/>
      <c r="C39" s="1"/>
      <c r="D39" s="1">
        <v>2</v>
      </c>
      <c r="E39" s="1"/>
      <c r="F39" s="1"/>
      <c r="G39" s="1"/>
      <c r="H39" s="1"/>
      <c r="I39" s="1">
        <v>27.82</v>
      </c>
      <c r="J39" s="1"/>
      <c r="K39" s="1"/>
      <c r="L39" s="1">
        <v>5.65</v>
      </c>
      <c r="M39" s="1">
        <v>9.93</v>
      </c>
      <c r="N39" s="1"/>
      <c r="O39" s="1"/>
      <c r="P39" s="1"/>
      <c r="Q39" s="1">
        <v>0.15</v>
      </c>
      <c r="R39" s="1"/>
      <c r="S39" s="1"/>
      <c r="T39" s="1"/>
      <c r="U39" s="1">
        <v>12.88</v>
      </c>
      <c r="V39" s="1"/>
      <c r="W39" s="1">
        <f t="shared" si="2"/>
        <v>56.43</v>
      </c>
      <c r="X39" s="1"/>
      <c r="Y39" s="1"/>
      <c r="Z39" s="1">
        <v>12.8</v>
      </c>
      <c r="AA39" s="1">
        <v>2.79</v>
      </c>
      <c r="AB39" s="1"/>
      <c r="AC39" s="1"/>
      <c r="AD39" s="1"/>
      <c r="AE39" s="1">
        <v>6.44</v>
      </c>
      <c r="AF39" s="1"/>
      <c r="AG39" s="57"/>
      <c r="AH39" s="57"/>
      <c r="AJ39" s="1">
        <v>58.199999999999996</v>
      </c>
      <c r="AK39" s="1">
        <v>63.2</v>
      </c>
      <c r="AL39" s="1">
        <v>59.2</v>
      </c>
      <c r="AM39" s="1">
        <v>47.3</v>
      </c>
    </row>
    <row r="40" spans="1:39" ht="15" customHeight="1">
      <c r="A40" s="1"/>
      <c r="B40" s="1"/>
      <c r="C40" s="1"/>
      <c r="D40" s="1">
        <v>3</v>
      </c>
      <c r="E40" s="1"/>
      <c r="F40" s="1"/>
      <c r="G40" s="1"/>
      <c r="H40" s="1"/>
      <c r="I40" s="1">
        <v>23.83</v>
      </c>
      <c r="J40" s="1"/>
      <c r="K40" s="1"/>
      <c r="L40" s="1">
        <v>1.07</v>
      </c>
      <c r="M40" s="1">
        <v>12.2</v>
      </c>
      <c r="N40" s="1"/>
      <c r="O40" s="1">
        <v>0.43</v>
      </c>
      <c r="P40" s="1"/>
      <c r="Q40" s="1">
        <v>3.83</v>
      </c>
      <c r="R40" s="1"/>
      <c r="S40" s="1">
        <v>0.37</v>
      </c>
      <c r="T40" s="1"/>
      <c r="U40" s="1">
        <v>5.83</v>
      </c>
      <c r="V40" s="1"/>
      <c r="W40" s="1">
        <f t="shared" si="2"/>
        <v>47.559999999999988</v>
      </c>
      <c r="X40" s="1"/>
      <c r="Y40" s="1"/>
      <c r="Z40" s="1">
        <v>10.199999999999999</v>
      </c>
      <c r="AA40" s="1">
        <v>2.72</v>
      </c>
      <c r="AB40" s="1"/>
      <c r="AC40" s="1"/>
      <c r="AD40" s="1"/>
      <c r="AE40" s="1">
        <v>4.76</v>
      </c>
      <c r="AF40" s="1"/>
      <c r="AG40" s="57"/>
      <c r="AH40" s="57"/>
      <c r="AJ40" s="1">
        <v>64.900000000000006</v>
      </c>
      <c r="AK40" s="1">
        <v>71</v>
      </c>
      <c r="AL40" s="1">
        <v>151.39999999999998</v>
      </c>
      <c r="AM40" s="1">
        <v>74.899999999999991</v>
      </c>
    </row>
    <row r="41" spans="1:39" ht="15" customHeight="1">
      <c r="A41" s="1"/>
      <c r="B41" s="1"/>
      <c r="C41" s="1"/>
      <c r="D41" s="1">
        <v>4</v>
      </c>
      <c r="E41" s="1"/>
      <c r="F41" s="1"/>
      <c r="G41" s="1"/>
      <c r="H41" s="1"/>
      <c r="I41" s="1">
        <v>22.8</v>
      </c>
      <c r="J41" s="1"/>
      <c r="K41" s="1"/>
      <c r="L41" s="1">
        <v>4.5599999999999996</v>
      </c>
      <c r="M41" s="1">
        <v>2.5499999999999998</v>
      </c>
      <c r="N41" s="1">
        <v>0.4</v>
      </c>
      <c r="O41" s="1">
        <v>0.04</v>
      </c>
      <c r="P41" s="1"/>
      <c r="Q41" s="1">
        <v>13.51</v>
      </c>
      <c r="R41" s="1"/>
      <c r="S41" s="1">
        <v>0.45</v>
      </c>
      <c r="T41" s="1"/>
      <c r="U41" s="1">
        <v>11.9</v>
      </c>
      <c r="V41" s="1">
        <v>0.33</v>
      </c>
      <c r="W41" s="1">
        <f t="shared" si="2"/>
        <v>56.54</v>
      </c>
      <c r="X41" s="1"/>
      <c r="Y41" s="1"/>
      <c r="Z41" s="1">
        <v>5</v>
      </c>
      <c r="AA41" s="1">
        <v>2.85</v>
      </c>
      <c r="AB41" s="1"/>
      <c r="AC41" s="1"/>
      <c r="AD41" s="1"/>
      <c r="AE41" s="8">
        <f>AVERAGE(AE38:AE40,AE42)</f>
        <v>5.8324999999999996</v>
      </c>
      <c r="AF41" s="1"/>
      <c r="AG41" s="57"/>
      <c r="AH41" s="57"/>
      <c r="AJ41" s="1">
        <v>56.400000000000006</v>
      </c>
      <c r="AK41" s="1">
        <v>97.9</v>
      </c>
      <c r="AL41" s="1">
        <v>83.7</v>
      </c>
      <c r="AM41" s="1">
        <v>66.099999999999994</v>
      </c>
    </row>
    <row r="42" spans="1:39" ht="15" customHeight="1">
      <c r="A42" s="1"/>
      <c r="B42" s="1"/>
      <c r="C42" s="1"/>
      <c r="D42" s="1">
        <v>5</v>
      </c>
      <c r="E42" s="1">
        <v>0.32</v>
      </c>
      <c r="F42" s="1"/>
      <c r="G42" s="1"/>
      <c r="H42" s="1"/>
      <c r="I42" s="1">
        <v>31.74</v>
      </c>
      <c r="J42" s="1"/>
      <c r="K42" s="1"/>
      <c r="L42" s="1">
        <v>1.58</v>
      </c>
      <c r="M42" s="1">
        <v>1.17</v>
      </c>
      <c r="N42" s="1"/>
      <c r="O42" s="1">
        <v>0.16</v>
      </c>
      <c r="P42" s="1">
        <v>3.72</v>
      </c>
      <c r="Q42" s="1"/>
      <c r="R42" s="1"/>
      <c r="S42" s="1">
        <v>0.37</v>
      </c>
      <c r="T42" s="1"/>
      <c r="U42" s="1">
        <v>25.72</v>
      </c>
      <c r="V42" s="1">
        <v>1.44</v>
      </c>
      <c r="W42" s="1">
        <f t="shared" si="2"/>
        <v>66.219999999999985</v>
      </c>
      <c r="X42" s="1">
        <f>AVERAGE(W38:W42)</f>
        <v>56.221999999999994</v>
      </c>
      <c r="Y42" s="1"/>
      <c r="Z42" s="1">
        <v>7.2</v>
      </c>
      <c r="AA42" s="1">
        <v>1.68</v>
      </c>
      <c r="AB42" s="1">
        <f>AVERAGE(AA38:AA42)</f>
        <v>2.5979999999999999</v>
      </c>
      <c r="AC42" s="1"/>
      <c r="AD42" s="1"/>
      <c r="AE42" s="1">
        <v>4.79</v>
      </c>
      <c r="AF42" s="1">
        <f>AVERAGE(AE38:AE42)</f>
        <v>5.8324999999999996</v>
      </c>
      <c r="AG42" s="57"/>
      <c r="AH42" s="57"/>
      <c r="AJ42" s="1">
        <v>48.800000000000004</v>
      </c>
      <c r="AK42" s="1">
        <v>60.4</v>
      </c>
      <c r="AL42" s="1">
        <v>76.600000000000009</v>
      </c>
      <c r="AM42" s="1">
        <v>64.5</v>
      </c>
    </row>
    <row r="43" spans="1:39" ht="15" customHeight="1">
      <c r="A43" s="1" t="s">
        <v>37</v>
      </c>
      <c r="B43" s="1" t="s">
        <v>85</v>
      </c>
      <c r="C43" s="1">
        <v>1</v>
      </c>
      <c r="D43" s="1">
        <v>1</v>
      </c>
      <c r="E43" s="1"/>
      <c r="F43" s="1">
        <v>42.21</v>
      </c>
      <c r="G43" s="1"/>
      <c r="H43" s="1"/>
      <c r="I43" s="1">
        <v>13.34</v>
      </c>
      <c r="J43" s="1"/>
      <c r="K43" s="1"/>
      <c r="L43" s="1">
        <v>0.19</v>
      </c>
      <c r="M43" s="1">
        <v>8.41</v>
      </c>
      <c r="N43" s="1"/>
      <c r="O43" s="1"/>
      <c r="P43" s="1">
        <v>4.1399999999999997</v>
      </c>
      <c r="Q43" s="1">
        <v>1.73</v>
      </c>
      <c r="R43" s="1"/>
      <c r="S43" s="1">
        <v>0.63</v>
      </c>
      <c r="T43" s="1"/>
      <c r="U43" s="1">
        <v>0.66</v>
      </c>
      <c r="V43" s="1">
        <v>1.82</v>
      </c>
      <c r="W43" s="1">
        <f t="shared" si="2"/>
        <v>73.129999999999981</v>
      </c>
      <c r="X43" s="1"/>
      <c r="Y43" s="1"/>
      <c r="Z43" s="1">
        <v>10</v>
      </c>
      <c r="AA43" s="1">
        <v>0.4</v>
      </c>
      <c r="AB43" s="1"/>
      <c r="AC43" s="1"/>
      <c r="AD43" s="1"/>
      <c r="AE43" s="1">
        <v>2.99</v>
      </c>
      <c r="AF43" s="1"/>
      <c r="AG43" s="57"/>
      <c r="AH43" s="57"/>
    </row>
    <row r="44" spans="1:39" ht="15" customHeight="1">
      <c r="A44" s="1"/>
      <c r="B44" s="1"/>
      <c r="C44" s="1"/>
      <c r="D44" s="1">
        <v>2</v>
      </c>
      <c r="E44" s="1">
        <v>0.11</v>
      </c>
      <c r="F44" s="1"/>
      <c r="G44" s="1">
        <v>14.4</v>
      </c>
      <c r="H44" s="1"/>
      <c r="I44" s="1"/>
      <c r="J44" s="1"/>
      <c r="K44" s="1"/>
      <c r="L44" s="1"/>
      <c r="M44" s="1">
        <v>13.62</v>
      </c>
      <c r="N44" s="1"/>
      <c r="O44" s="1"/>
      <c r="P44" s="1"/>
      <c r="Q44" s="1"/>
      <c r="R44" s="1"/>
      <c r="S44" s="1">
        <v>0.62</v>
      </c>
      <c r="T44" s="1"/>
      <c r="U44" s="1">
        <v>16.71</v>
      </c>
      <c r="V44" s="1">
        <v>0.17</v>
      </c>
      <c r="W44" s="1">
        <f t="shared" si="2"/>
        <v>45.63</v>
      </c>
      <c r="X44" s="1"/>
      <c r="Y44" s="1"/>
      <c r="Z44" s="1">
        <v>9.6999999999999993</v>
      </c>
      <c r="AA44" s="1">
        <v>2.66</v>
      </c>
      <c r="AB44" s="1"/>
      <c r="AC44" s="1"/>
      <c r="AD44" s="1"/>
      <c r="AE44" s="1">
        <v>3.95</v>
      </c>
      <c r="AF44" s="1"/>
      <c r="AG44" s="57"/>
      <c r="AH44" s="57"/>
    </row>
    <row r="45" spans="1:39" ht="15" customHeight="1">
      <c r="A45" s="1"/>
      <c r="B45" s="1"/>
      <c r="C45" s="1"/>
      <c r="D45" s="1">
        <v>3</v>
      </c>
      <c r="E45" s="1">
        <v>0.06</v>
      </c>
      <c r="F45" s="1"/>
      <c r="G45" s="1">
        <v>23.85</v>
      </c>
      <c r="H45" s="1"/>
      <c r="I45" s="1">
        <v>17.32</v>
      </c>
      <c r="J45" s="1"/>
      <c r="K45" s="1"/>
      <c r="L45" s="1">
        <v>4.82</v>
      </c>
      <c r="M45" s="1">
        <v>7.95</v>
      </c>
      <c r="N45" s="1"/>
      <c r="O45" s="1"/>
      <c r="P45" s="1"/>
      <c r="Q45" s="1"/>
      <c r="R45" s="1"/>
      <c r="S45" s="1">
        <v>0.26</v>
      </c>
      <c r="T45" s="1"/>
      <c r="U45" s="1">
        <v>15.11</v>
      </c>
      <c r="V45" s="1">
        <v>3.61</v>
      </c>
      <c r="W45" s="1">
        <f t="shared" si="2"/>
        <v>72.98</v>
      </c>
      <c r="X45" s="1"/>
      <c r="Y45" s="1"/>
      <c r="Z45" s="1">
        <v>6.1</v>
      </c>
      <c r="AA45" s="1">
        <v>1.48</v>
      </c>
      <c r="AB45" s="1"/>
      <c r="AC45" s="1"/>
      <c r="AD45" s="1"/>
      <c r="AE45" s="1">
        <v>2.2599999999999998</v>
      </c>
      <c r="AF45" s="1"/>
      <c r="AG45" s="57"/>
      <c r="AH45" s="57"/>
    </row>
    <row r="46" spans="1:39" ht="15" customHeight="1">
      <c r="A46" s="1"/>
      <c r="B46" s="1"/>
      <c r="C46" s="1"/>
      <c r="D46" s="1">
        <v>4</v>
      </c>
      <c r="E46" s="1"/>
      <c r="F46" s="1">
        <v>17.84</v>
      </c>
      <c r="G46" s="1"/>
      <c r="H46" s="1"/>
      <c r="I46" s="1">
        <v>15.08</v>
      </c>
      <c r="J46" s="1"/>
      <c r="K46" s="1"/>
      <c r="L46" s="1">
        <v>0.8</v>
      </c>
      <c r="M46" s="1">
        <v>23.31</v>
      </c>
      <c r="N46" s="1"/>
      <c r="O46" s="1"/>
      <c r="P46" s="1"/>
      <c r="Q46" s="1">
        <v>0.2</v>
      </c>
      <c r="R46" s="1"/>
      <c r="S46" s="1">
        <v>0.43</v>
      </c>
      <c r="T46" s="1"/>
      <c r="U46" s="1"/>
      <c r="V46" s="1">
        <v>19.54</v>
      </c>
      <c r="W46" s="1">
        <f t="shared" si="2"/>
        <v>77.2</v>
      </c>
      <c r="X46" s="1"/>
      <c r="Y46" s="1"/>
      <c r="Z46" s="1">
        <v>4.0999999999999996</v>
      </c>
      <c r="AA46" s="1">
        <v>1.27</v>
      </c>
      <c r="AB46" s="1"/>
      <c r="AC46" s="1"/>
      <c r="AD46" s="1"/>
      <c r="AE46" s="1">
        <v>3.27</v>
      </c>
      <c r="AF46" s="1"/>
      <c r="AG46" s="57"/>
      <c r="AH46" s="57"/>
    </row>
    <row r="47" spans="1:39" ht="15" customHeight="1">
      <c r="A47" s="1"/>
      <c r="B47" s="1"/>
      <c r="C47" s="1"/>
      <c r="D47" s="1">
        <v>5</v>
      </c>
      <c r="E47" s="1"/>
      <c r="F47" s="1"/>
      <c r="G47" s="1">
        <v>3.49</v>
      </c>
      <c r="H47" s="1"/>
      <c r="I47" s="1">
        <v>14.59</v>
      </c>
      <c r="J47" s="1"/>
      <c r="K47" s="1"/>
      <c r="L47" s="1">
        <v>1.52</v>
      </c>
      <c r="M47" s="1">
        <v>3.54</v>
      </c>
      <c r="N47" s="1"/>
      <c r="O47" s="1"/>
      <c r="P47" s="1"/>
      <c r="Q47" s="1"/>
      <c r="R47" s="1"/>
      <c r="S47" s="1">
        <v>0.21</v>
      </c>
      <c r="T47" s="1"/>
      <c r="U47" s="1">
        <v>32.9</v>
      </c>
      <c r="V47" s="1"/>
      <c r="W47" s="1">
        <f t="shared" si="2"/>
        <v>56.25</v>
      </c>
      <c r="X47" s="1">
        <f>AVERAGE(W43:W47)</f>
        <v>65.037999999999997</v>
      </c>
      <c r="Y47" s="1"/>
      <c r="Z47" s="1">
        <v>11.3</v>
      </c>
      <c r="AA47" s="1">
        <v>1.9</v>
      </c>
      <c r="AB47" s="1">
        <f>AVERAGE(AA43:AA47)</f>
        <v>1.5420000000000003</v>
      </c>
      <c r="AC47" s="1"/>
      <c r="AD47" s="1"/>
      <c r="AE47" s="1">
        <v>3.92</v>
      </c>
      <c r="AF47" s="1">
        <f>AVERAGE(AE43:AE47)</f>
        <v>3.278</v>
      </c>
      <c r="AG47" s="57"/>
      <c r="AH47" s="57"/>
    </row>
    <row r="48" spans="1:39" ht="15" customHeight="1">
      <c r="A48" s="1"/>
      <c r="B48" s="1"/>
      <c r="C48" s="1">
        <v>2</v>
      </c>
      <c r="D48" s="1">
        <v>1</v>
      </c>
      <c r="E48" s="1"/>
      <c r="F48" s="1"/>
      <c r="G48" s="1">
        <v>32.729999999999997</v>
      </c>
      <c r="H48" s="1"/>
      <c r="I48" s="1"/>
      <c r="J48" s="1"/>
      <c r="K48" s="1"/>
      <c r="L48" s="1"/>
      <c r="M48" s="1"/>
      <c r="N48" s="1"/>
      <c r="O48" s="1"/>
      <c r="P48" s="1"/>
      <c r="Q48" s="1"/>
      <c r="R48" s="1"/>
      <c r="S48" s="1">
        <v>0.67</v>
      </c>
      <c r="T48" s="1"/>
      <c r="U48" s="1"/>
      <c r="V48" s="1">
        <v>9.23</v>
      </c>
      <c r="W48" s="1">
        <f t="shared" si="2"/>
        <v>42.629999999999995</v>
      </c>
      <c r="X48" s="1"/>
      <c r="Y48" s="1"/>
      <c r="Z48" s="1">
        <v>4.7</v>
      </c>
      <c r="AA48" s="1">
        <v>0.9</v>
      </c>
      <c r="AB48" s="1"/>
      <c r="AC48" s="1"/>
      <c r="AD48" s="1"/>
      <c r="AE48" s="1">
        <v>1.9</v>
      </c>
      <c r="AF48" s="1"/>
      <c r="AH48" s="57"/>
    </row>
    <row r="49" spans="1:34" ht="15" customHeight="1">
      <c r="A49" s="1"/>
      <c r="B49" s="1"/>
      <c r="C49" s="1"/>
      <c r="D49" s="1">
        <v>2</v>
      </c>
      <c r="E49" s="1"/>
      <c r="F49" s="1"/>
      <c r="G49" s="1">
        <v>38.07</v>
      </c>
      <c r="H49" s="1"/>
      <c r="I49" s="1">
        <v>9.75</v>
      </c>
      <c r="J49" s="1"/>
      <c r="K49" s="1"/>
      <c r="L49" s="1"/>
      <c r="M49" s="1">
        <v>6.03</v>
      </c>
      <c r="N49" s="1">
        <v>0.09</v>
      </c>
      <c r="O49" s="1"/>
      <c r="P49" s="1"/>
      <c r="Q49" s="1">
        <v>0.19</v>
      </c>
      <c r="R49" s="1"/>
      <c r="S49" s="1">
        <v>0.03</v>
      </c>
      <c r="T49" s="1"/>
      <c r="U49" s="1">
        <v>0.48</v>
      </c>
      <c r="V49" s="1"/>
      <c r="W49" s="1">
        <f t="shared" si="2"/>
        <v>54.64</v>
      </c>
      <c r="X49" s="1"/>
      <c r="Y49" s="1"/>
      <c r="Z49" s="1">
        <v>4.8</v>
      </c>
      <c r="AA49" s="1">
        <v>1.19</v>
      </c>
      <c r="AB49" s="1"/>
      <c r="AC49" s="1"/>
      <c r="AD49" s="1"/>
      <c r="AE49" s="1">
        <v>1.89</v>
      </c>
      <c r="AF49" s="1"/>
      <c r="AH49" s="57"/>
    </row>
    <row r="50" spans="1:34" ht="15" customHeight="1">
      <c r="A50" s="1"/>
      <c r="B50" s="1"/>
      <c r="C50" s="1"/>
      <c r="D50" s="1">
        <v>3</v>
      </c>
      <c r="E50" s="1"/>
      <c r="F50" s="1"/>
      <c r="G50" s="1"/>
      <c r="H50" s="1"/>
      <c r="I50" s="1"/>
      <c r="J50" s="1"/>
      <c r="K50" s="1"/>
      <c r="L50" s="1"/>
      <c r="M50" s="1"/>
      <c r="N50" s="1"/>
      <c r="O50" s="1"/>
      <c r="P50" s="1"/>
      <c r="Q50" s="1"/>
      <c r="R50" s="1"/>
      <c r="S50" s="1"/>
      <c r="T50" s="1"/>
      <c r="U50" s="1"/>
      <c r="V50" s="1"/>
      <c r="W50" s="8">
        <v>42.924999999999997</v>
      </c>
      <c r="X50" s="1"/>
      <c r="Y50" s="1"/>
      <c r="Z50" s="1">
        <v>5.5</v>
      </c>
      <c r="AA50" s="1">
        <v>2.25</v>
      </c>
      <c r="AB50" s="1"/>
      <c r="AC50" s="1"/>
      <c r="AD50" s="1"/>
      <c r="AE50" s="1">
        <v>2.16</v>
      </c>
      <c r="AF50" s="1"/>
      <c r="AH50" s="57"/>
    </row>
    <row r="51" spans="1:34" ht="15" customHeight="1">
      <c r="A51" s="1"/>
      <c r="B51" s="1"/>
      <c r="C51" s="1"/>
      <c r="D51" s="1">
        <v>4</v>
      </c>
      <c r="E51" s="1">
        <v>0.2</v>
      </c>
      <c r="F51" s="1"/>
      <c r="G51" s="1">
        <v>15.37</v>
      </c>
      <c r="H51" s="1"/>
      <c r="I51" s="1">
        <v>11.18</v>
      </c>
      <c r="J51" s="1"/>
      <c r="K51" s="1"/>
      <c r="L51" s="1">
        <v>0.49</v>
      </c>
      <c r="M51" s="1">
        <v>1.76</v>
      </c>
      <c r="N51" s="1"/>
      <c r="O51" s="1"/>
      <c r="P51" s="1"/>
      <c r="Q51" s="1"/>
      <c r="R51" s="1"/>
      <c r="S51" s="1">
        <v>0.18</v>
      </c>
      <c r="T51" s="1"/>
      <c r="U51" s="1">
        <v>15.68</v>
      </c>
      <c r="V51" s="1">
        <v>8.5399999999999991</v>
      </c>
      <c r="W51" s="1">
        <f t="shared" ref="W51:W63" si="3">SUM(E51:V51)</f>
        <v>53.4</v>
      </c>
      <c r="X51" s="1"/>
      <c r="Y51" s="1"/>
      <c r="Z51" s="1">
        <v>4</v>
      </c>
      <c r="AA51" s="1">
        <v>2.5</v>
      </c>
      <c r="AB51" s="1"/>
      <c r="AC51" s="1"/>
      <c r="AD51" s="1"/>
      <c r="AE51" s="1">
        <v>2.54</v>
      </c>
      <c r="AF51" s="1"/>
      <c r="AH51" s="57"/>
    </row>
    <row r="52" spans="1:34" ht="15" customHeight="1">
      <c r="A52" s="1"/>
      <c r="B52" s="1"/>
      <c r="C52" s="1"/>
      <c r="D52" s="1">
        <v>5</v>
      </c>
      <c r="E52" s="1"/>
      <c r="F52" s="1"/>
      <c r="G52" s="1"/>
      <c r="H52" s="1"/>
      <c r="I52" s="1">
        <v>11.84</v>
      </c>
      <c r="J52" s="1"/>
      <c r="K52" s="1"/>
      <c r="L52" s="1">
        <v>7.0000000000000007E-2</v>
      </c>
      <c r="M52" s="1">
        <v>5</v>
      </c>
      <c r="N52" s="1"/>
      <c r="O52" s="1"/>
      <c r="P52" s="1"/>
      <c r="Q52" s="1">
        <v>0.55000000000000004</v>
      </c>
      <c r="R52" s="1"/>
      <c r="S52" s="1">
        <v>0.28000000000000003</v>
      </c>
      <c r="T52" s="1"/>
      <c r="U52" s="1">
        <v>3.13</v>
      </c>
      <c r="V52" s="1">
        <v>0.16</v>
      </c>
      <c r="W52" s="1">
        <f t="shared" si="3"/>
        <v>21.03</v>
      </c>
      <c r="X52" s="1">
        <f>AVERAGE(W48:W52)</f>
        <v>42.924999999999997</v>
      </c>
      <c r="Y52" s="1"/>
      <c r="Z52" s="1">
        <v>8.1999999999999993</v>
      </c>
      <c r="AA52" s="1">
        <v>1.19</v>
      </c>
      <c r="AB52" s="1">
        <f>AVERAGE(AA48:AA52)</f>
        <v>1.6059999999999999</v>
      </c>
      <c r="AC52" s="1"/>
      <c r="AD52" s="1"/>
      <c r="AE52" s="1">
        <v>3</v>
      </c>
      <c r="AF52" s="1">
        <f>AVERAGE(AE48:AE52)</f>
        <v>2.298</v>
      </c>
      <c r="AH52" s="57"/>
    </row>
    <row r="53" spans="1:34" ht="15" customHeight="1">
      <c r="A53" s="1"/>
      <c r="B53" s="1"/>
      <c r="C53" s="1">
        <v>3</v>
      </c>
      <c r="D53" s="1">
        <v>1</v>
      </c>
      <c r="E53" s="1">
        <v>1.31</v>
      </c>
      <c r="F53" s="1"/>
      <c r="G53" s="1">
        <v>0.16</v>
      </c>
      <c r="H53" s="1"/>
      <c r="I53" s="1">
        <v>12.92</v>
      </c>
      <c r="J53" s="1"/>
      <c r="K53" s="1"/>
      <c r="L53" s="1">
        <v>1.1200000000000001</v>
      </c>
      <c r="M53" s="1">
        <v>8.3800000000000008</v>
      </c>
      <c r="N53" s="1">
        <v>3.54</v>
      </c>
      <c r="O53" s="1"/>
      <c r="P53" s="1"/>
      <c r="Q53" s="1">
        <v>0.95</v>
      </c>
      <c r="R53" s="1"/>
      <c r="S53" s="1">
        <v>0.61</v>
      </c>
      <c r="T53" s="1"/>
      <c r="U53" s="1">
        <v>33.44</v>
      </c>
      <c r="V53" s="1">
        <v>12.78</v>
      </c>
      <c r="W53" s="1">
        <f t="shared" si="3"/>
        <v>75.209999999999994</v>
      </c>
      <c r="X53" s="1"/>
      <c r="Y53" s="1"/>
      <c r="Z53" s="1">
        <v>6</v>
      </c>
      <c r="AA53" s="1">
        <v>2.21</v>
      </c>
      <c r="AB53" s="1"/>
      <c r="AC53" s="1"/>
      <c r="AD53" s="1"/>
      <c r="AE53" s="1">
        <v>3.61</v>
      </c>
      <c r="AF53" s="1"/>
      <c r="AH53" s="57"/>
    </row>
    <row r="54" spans="1:34" ht="15" customHeight="1">
      <c r="A54" s="1"/>
      <c r="B54" s="1"/>
      <c r="C54" s="1"/>
      <c r="D54" s="1">
        <v>2</v>
      </c>
      <c r="E54" s="1">
        <v>4.53</v>
      </c>
      <c r="F54" s="1"/>
      <c r="G54" s="1">
        <v>1.22</v>
      </c>
      <c r="H54" s="1"/>
      <c r="I54" s="1">
        <v>9.77</v>
      </c>
      <c r="J54" s="1"/>
      <c r="K54" s="1"/>
      <c r="L54" s="1">
        <v>2.4900000000000002</v>
      </c>
      <c r="M54" s="1">
        <v>6.5</v>
      </c>
      <c r="N54" s="1">
        <v>1.21</v>
      </c>
      <c r="O54" s="1"/>
      <c r="P54" s="1"/>
      <c r="Q54" s="1"/>
      <c r="R54" s="1"/>
      <c r="S54" s="1">
        <v>0.7</v>
      </c>
      <c r="T54" s="1"/>
      <c r="U54" s="1">
        <v>23.14</v>
      </c>
      <c r="V54" s="1">
        <v>13.39</v>
      </c>
      <c r="W54" s="1">
        <f t="shared" si="3"/>
        <v>62.95</v>
      </c>
      <c r="X54" s="1"/>
      <c r="Y54" s="1"/>
      <c r="Z54" s="1">
        <v>5.2</v>
      </c>
      <c r="AA54" s="1">
        <v>1.45</v>
      </c>
      <c r="AB54" s="1"/>
      <c r="AC54" s="1"/>
      <c r="AD54" s="1"/>
      <c r="AE54" s="1">
        <v>5.35</v>
      </c>
      <c r="AF54" s="1"/>
      <c r="AH54" s="57"/>
    </row>
    <row r="55" spans="1:34" ht="15" customHeight="1">
      <c r="A55" s="1"/>
      <c r="B55" s="1"/>
      <c r="C55" s="1"/>
      <c r="D55" s="1">
        <v>3</v>
      </c>
      <c r="E55" s="1">
        <v>2.2400000000000002</v>
      </c>
      <c r="F55" s="1">
        <v>18.170000000000002</v>
      </c>
      <c r="G55" s="1">
        <v>1.2</v>
      </c>
      <c r="H55" s="1"/>
      <c r="I55" s="1">
        <v>15.56</v>
      </c>
      <c r="J55" s="1"/>
      <c r="K55" s="1"/>
      <c r="L55" s="1">
        <v>0.37</v>
      </c>
      <c r="M55" s="1">
        <v>12.61</v>
      </c>
      <c r="N55" s="1">
        <v>0.49</v>
      </c>
      <c r="O55" s="1"/>
      <c r="P55" s="1">
        <v>1.24</v>
      </c>
      <c r="Q55" s="1">
        <v>0.35</v>
      </c>
      <c r="R55" s="1"/>
      <c r="S55" s="1">
        <v>0.59</v>
      </c>
      <c r="T55" s="1"/>
      <c r="U55" s="1">
        <v>32.28</v>
      </c>
      <c r="V55" s="1">
        <v>15.67</v>
      </c>
      <c r="W55" s="1">
        <f t="shared" si="3"/>
        <v>100.77000000000001</v>
      </c>
      <c r="X55" s="1"/>
      <c r="Y55" s="1"/>
      <c r="Z55" s="1">
        <v>6.4</v>
      </c>
      <c r="AA55" s="1">
        <v>1.62</v>
      </c>
      <c r="AB55" s="1"/>
      <c r="AC55" s="1"/>
      <c r="AD55" s="1"/>
      <c r="AE55" s="1">
        <v>4.1500000000000004</v>
      </c>
      <c r="AF55" s="1"/>
      <c r="AH55" s="57"/>
    </row>
    <row r="56" spans="1:34" ht="15" customHeight="1">
      <c r="A56" s="1"/>
      <c r="B56" s="1"/>
      <c r="C56" s="1"/>
      <c r="D56" s="1">
        <v>4</v>
      </c>
      <c r="E56" s="1">
        <v>7.31</v>
      </c>
      <c r="F56" s="1"/>
      <c r="G56" s="1">
        <v>0.45</v>
      </c>
      <c r="H56" s="1"/>
      <c r="I56" s="1">
        <v>4.21</v>
      </c>
      <c r="J56" s="1"/>
      <c r="K56" s="1"/>
      <c r="L56" s="1">
        <v>2.68</v>
      </c>
      <c r="M56" s="1">
        <v>6.08</v>
      </c>
      <c r="N56" s="1"/>
      <c r="O56" s="1"/>
      <c r="P56" s="1">
        <v>1.78</v>
      </c>
      <c r="Q56" s="1"/>
      <c r="R56" s="1"/>
      <c r="S56" s="1">
        <v>0.62</v>
      </c>
      <c r="T56" s="1"/>
      <c r="U56" s="1">
        <v>18.71</v>
      </c>
      <c r="V56" s="1">
        <v>17.940000000000001</v>
      </c>
      <c r="W56" s="1">
        <f t="shared" si="3"/>
        <v>59.78</v>
      </c>
      <c r="X56" s="1"/>
      <c r="Y56" s="1"/>
      <c r="Z56" s="1">
        <v>6.5</v>
      </c>
      <c r="AA56" s="1">
        <v>0.68</v>
      </c>
      <c r="AB56" s="1"/>
      <c r="AC56" s="1"/>
      <c r="AD56" s="1"/>
      <c r="AE56" s="1">
        <v>3.06</v>
      </c>
      <c r="AF56" s="1"/>
      <c r="AH56" s="57"/>
    </row>
    <row r="57" spans="1:34" ht="15" customHeight="1">
      <c r="A57" s="1"/>
      <c r="B57" s="1"/>
      <c r="C57" s="1"/>
      <c r="D57" s="1">
        <v>5</v>
      </c>
      <c r="E57" s="1"/>
      <c r="F57" s="1"/>
      <c r="G57" s="1">
        <v>34.700000000000003</v>
      </c>
      <c r="H57" s="1"/>
      <c r="I57" s="1"/>
      <c r="J57" s="1"/>
      <c r="K57" s="1"/>
      <c r="L57" s="1"/>
      <c r="M57" s="1"/>
      <c r="N57" s="1"/>
      <c r="O57" s="1"/>
      <c r="P57" s="1"/>
      <c r="Q57" s="1"/>
      <c r="R57" s="1"/>
      <c r="S57" s="1"/>
      <c r="T57" s="1"/>
      <c r="U57" s="1"/>
      <c r="V57" s="1"/>
      <c r="W57" s="1">
        <f t="shared" si="3"/>
        <v>34.700000000000003</v>
      </c>
      <c r="X57" s="1">
        <f>AVERAGE(W53:W57)</f>
        <v>66.682000000000002</v>
      </c>
      <c r="Y57" s="1"/>
      <c r="Z57" s="8">
        <f>AVERAGE(Z53:Z56)</f>
        <v>6.0250000000000004</v>
      </c>
      <c r="AA57" s="8">
        <f>AVERAGEA(AA53:AA56)</f>
        <v>1.49</v>
      </c>
      <c r="AB57" s="1">
        <f>AVERAGE(AA53:AA57)</f>
        <v>1.49</v>
      </c>
      <c r="AC57" s="1"/>
      <c r="AD57" s="1"/>
      <c r="AE57" s="1">
        <v>3.12</v>
      </c>
      <c r="AF57" s="1">
        <f>AVERAGE(AE53:AE57)</f>
        <v>3.8579999999999997</v>
      </c>
      <c r="AH57" s="57"/>
    </row>
    <row r="58" spans="1:34" ht="15" customHeight="1">
      <c r="A58" s="1"/>
      <c r="B58" s="1"/>
      <c r="C58" s="1">
        <v>4</v>
      </c>
      <c r="D58" s="1">
        <v>1</v>
      </c>
      <c r="E58" s="1"/>
      <c r="F58" s="1">
        <v>0.88</v>
      </c>
      <c r="G58" s="1"/>
      <c r="H58" s="1"/>
      <c r="I58" s="1">
        <v>13.34</v>
      </c>
      <c r="J58" s="1"/>
      <c r="K58" s="1"/>
      <c r="L58" s="1">
        <v>0.55000000000000004</v>
      </c>
      <c r="M58" s="1">
        <v>5.31</v>
      </c>
      <c r="N58" s="1"/>
      <c r="O58" s="1"/>
      <c r="P58" s="1"/>
      <c r="Q58" s="1"/>
      <c r="R58" s="1"/>
      <c r="S58" s="1">
        <v>2.02</v>
      </c>
      <c r="T58" s="1"/>
      <c r="U58" s="1">
        <v>37.67</v>
      </c>
      <c r="V58" s="1">
        <v>7.19</v>
      </c>
      <c r="W58" s="1">
        <f t="shared" si="3"/>
        <v>66.960000000000008</v>
      </c>
      <c r="X58" s="1"/>
      <c r="Y58" s="1"/>
      <c r="Z58" s="1">
        <v>5.8</v>
      </c>
      <c r="AA58" s="1">
        <v>3.75</v>
      </c>
      <c r="AB58" s="1"/>
      <c r="AC58" s="1"/>
      <c r="AD58" s="1"/>
      <c r="AE58" s="1">
        <v>6.64</v>
      </c>
      <c r="AF58" s="1"/>
      <c r="AH58" s="57"/>
    </row>
    <row r="59" spans="1:34" ht="15" customHeight="1">
      <c r="A59" s="1"/>
      <c r="B59" s="1"/>
      <c r="C59" s="1"/>
      <c r="D59" s="1">
        <v>2</v>
      </c>
      <c r="E59" s="1"/>
      <c r="F59" s="1"/>
      <c r="G59" s="1"/>
      <c r="H59" s="1"/>
      <c r="I59" s="1">
        <v>11.78</v>
      </c>
      <c r="J59" s="1"/>
      <c r="K59" s="1"/>
      <c r="L59" s="1">
        <v>0.57999999999999996</v>
      </c>
      <c r="M59" s="1">
        <v>1.08</v>
      </c>
      <c r="N59" s="1">
        <v>5.17</v>
      </c>
      <c r="O59" s="1"/>
      <c r="P59" s="1">
        <v>0.63</v>
      </c>
      <c r="Q59" s="1"/>
      <c r="R59" s="1"/>
      <c r="S59" s="1">
        <v>0.21</v>
      </c>
      <c r="T59" s="1"/>
      <c r="U59" s="1">
        <v>17.760000000000002</v>
      </c>
      <c r="V59" s="1">
        <v>11.6</v>
      </c>
      <c r="W59" s="1">
        <f t="shared" si="3"/>
        <v>48.81</v>
      </c>
      <c r="X59" s="1"/>
      <c r="Y59" s="1"/>
      <c r="Z59" s="1">
        <v>8.9</v>
      </c>
      <c r="AA59" s="1">
        <v>3.52</v>
      </c>
      <c r="AB59" s="1"/>
      <c r="AC59" s="1"/>
      <c r="AD59" s="1"/>
      <c r="AE59" s="1">
        <v>3.94</v>
      </c>
      <c r="AF59" s="1"/>
      <c r="AH59" s="57"/>
    </row>
    <row r="60" spans="1:34" ht="15" customHeight="1">
      <c r="A60" s="1"/>
      <c r="B60" s="1"/>
      <c r="C60" s="1"/>
      <c r="D60" s="1">
        <v>3</v>
      </c>
      <c r="E60" s="1"/>
      <c r="F60" s="1"/>
      <c r="G60" s="1"/>
      <c r="H60" s="1"/>
      <c r="I60" s="1">
        <v>11.69</v>
      </c>
      <c r="J60" s="1"/>
      <c r="K60" s="1"/>
      <c r="L60" s="1">
        <v>0.48</v>
      </c>
      <c r="M60" s="1"/>
      <c r="N60" s="1"/>
      <c r="O60" s="1"/>
      <c r="P60" s="1"/>
      <c r="Q60" s="1"/>
      <c r="R60" s="1"/>
      <c r="S60" s="1">
        <v>0.25</v>
      </c>
      <c r="T60" s="1"/>
      <c r="U60" s="1">
        <v>23.95</v>
      </c>
      <c r="V60" s="1">
        <v>6.55</v>
      </c>
      <c r="W60" s="1">
        <f t="shared" si="3"/>
        <v>42.919999999999995</v>
      </c>
      <c r="X60" s="1"/>
      <c r="Y60" s="1"/>
      <c r="Z60" s="1">
        <v>13.8</v>
      </c>
      <c r="AA60" s="1">
        <v>2.93</v>
      </c>
      <c r="AB60" s="1"/>
      <c r="AC60" s="1"/>
      <c r="AD60" s="1"/>
      <c r="AE60" s="1">
        <v>5.1100000000000003</v>
      </c>
      <c r="AF60" s="1"/>
      <c r="AH60" s="57"/>
    </row>
    <row r="61" spans="1:34" ht="15" customHeight="1">
      <c r="A61" s="1"/>
      <c r="B61" s="1"/>
      <c r="C61" s="1"/>
      <c r="D61" s="1">
        <v>4</v>
      </c>
      <c r="E61" s="1"/>
      <c r="F61" s="1"/>
      <c r="G61" s="1">
        <v>0.19</v>
      </c>
      <c r="H61" s="1"/>
      <c r="I61" s="1">
        <v>15.55</v>
      </c>
      <c r="J61" s="1"/>
      <c r="K61" s="1"/>
      <c r="L61" s="1">
        <v>0.35</v>
      </c>
      <c r="M61" s="1">
        <v>7.0000000000000007E-2</v>
      </c>
      <c r="N61" s="1"/>
      <c r="O61" s="1"/>
      <c r="P61" s="1"/>
      <c r="Q61" s="1"/>
      <c r="R61" s="1"/>
      <c r="S61" s="1">
        <v>0.28999999999999998</v>
      </c>
      <c r="T61" s="1"/>
      <c r="U61" s="1">
        <v>29.21</v>
      </c>
      <c r="V61" s="1">
        <v>12.52</v>
      </c>
      <c r="W61" s="1">
        <f t="shared" si="3"/>
        <v>58.179999999999993</v>
      </c>
      <c r="X61" s="1"/>
      <c r="Y61" s="1"/>
      <c r="Z61" s="1">
        <v>7.7</v>
      </c>
      <c r="AA61" s="1">
        <v>2.89</v>
      </c>
      <c r="AB61" s="1"/>
      <c r="AC61" s="1"/>
      <c r="AD61" s="1"/>
      <c r="AE61" s="1">
        <v>6.63</v>
      </c>
      <c r="AF61" s="1"/>
      <c r="AH61" s="57"/>
    </row>
    <row r="62" spans="1:34" ht="15" customHeight="1">
      <c r="A62" s="1"/>
      <c r="B62" s="1"/>
      <c r="C62" s="1"/>
      <c r="D62" s="1">
        <v>5</v>
      </c>
      <c r="E62" s="1"/>
      <c r="F62" s="1">
        <v>0.1</v>
      </c>
      <c r="G62" s="1"/>
      <c r="H62" s="1"/>
      <c r="I62" s="1">
        <v>14.67</v>
      </c>
      <c r="J62" s="1"/>
      <c r="K62" s="1"/>
      <c r="L62" s="1">
        <v>3.64</v>
      </c>
      <c r="M62" s="1"/>
      <c r="N62" s="1"/>
      <c r="O62" s="1"/>
      <c r="P62" s="1"/>
      <c r="Q62" s="1"/>
      <c r="R62" s="1"/>
      <c r="S62" s="1">
        <v>1.28</v>
      </c>
      <c r="T62" s="1"/>
      <c r="U62" s="1">
        <v>22.23</v>
      </c>
      <c r="V62" s="1">
        <v>12.15</v>
      </c>
      <c r="W62" s="1">
        <f t="shared" si="3"/>
        <v>54.07</v>
      </c>
      <c r="X62" s="1">
        <f>AVERAGE(W58:W62)</f>
        <v>54.188000000000002</v>
      </c>
      <c r="Y62" s="1"/>
      <c r="Z62" s="1">
        <v>9.1</v>
      </c>
      <c r="AA62" s="1">
        <v>2.44</v>
      </c>
      <c r="AB62" s="1">
        <f>AVERAGE(AA58:AA62)</f>
        <v>3.1059999999999999</v>
      </c>
      <c r="AC62" s="1"/>
      <c r="AD62" s="1"/>
      <c r="AE62" s="1">
        <v>5.31</v>
      </c>
      <c r="AF62" s="1">
        <f>AVERAGE(AE58:AE62)</f>
        <v>5.5259999999999998</v>
      </c>
      <c r="AH62" s="57"/>
    </row>
    <row r="63" spans="1:34" ht="15" customHeight="1">
      <c r="A63" s="1" t="s">
        <v>37</v>
      </c>
      <c r="B63" s="1" t="s">
        <v>98</v>
      </c>
      <c r="C63" s="1">
        <v>1</v>
      </c>
      <c r="D63" s="1">
        <v>1</v>
      </c>
      <c r="E63" s="1"/>
      <c r="F63" s="1"/>
      <c r="G63" s="1">
        <v>0.06</v>
      </c>
      <c r="H63" s="1"/>
      <c r="I63" s="1">
        <v>14.87</v>
      </c>
      <c r="J63" s="1"/>
      <c r="K63" s="1"/>
      <c r="L63" s="1">
        <v>0.38</v>
      </c>
      <c r="M63" s="1">
        <v>18.71</v>
      </c>
      <c r="N63" s="1"/>
      <c r="O63" s="1"/>
      <c r="P63" s="1">
        <v>1.42</v>
      </c>
      <c r="Q63" s="1"/>
      <c r="R63" s="1"/>
      <c r="S63" s="1">
        <v>1.06</v>
      </c>
      <c r="T63" s="1"/>
      <c r="U63" s="1">
        <v>25.52</v>
      </c>
      <c r="V63" s="1">
        <v>13.88</v>
      </c>
      <c r="W63" s="1">
        <f t="shared" si="3"/>
        <v>75.900000000000006</v>
      </c>
      <c r="X63" s="1"/>
      <c r="Y63" s="1"/>
      <c r="Z63" s="63" t="s">
        <v>100</v>
      </c>
      <c r="AA63" s="1">
        <v>3.69</v>
      </c>
      <c r="AB63" s="1"/>
      <c r="AC63" s="1"/>
      <c r="AD63" s="1"/>
      <c r="AE63" s="1">
        <v>4.47</v>
      </c>
      <c r="AF63" s="1"/>
      <c r="AH63" s="57"/>
    </row>
    <row r="64" spans="1:34" ht="15" customHeight="1">
      <c r="A64" s="1"/>
      <c r="B64" s="1"/>
      <c r="C64" s="1"/>
      <c r="D64" s="1">
        <v>2</v>
      </c>
      <c r="E64" s="10"/>
      <c r="F64" s="10"/>
      <c r="G64" s="10"/>
      <c r="H64" s="10"/>
      <c r="I64" s="10"/>
      <c r="J64" s="10"/>
      <c r="K64" s="10"/>
      <c r="L64" s="10"/>
      <c r="M64" s="10"/>
      <c r="N64" s="10"/>
      <c r="O64" s="10"/>
      <c r="P64" s="10"/>
      <c r="Q64" s="10"/>
      <c r="R64" s="10"/>
      <c r="S64" s="10"/>
      <c r="T64" s="10"/>
      <c r="U64" s="10"/>
      <c r="V64" s="10"/>
      <c r="W64" s="8">
        <v>88.84</v>
      </c>
      <c r="X64" s="1"/>
      <c r="Y64" s="1"/>
      <c r="Z64" s="63" t="s">
        <v>100</v>
      </c>
      <c r="AA64" s="1">
        <v>2.78</v>
      </c>
      <c r="AB64" s="1"/>
      <c r="AC64" s="1"/>
      <c r="AD64" s="1"/>
      <c r="AE64" s="1">
        <v>2.12</v>
      </c>
      <c r="AF64" s="1"/>
      <c r="AH64" s="57"/>
    </row>
    <row r="65" spans="1:34" ht="15" customHeight="1">
      <c r="A65" s="1"/>
      <c r="B65" s="1"/>
      <c r="C65" s="1"/>
      <c r="D65" s="1">
        <v>3</v>
      </c>
      <c r="E65" s="1">
        <v>1.1000000000000001</v>
      </c>
      <c r="F65" s="1"/>
      <c r="G65" s="1"/>
      <c r="H65" s="1"/>
      <c r="I65" s="1">
        <v>14</v>
      </c>
      <c r="J65" s="1"/>
      <c r="K65" s="1"/>
      <c r="L65" s="1">
        <v>0.31</v>
      </c>
      <c r="M65" s="1">
        <v>47.26</v>
      </c>
      <c r="N65" s="1"/>
      <c r="O65" s="1"/>
      <c r="P65" s="1">
        <v>15.67</v>
      </c>
      <c r="Q65" s="1">
        <v>0.2</v>
      </c>
      <c r="R65" s="1"/>
      <c r="S65" s="1">
        <v>1.52</v>
      </c>
      <c r="T65" s="1"/>
      <c r="U65" s="1">
        <v>9</v>
      </c>
      <c r="V65" s="1">
        <v>15.94</v>
      </c>
      <c r="W65" s="1">
        <f>SUM(E65:V65)</f>
        <v>105</v>
      </c>
      <c r="X65" s="1"/>
      <c r="Y65" s="1"/>
      <c r="Z65" s="63" t="s">
        <v>100</v>
      </c>
      <c r="AA65" s="1">
        <v>1.8</v>
      </c>
      <c r="AB65" s="1"/>
      <c r="AC65" s="1"/>
      <c r="AD65" s="1"/>
      <c r="AE65" s="1">
        <v>1.33</v>
      </c>
      <c r="AF65" s="1"/>
      <c r="AH65" s="57"/>
    </row>
    <row r="66" spans="1:34" ht="15" customHeight="1">
      <c r="A66" s="1"/>
      <c r="B66" s="1"/>
      <c r="C66" s="1"/>
      <c r="D66" s="1">
        <v>4</v>
      </c>
      <c r="E66" s="10"/>
      <c r="F66" s="10"/>
      <c r="G66" s="10"/>
      <c r="H66" s="10"/>
      <c r="I66" s="10"/>
      <c r="J66" s="10"/>
      <c r="K66" s="10"/>
      <c r="L66" s="10"/>
      <c r="M66" s="10"/>
      <c r="N66" s="10"/>
      <c r="O66" s="10"/>
      <c r="P66" s="10"/>
      <c r="Q66" s="10"/>
      <c r="R66" s="10"/>
      <c r="S66" s="10"/>
      <c r="T66" s="10"/>
      <c r="U66" s="10"/>
      <c r="V66" s="10"/>
      <c r="W66" s="8">
        <v>88.839999999999989</v>
      </c>
      <c r="X66" s="1"/>
      <c r="Y66" s="1"/>
      <c r="Z66" s="63" t="s">
        <v>100</v>
      </c>
      <c r="AA66" s="1">
        <v>2.3199999999999998</v>
      </c>
      <c r="AB66" s="1"/>
      <c r="AC66" s="1"/>
      <c r="AD66" s="1"/>
      <c r="AE66" s="1">
        <v>3.33</v>
      </c>
      <c r="AF66" s="1"/>
      <c r="AH66" s="57"/>
    </row>
    <row r="67" spans="1:34" ht="15" customHeight="1">
      <c r="A67" s="1"/>
      <c r="B67" s="1"/>
      <c r="C67" s="1"/>
      <c r="D67" s="1">
        <v>5</v>
      </c>
      <c r="E67" s="1">
        <v>0.05</v>
      </c>
      <c r="F67" s="1"/>
      <c r="G67" s="1"/>
      <c r="H67" s="1"/>
      <c r="I67" s="1">
        <v>14.54</v>
      </c>
      <c r="J67" s="1"/>
      <c r="K67" s="1"/>
      <c r="L67" s="1">
        <v>0.46</v>
      </c>
      <c r="M67" s="1">
        <v>11.37</v>
      </c>
      <c r="N67" s="1"/>
      <c r="O67" s="1"/>
      <c r="P67" s="1">
        <v>23.5</v>
      </c>
      <c r="Q67" s="1"/>
      <c r="R67" s="1"/>
      <c r="S67" s="1"/>
      <c r="T67" s="1"/>
      <c r="U67" s="1">
        <v>26.27</v>
      </c>
      <c r="V67" s="1">
        <v>9.43</v>
      </c>
      <c r="W67" s="1">
        <f t="shared" ref="W67:W76" si="4">SUM(E67:V67)</f>
        <v>85.62</v>
      </c>
      <c r="X67" s="1">
        <f>AVERAGE(W63:W67)</f>
        <v>88.84</v>
      </c>
      <c r="Y67" s="1"/>
      <c r="Z67" s="63" t="s">
        <v>100</v>
      </c>
      <c r="AA67" s="1">
        <v>3.06</v>
      </c>
      <c r="AB67" s="1">
        <f>AVERAGE(AA63:AA67)</f>
        <v>2.73</v>
      </c>
      <c r="AC67" s="1"/>
      <c r="AD67" s="1"/>
      <c r="AE67" s="1">
        <v>2.57</v>
      </c>
      <c r="AF67" s="1">
        <f>AVERAGE(AE63:AE67)</f>
        <v>2.7640000000000002</v>
      </c>
      <c r="AH67" s="57"/>
    </row>
    <row r="68" spans="1:34" ht="15" customHeight="1">
      <c r="A68" s="1"/>
      <c r="B68" s="1"/>
      <c r="C68" s="1">
        <v>2</v>
      </c>
      <c r="D68" s="1">
        <v>1</v>
      </c>
      <c r="E68" s="1">
        <v>1.81</v>
      </c>
      <c r="F68" s="1">
        <v>0.01</v>
      </c>
      <c r="G68" s="1"/>
      <c r="H68" s="1"/>
      <c r="I68" s="1">
        <v>12.2</v>
      </c>
      <c r="J68" s="1"/>
      <c r="K68" s="1"/>
      <c r="L68" s="1">
        <v>0.12</v>
      </c>
      <c r="M68" s="1">
        <v>11.53</v>
      </c>
      <c r="N68" s="1"/>
      <c r="O68" s="1"/>
      <c r="P68" s="1">
        <v>1.69</v>
      </c>
      <c r="Q68" s="1"/>
      <c r="R68" s="1"/>
      <c r="S68" s="1">
        <v>0.48</v>
      </c>
      <c r="T68" s="1"/>
      <c r="U68" s="1">
        <v>19.86</v>
      </c>
      <c r="V68" s="1">
        <v>8.44</v>
      </c>
      <c r="W68" s="1">
        <f t="shared" si="4"/>
        <v>56.14</v>
      </c>
      <c r="X68" s="1"/>
      <c r="Y68" s="1"/>
      <c r="Z68" s="63" t="s">
        <v>100</v>
      </c>
      <c r="AA68" s="1">
        <v>2.58</v>
      </c>
      <c r="AB68" s="1"/>
      <c r="AC68" s="1"/>
      <c r="AD68" s="1"/>
      <c r="AE68" s="1">
        <v>1.97</v>
      </c>
      <c r="AF68" s="1"/>
      <c r="AH68" s="57"/>
    </row>
    <row r="69" spans="1:34" ht="15" customHeight="1">
      <c r="A69" s="1"/>
      <c r="B69" s="1"/>
      <c r="C69" s="1"/>
      <c r="D69" s="1">
        <v>2</v>
      </c>
      <c r="E69" s="1"/>
      <c r="F69" s="1"/>
      <c r="G69" s="1">
        <v>0.08</v>
      </c>
      <c r="H69" s="1"/>
      <c r="I69" s="1">
        <v>8.52</v>
      </c>
      <c r="J69" s="1"/>
      <c r="K69" s="1"/>
      <c r="L69" s="1">
        <v>1.34</v>
      </c>
      <c r="M69" s="1">
        <v>15.96</v>
      </c>
      <c r="N69" s="1"/>
      <c r="O69" s="1"/>
      <c r="P69" s="1">
        <v>4.3600000000000003</v>
      </c>
      <c r="Q69" s="1">
        <v>0.05</v>
      </c>
      <c r="R69" s="1"/>
      <c r="S69" s="1">
        <v>0.56999999999999995</v>
      </c>
      <c r="T69" s="1"/>
      <c r="U69" s="1"/>
      <c r="V69" s="1">
        <v>9</v>
      </c>
      <c r="W69" s="1">
        <f t="shared" si="4"/>
        <v>39.879999999999995</v>
      </c>
      <c r="X69" s="1"/>
      <c r="Y69" s="1"/>
      <c r="Z69" s="63" t="s">
        <v>100</v>
      </c>
      <c r="AA69" s="1">
        <v>1.24</v>
      </c>
      <c r="AB69" s="1"/>
      <c r="AC69" s="1"/>
      <c r="AD69" s="1"/>
      <c r="AE69" s="1">
        <v>1.96</v>
      </c>
      <c r="AF69" s="1"/>
      <c r="AH69" s="57"/>
    </row>
    <row r="70" spans="1:34" ht="15" customHeight="1">
      <c r="A70" s="1"/>
      <c r="B70" s="1"/>
      <c r="C70" s="1"/>
      <c r="D70" s="1">
        <v>3</v>
      </c>
      <c r="E70" s="1"/>
      <c r="F70" s="1"/>
      <c r="G70" s="1"/>
      <c r="H70" s="1"/>
      <c r="I70" s="1">
        <v>8.42</v>
      </c>
      <c r="J70" s="1"/>
      <c r="K70" s="1"/>
      <c r="L70" s="1"/>
      <c r="M70" s="1">
        <v>18.47</v>
      </c>
      <c r="N70" s="1"/>
      <c r="O70" s="1"/>
      <c r="P70" s="1">
        <v>2.3199999999999998</v>
      </c>
      <c r="Q70" s="1">
        <v>0.86</v>
      </c>
      <c r="R70" s="1"/>
      <c r="S70" s="1"/>
      <c r="T70" s="1"/>
      <c r="U70" s="1">
        <v>13.45</v>
      </c>
      <c r="V70" s="1">
        <v>17.809999999999999</v>
      </c>
      <c r="W70" s="1">
        <f t="shared" si="4"/>
        <v>61.33</v>
      </c>
      <c r="X70" s="1"/>
      <c r="Y70" s="1"/>
      <c r="Z70" s="63" t="s">
        <v>100</v>
      </c>
      <c r="AA70" s="1">
        <v>1.73</v>
      </c>
      <c r="AB70" s="1"/>
      <c r="AC70" s="1"/>
      <c r="AD70" s="1"/>
      <c r="AE70" s="1">
        <v>1.9</v>
      </c>
      <c r="AF70" s="1"/>
      <c r="AH70" s="57"/>
    </row>
    <row r="71" spans="1:34" ht="15" customHeight="1">
      <c r="A71" s="1"/>
      <c r="B71" s="1"/>
      <c r="C71" s="1"/>
      <c r="D71" s="1">
        <v>4</v>
      </c>
      <c r="E71" s="1"/>
      <c r="F71" s="1"/>
      <c r="G71" s="1"/>
      <c r="H71" s="1"/>
      <c r="I71" s="1">
        <v>12.1</v>
      </c>
      <c r="J71" s="1"/>
      <c r="K71" s="1"/>
      <c r="L71" s="1">
        <v>1.8</v>
      </c>
      <c r="M71" s="1">
        <v>8.3000000000000007</v>
      </c>
      <c r="N71" s="1"/>
      <c r="O71" s="1"/>
      <c r="P71" s="1">
        <v>3.7</v>
      </c>
      <c r="Q71" s="1"/>
      <c r="R71" s="1"/>
      <c r="S71" s="1">
        <v>4.0999999999999996</v>
      </c>
      <c r="T71" s="1"/>
      <c r="U71" s="1">
        <v>12.1</v>
      </c>
      <c r="V71" s="1">
        <v>17.899999999999999</v>
      </c>
      <c r="W71" s="1">
        <f t="shared" si="4"/>
        <v>60</v>
      </c>
      <c r="X71" s="1"/>
      <c r="Y71" s="1"/>
      <c r="Z71" s="63" t="s">
        <v>100</v>
      </c>
      <c r="AA71" s="1">
        <v>2.92</v>
      </c>
      <c r="AB71" s="1"/>
      <c r="AC71" s="1"/>
      <c r="AD71" s="1"/>
      <c r="AE71" s="1">
        <v>1.35</v>
      </c>
      <c r="AF71" s="1"/>
      <c r="AH71" s="57"/>
    </row>
    <row r="72" spans="1:34" ht="15" customHeight="1">
      <c r="A72" s="1"/>
      <c r="B72" s="1"/>
      <c r="C72" s="1"/>
      <c r="D72" s="1">
        <v>5</v>
      </c>
      <c r="E72" s="1"/>
      <c r="F72" s="1">
        <v>0.33</v>
      </c>
      <c r="G72" s="1"/>
      <c r="H72" s="1"/>
      <c r="I72" s="1">
        <v>11.57</v>
      </c>
      <c r="J72" s="1"/>
      <c r="K72" s="1"/>
      <c r="L72" s="1">
        <v>1.73</v>
      </c>
      <c r="M72" s="1">
        <v>10.89</v>
      </c>
      <c r="N72" s="1"/>
      <c r="O72" s="1"/>
      <c r="P72" s="1">
        <v>24.56</v>
      </c>
      <c r="Q72" s="1"/>
      <c r="R72" s="1"/>
      <c r="S72" s="1"/>
      <c r="T72" s="1"/>
      <c r="U72" s="1">
        <v>22.58</v>
      </c>
      <c r="V72" s="1">
        <v>17.27</v>
      </c>
      <c r="W72" s="1">
        <f t="shared" si="4"/>
        <v>88.929999999999993</v>
      </c>
      <c r="X72" s="1">
        <f>AVERAGE(W68:W72)</f>
        <v>61.255999999999993</v>
      </c>
      <c r="Y72" s="1"/>
      <c r="Z72" s="63" t="s">
        <v>100</v>
      </c>
      <c r="AA72" s="1">
        <v>3.37</v>
      </c>
      <c r="AB72" s="1">
        <f>AVERAGE(AA68:AA72)</f>
        <v>2.3679999999999999</v>
      </c>
      <c r="AC72" s="1"/>
      <c r="AD72" s="1"/>
      <c r="AE72" s="1">
        <v>2.57</v>
      </c>
      <c r="AF72" s="1">
        <f>AVERAGE(AE68:AE72)</f>
        <v>1.95</v>
      </c>
      <c r="AH72" s="57"/>
    </row>
    <row r="73" spans="1:34" ht="15" customHeight="1">
      <c r="A73" s="1"/>
      <c r="B73" s="1"/>
      <c r="C73" s="1">
        <v>3</v>
      </c>
      <c r="D73" s="1">
        <v>1</v>
      </c>
      <c r="E73" s="1"/>
      <c r="F73" s="1"/>
      <c r="G73" s="1"/>
      <c r="H73" s="1"/>
      <c r="I73" s="1">
        <v>11.4</v>
      </c>
      <c r="J73" s="1"/>
      <c r="K73" s="1"/>
      <c r="L73" s="1">
        <v>0.43</v>
      </c>
      <c r="M73" s="1">
        <v>13.16</v>
      </c>
      <c r="N73" s="1"/>
      <c r="O73" s="1"/>
      <c r="P73" s="1">
        <v>2.1800000000000002</v>
      </c>
      <c r="Q73" s="1">
        <v>1.1200000000000001</v>
      </c>
      <c r="R73" s="1"/>
      <c r="S73" s="1">
        <v>3.66</v>
      </c>
      <c r="T73" s="1"/>
      <c r="U73" s="1">
        <v>13.78</v>
      </c>
      <c r="V73" s="1">
        <v>9.8800000000000008</v>
      </c>
      <c r="W73" s="1">
        <f t="shared" si="4"/>
        <v>55.610000000000007</v>
      </c>
      <c r="X73" s="1"/>
      <c r="Y73" s="1"/>
      <c r="Z73" s="63" t="s">
        <v>100</v>
      </c>
      <c r="AA73" s="1">
        <v>2.67</v>
      </c>
      <c r="AB73" s="1"/>
      <c r="AC73" s="1"/>
      <c r="AD73" s="1"/>
      <c r="AE73" s="1">
        <v>1.1100000000000001</v>
      </c>
      <c r="AF73" s="1"/>
      <c r="AH73" s="57"/>
    </row>
    <row r="74" spans="1:34" ht="15" customHeight="1">
      <c r="A74" s="1"/>
      <c r="B74" s="1"/>
      <c r="C74" s="1"/>
      <c r="D74" s="1">
        <v>2</v>
      </c>
      <c r="E74" s="1"/>
      <c r="F74" s="1"/>
      <c r="G74" s="1"/>
      <c r="H74" s="1"/>
      <c r="I74" s="1">
        <v>21.54</v>
      </c>
      <c r="J74" s="1"/>
      <c r="K74" s="1"/>
      <c r="L74" s="1">
        <v>0.62</v>
      </c>
      <c r="M74" s="1">
        <v>11.61</v>
      </c>
      <c r="N74" s="1"/>
      <c r="O74" s="1"/>
      <c r="P74" s="1">
        <v>0.6</v>
      </c>
      <c r="Q74" s="1">
        <v>0.67</v>
      </c>
      <c r="R74" s="1"/>
      <c r="S74" s="1">
        <v>0.25</v>
      </c>
      <c r="T74" s="1"/>
      <c r="U74" s="1">
        <v>9.15</v>
      </c>
      <c r="V74" s="1">
        <v>6.77</v>
      </c>
      <c r="W74" s="1">
        <f t="shared" si="4"/>
        <v>51.209999999999994</v>
      </c>
      <c r="X74" s="1"/>
      <c r="Y74" s="1"/>
      <c r="Z74" s="63" t="s">
        <v>100</v>
      </c>
      <c r="AA74" s="1">
        <v>3.11</v>
      </c>
      <c r="AB74" s="1"/>
      <c r="AC74" s="1"/>
      <c r="AD74" s="1"/>
      <c r="AE74" s="1">
        <v>2.23</v>
      </c>
      <c r="AF74" s="1"/>
      <c r="AH74" s="57"/>
    </row>
    <row r="75" spans="1:34" ht="15" customHeight="1">
      <c r="A75" s="1"/>
      <c r="B75" s="1"/>
      <c r="C75" s="1"/>
      <c r="D75" s="1">
        <v>3</v>
      </c>
      <c r="E75" s="1">
        <v>0.19</v>
      </c>
      <c r="F75" s="1"/>
      <c r="G75" s="1"/>
      <c r="H75" s="1"/>
      <c r="I75" s="1">
        <v>23.22</v>
      </c>
      <c r="J75" s="1"/>
      <c r="K75" s="1"/>
      <c r="L75" s="1">
        <v>2.81</v>
      </c>
      <c r="M75" s="61">
        <v>11.36</v>
      </c>
      <c r="N75" s="1"/>
      <c r="O75" s="1"/>
      <c r="P75" s="1">
        <v>0.74</v>
      </c>
      <c r="Q75" s="1"/>
      <c r="R75" s="1"/>
      <c r="S75" s="1">
        <v>1.3</v>
      </c>
      <c r="T75" s="1"/>
      <c r="U75" s="1">
        <v>28.97</v>
      </c>
      <c r="V75" s="1">
        <v>24.69</v>
      </c>
      <c r="W75" s="58">
        <f t="shared" si="4"/>
        <v>93.28</v>
      </c>
      <c r="X75" s="1"/>
      <c r="Y75" s="1"/>
      <c r="Z75" s="63" t="s">
        <v>100</v>
      </c>
      <c r="AA75" s="1">
        <v>2.48</v>
      </c>
      <c r="AB75" s="1"/>
      <c r="AC75" s="1"/>
      <c r="AD75" s="1"/>
      <c r="AE75" s="1">
        <v>2.2400000000000002</v>
      </c>
      <c r="AF75" s="1"/>
      <c r="AH75" s="57"/>
    </row>
    <row r="76" spans="1:34" ht="15" customHeight="1">
      <c r="A76" s="1"/>
      <c r="B76" s="1"/>
      <c r="C76" s="1"/>
      <c r="D76" s="1">
        <v>4</v>
      </c>
      <c r="E76" s="1"/>
      <c r="F76" s="1"/>
      <c r="G76" s="1">
        <v>0.44</v>
      </c>
      <c r="H76" s="1"/>
      <c r="I76" s="1">
        <v>11.31</v>
      </c>
      <c r="J76" s="1"/>
      <c r="K76" s="1"/>
      <c r="L76" s="1">
        <v>1.73</v>
      </c>
      <c r="M76" s="1">
        <v>21.53</v>
      </c>
      <c r="N76" s="1"/>
      <c r="O76" s="1"/>
      <c r="P76" s="1">
        <v>0.67</v>
      </c>
      <c r="Q76" s="1">
        <v>0.8</v>
      </c>
      <c r="R76" s="1"/>
      <c r="S76" s="1">
        <v>0.32</v>
      </c>
      <c r="T76" s="1"/>
      <c r="U76" s="1">
        <v>17.16</v>
      </c>
      <c r="V76" s="1">
        <v>7</v>
      </c>
      <c r="W76" s="1">
        <f t="shared" si="4"/>
        <v>60.960000000000008</v>
      </c>
      <c r="X76" s="1"/>
      <c r="Y76" s="1"/>
      <c r="Z76" s="63" t="s">
        <v>100</v>
      </c>
      <c r="AA76" s="1">
        <v>3.8</v>
      </c>
      <c r="AB76" s="1"/>
      <c r="AC76" s="1"/>
      <c r="AD76" s="1"/>
      <c r="AE76" s="1">
        <v>2.02</v>
      </c>
      <c r="AF76" s="1"/>
      <c r="AH76" s="57"/>
    </row>
    <row r="77" spans="1:34" ht="15" customHeight="1">
      <c r="A77" s="1"/>
      <c r="B77" s="1"/>
      <c r="C77" s="1"/>
      <c r="D77" s="1">
        <v>5</v>
      </c>
      <c r="E77" s="10"/>
      <c r="F77" s="10"/>
      <c r="G77" s="10"/>
      <c r="H77" s="58"/>
      <c r="I77" s="58"/>
      <c r="J77" s="58"/>
      <c r="K77" s="58"/>
      <c r="L77" s="58"/>
      <c r="M77" s="58"/>
      <c r="N77" s="58"/>
      <c r="O77" s="58"/>
      <c r="P77" s="58"/>
      <c r="Q77" s="58"/>
      <c r="R77" s="58"/>
      <c r="S77" s="58"/>
      <c r="T77" s="58"/>
      <c r="U77" s="58"/>
      <c r="V77" s="58"/>
      <c r="W77" s="8">
        <v>73.185000000000002</v>
      </c>
      <c r="X77" s="1">
        <f>AVERAGE(W73:W77)</f>
        <v>66.849000000000004</v>
      </c>
      <c r="Y77" s="1"/>
      <c r="Z77" s="63" t="s">
        <v>100</v>
      </c>
      <c r="AA77" s="1">
        <v>3.89</v>
      </c>
      <c r="AB77" s="1">
        <f>AVERAGE(AA73:AA77)</f>
        <v>3.19</v>
      </c>
      <c r="AC77" s="1"/>
      <c r="AD77" s="1"/>
      <c r="AE77" s="1">
        <v>2.35</v>
      </c>
      <c r="AF77" s="1">
        <f>AVERAGE(AE73:AE77)</f>
        <v>1.9899999999999998</v>
      </c>
      <c r="AH77" s="57"/>
    </row>
    <row r="78" spans="1:34" ht="15" customHeight="1">
      <c r="A78" s="1"/>
      <c r="B78" s="1"/>
      <c r="C78" s="1">
        <v>4</v>
      </c>
      <c r="D78" s="1">
        <v>1</v>
      </c>
      <c r="E78" s="1"/>
      <c r="F78" s="1"/>
      <c r="G78" s="1">
        <v>0.08</v>
      </c>
      <c r="H78" s="1"/>
      <c r="I78" s="1">
        <v>21.09</v>
      </c>
      <c r="J78" s="1"/>
      <c r="K78" s="1"/>
      <c r="L78" s="1">
        <v>1.42</v>
      </c>
      <c r="M78" s="1"/>
      <c r="N78" s="1"/>
      <c r="O78" s="1"/>
      <c r="P78" s="1">
        <v>1.93</v>
      </c>
      <c r="Q78" s="1">
        <v>1.74</v>
      </c>
      <c r="R78" s="1"/>
      <c r="S78" s="1">
        <v>1.08</v>
      </c>
      <c r="T78" s="1"/>
      <c r="U78" s="1">
        <v>21.68</v>
      </c>
      <c r="V78" s="1">
        <v>17.52</v>
      </c>
      <c r="W78" s="1">
        <f t="shared" ref="W78:W82" si="5">SUM(E78:V78)</f>
        <v>66.539999999999992</v>
      </c>
      <c r="X78" s="1"/>
      <c r="Y78" s="1"/>
      <c r="Z78" s="63" t="s">
        <v>100</v>
      </c>
      <c r="AA78" s="1">
        <v>2.17</v>
      </c>
      <c r="AB78" s="1"/>
      <c r="AC78" s="1"/>
      <c r="AD78" s="1"/>
      <c r="AE78" s="1">
        <v>3.61</v>
      </c>
      <c r="AF78" s="1"/>
      <c r="AH78" s="57"/>
    </row>
    <row r="79" spans="1:34" ht="15" customHeight="1">
      <c r="A79" s="1"/>
      <c r="B79" s="1"/>
      <c r="C79" s="1"/>
      <c r="D79" s="1">
        <v>2</v>
      </c>
      <c r="E79" s="1"/>
      <c r="F79" s="1"/>
      <c r="G79" s="1"/>
      <c r="H79" s="1"/>
      <c r="I79" s="1">
        <v>6.88</v>
      </c>
      <c r="J79" s="1"/>
      <c r="K79" s="1"/>
      <c r="L79" s="1">
        <v>3.16</v>
      </c>
      <c r="M79" s="1">
        <v>10.39</v>
      </c>
      <c r="N79" s="1"/>
      <c r="O79" s="1"/>
      <c r="P79" s="1">
        <v>1.6</v>
      </c>
      <c r="Q79" s="1">
        <v>1.8</v>
      </c>
      <c r="R79" s="1"/>
      <c r="S79" s="1">
        <v>0.22</v>
      </c>
      <c r="T79" s="1"/>
      <c r="U79" s="1">
        <v>24.64</v>
      </c>
      <c r="V79" s="1">
        <v>6.02</v>
      </c>
      <c r="W79" s="1">
        <f t="shared" si="5"/>
        <v>54.709999999999994</v>
      </c>
      <c r="X79" s="1"/>
      <c r="Y79" s="1"/>
      <c r="Z79" s="63" t="s">
        <v>100</v>
      </c>
      <c r="AA79" s="1">
        <v>1.45</v>
      </c>
      <c r="AB79" s="1"/>
      <c r="AC79" s="1"/>
      <c r="AD79" s="1"/>
      <c r="AE79" s="1">
        <v>1.83</v>
      </c>
      <c r="AF79" s="1"/>
      <c r="AH79" s="57"/>
    </row>
    <row r="80" spans="1:34" ht="15" customHeight="1">
      <c r="A80" s="1"/>
      <c r="B80" s="1"/>
      <c r="C80" s="1"/>
      <c r="D80" s="1">
        <v>3</v>
      </c>
      <c r="E80" s="1"/>
      <c r="F80" s="1">
        <v>7.0000000000000007E-2</v>
      </c>
      <c r="G80" s="1"/>
      <c r="H80" s="1"/>
      <c r="I80" s="61">
        <v>19.899999999999999</v>
      </c>
      <c r="J80" s="1"/>
      <c r="K80" s="1"/>
      <c r="L80" s="1">
        <v>0.85</v>
      </c>
      <c r="M80" s="61">
        <v>15.56</v>
      </c>
      <c r="N80" s="1"/>
      <c r="O80" s="1"/>
      <c r="P80" s="1">
        <v>9.85</v>
      </c>
      <c r="Q80" s="1">
        <v>1.32</v>
      </c>
      <c r="R80" s="1"/>
      <c r="S80" s="1">
        <v>0.32</v>
      </c>
      <c r="T80" s="1"/>
      <c r="U80" s="61">
        <v>17.47</v>
      </c>
      <c r="V80" s="1">
        <v>15.44</v>
      </c>
      <c r="W80" s="58">
        <f t="shared" si="5"/>
        <v>80.78</v>
      </c>
      <c r="X80" s="1"/>
      <c r="Y80" s="1"/>
      <c r="Z80" s="63" t="s">
        <v>100</v>
      </c>
      <c r="AA80" s="1">
        <v>3.29</v>
      </c>
      <c r="AB80" s="1"/>
      <c r="AC80" s="1"/>
      <c r="AD80" s="1"/>
      <c r="AE80" s="1">
        <v>2.41</v>
      </c>
      <c r="AF80" s="1"/>
      <c r="AH80" s="57"/>
    </row>
    <row r="81" spans="1:34" ht="15" customHeight="1">
      <c r="A81" s="1"/>
      <c r="B81" s="1"/>
      <c r="C81" s="1"/>
      <c r="D81" s="1">
        <v>4</v>
      </c>
      <c r="E81" s="1">
        <v>0.17</v>
      </c>
      <c r="F81" s="1"/>
      <c r="G81" s="1"/>
      <c r="H81" s="1"/>
      <c r="I81" s="1">
        <v>14.53</v>
      </c>
      <c r="J81" s="1"/>
      <c r="K81" s="1"/>
      <c r="L81" s="1">
        <v>0.56999999999999995</v>
      </c>
      <c r="M81" s="1">
        <v>5.82</v>
      </c>
      <c r="N81" s="1"/>
      <c r="O81" s="1"/>
      <c r="P81" s="1">
        <v>1.42</v>
      </c>
      <c r="Q81" s="1">
        <v>0.26</v>
      </c>
      <c r="R81" s="1"/>
      <c r="S81" s="1">
        <v>0.28999999999999998</v>
      </c>
      <c r="T81" s="1"/>
      <c r="U81" s="1">
        <v>21.68</v>
      </c>
      <c r="V81" s="1"/>
      <c r="W81" s="1">
        <f t="shared" si="5"/>
        <v>44.739999999999995</v>
      </c>
      <c r="X81" s="1"/>
      <c r="Y81" s="1"/>
      <c r="Z81" s="63" t="s">
        <v>100</v>
      </c>
      <c r="AA81" s="1">
        <v>1.86</v>
      </c>
      <c r="AB81" s="1"/>
      <c r="AC81" s="1"/>
      <c r="AD81" s="1"/>
      <c r="AE81" s="1">
        <v>1.17</v>
      </c>
      <c r="AF81" s="1"/>
      <c r="AH81" s="57"/>
    </row>
    <row r="82" spans="1:34" ht="15" customHeight="1">
      <c r="A82" s="1"/>
      <c r="B82" s="1"/>
      <c r="C82" s="1"/>
      <c r="D82" s="1">
        <v>5</v>
      </c>
      <c r="E82" s="1"/>
      <c r="F82" s="1"/>
      <c r="G82" s="1">
        <v>0.01</v>
      </c>
      <c r="H82" s="1"/>
      <c r="I82" s="1">
        <v>10.5</v>
      </c>
      <c r="J82" s="1"/>
      <c r="K82" s="1"/>
      <c r="L82" s="1">
        <v>0.05</v>
      </c>
      <c r="M82" s="1">
        <v>23.38</v>
      </c>
      <c r="N82" s="1"/>
      <c r="O82" s="1"/>
      <c r="P82" s="1">
        <v>1.23</v>
      </c>
      <c r="Q82" s="1">
        <v>0.12</v>
      </c>
      <c r="R82" s="1"/>
      <c r="S82" s="1">
        <v>0.17</v>
      </c>
      <c r="T82" s="1"/>
      <c r="U82" s="1">
        <v>11.49</v>
      </c>
      <c r="V82" s="1">
        <v>7.02</v>
      </c>
      <c r="W82" s="1">
        <f t="shared" si="5"/>
        <v>53.97</v>
      </c>
      <c r="X82" s="1">
        <f>AVERAGE(W78:W82)</f>
        <v>60.148000000000003</v>
      </c>
      <c r="Y82" s="1"/>
      <c r="Z82" s="63" t="s">
        <v>100</v>
      </c>
      <c r="AA82" s="1">
        <v>1.21</v>
      </c>
      <c r="AB82" s="1">
        <f>AVERAGE(AA78:AA82)</f>
        <v>1.996</v>
      </c>
      <c r="AC82" s="1"/>
      <c r="AD82" s="1"/>
      <c r="AE82" s="1">
        <v>3.1</v>
      </c>
      <c r="AF82" s="1">
        <f>AVERAGE(AE78:AE82)</f>
        <v>2.4239999999999999</v>
      </c>
      <c r="AH82" s="57"/>
    </row>
    <row r="83" spans="1:34" ht="15" customHeight="1">
      <c r="A83" s="1" t="s">
        <v>37</v>
      </c>
      <c r="B83" s="1" t="s">
        <v>99</v>
      </c>
      <c r="C83" s="1">
        <v>1</v>
      </c>
      <c r="D83" s="1">
        <v>1</v>
      </c>
      <c r="E83" s="10" t="s">
        <v>100</v>
      </c>
      <c r="F83" s="10" t="s">
        <v>100</v>
      </c>
      <c r="G83" s="10" t="s">
        <v>100</v>
      </c>
      <c r="H83" s="10" t="s">
        <v>100</v>
      </c>
      <c r="I83" s="10" t="s">
        <v>100</v>
      </c>
      <c r="J83" s="10" t="s">
        <v>100</v>
      </c>
      <c r="K83" s="10" t="s">
        <v>100</v>
      </c>
      <c r="L83" s="10" t="s">
        <v>100</v>
      </c>
      <c r="M83" s="10" t="s">
        <v>100</v>
      </c>
      <c r="N83" s="10" t="s">
        <v>100</v>
      </c>
      <c r="O83" s="10" t="s">
        <v>100</v>
      </c>
      <c r="P83" s="10" t="s">
        <v>100</v>
      </c>
      <c r="Q83" s="10" t="s">
        <v>100</v>
      </c>
      <c r="R83" s="10" t="s">
        <v>100</v>
      </c>
      <c r="S83" s="10" t="s">
        <v>100</v>
      </c>
      <c r="T83" s="10" t="s">
        <v>100</v>
      </c>
      <c r="U83" s="10" t="s">
        <v>100</v>
      </c>
      <c r="V83" s="10" t="s">
        <v>100</v>
      </c>
      <c r="W83" s="1"/>
      <c r="X83" s="1"/>
      <c r="Y83" s="1"/>
      <c r="Z83" s="1">
        <v>8.1</v>
      </c>
      <c r="AA83" s="1">
        <f>AVERAGEA(AA84:AA87)</f>
        <v>0.98</v>
      </c>
      <c r="AB83" s="1"/>
      <c r="AC83" s="1"/>
      <c r="AD83" s="1"/>
      <c r="AE83" s="1">
        <v>5.45</v>
      </c>
      <c r="AF83" s="1"/>
      <c r="AH83" s="57"/>
    </row>
    <row r="84" spans="1:34" ht="15" customHeight="1">
      <c r="A84" s="1"/>
      <c r="B84" s="1"/>
      <c r="C84" s="1"/>
      <c r="D84" s="1">
        <v>2</v>
      </c>
      <c r="E84" s="10" t="s">
        <v>100</v>
      </c>
      <c r="F84" s="10" t="s">
        <v>100</v>
      </c>
      <c r="G84" s="10" t="s">
        <v>100</v>
      </c>
      <c r="H84" s="10" t="s">
        <v>100</v>
      </c>
      <c r="I84" s="10" t="s">
        <v>100</v>
      </c>
      <c r="J84" s="10" t="s">
        <v>100</v>
      </c>
      <c r="K84" s="10" t="s">
        <v>100</v>
      </c>
      <c r="L84" s="10" t="s">
        <v>100</v>
      </c>
      <c r="M84" s="10" t="s">
        <v>100</v>
      </c>
      <c r="N84" s="10" t="s">
        <v>100</v>
      </c>
      <c r="O84" s="10" t="s">
        <v>100</v>
      </c>
      <c r="P84" s="10" t="s">
        <v>100</v>
      </c>
      <c r="Q84" s="10" t="s">
        <v>100</v>
      </c>
      <c r="R84" s="10" t="s">
        <v>100</v>
      </c>
      <c r="S84" s="10" t="s">
        <v>100</v>
      </c>
      <c r="T84" s="10" t="s">
        <v>100</v>
      </c>
      <c r="U84" s="10" t="s">
        <v>100</v>
      </c>
      <c r="V84" s="10" t="s">
        <v>100</v>
      </c>
      <c r="W84" s="1"/>
      <c r="X84" s="1"/>
      <c r="Y84" s="1"/>
      <c r="Z84" s="1">
        <v>5.3</v>
      </c>
      <c r="AA84" s="1">
        <v>1.1399999999999999</v>
      </c>
      <c r="AB84" s="1"/>
      <c r="AC84" s="1"/>
      <c r="AD84" s="1"/>
      <c r="AE84" s="1">
        <v>4.3</v>
      </c>
      <c r="AF84" s="1"/>
      <c r="AH84" s="57"/>
    </row>
    <row r="85" spans="1:34" ht="15" customHeight="1">
      <c r="A85" s="1"/>
      <c r="B85" s="1"/>
      <c r="C85" s="1"/>
      <c r="D85" s="1">
        <v>3</v>
      </c>
      <c r="E85" s="10" t="s">
        <v>100</v>
      </c>
      <c r="F85" s="10" t="s">
        <v>100</v>
      </c>
      <c r="G85" s="10" t="s">
        <v>100</v>
      </c>
      <c r="H85" s="10" t="s">
        <v>100</v>
      </c>
      <c r="I85" s="10" t="s">
        <v>100</v>
      </c>
      <c r="J85" s="10" t="s">
        <v>100</v>
      </c>
      <c r="K85" s="10" t="s">
        <v>100</v>
      </c>
      <c r="L85" s="10" t="s">
        <v>100</v>
      </c>
      <c r="M85" s="10" t="s">
        <v>100</v>
      </c>
      <c r="N85" s="10" t="s">
        <v>100</v>
      </c>
      <c r="O85" s="10" t="s">
        <v>100</v>
      </c>
      <c r="P85" s="10" t="s">
        <v>100</v>
      </c>
      <c r="Q85" s="10" t="s">
        <v>100</v>
      </c>
      <c r="R85" s="10" t="s">
        <v>100</v>
      </c>
      <c r="S85" s="10" t="s">
        <v>100</v>
      </c>
      <c r="T85" s="10" t="s">
        <v>100</v>
      </c>
      <c r="U85" s="10" t="s">
        <v>100</v>
      </c>
      <c r="V85" s="10" t="s">
        <v>100</v>
      </c>
      <c r="W85" s="1"/>
      <c r="X85" s="1"/>
      <c r="Y85" s="1"/>
      <c r="Z85" s="1">
        <v>9.8000000000000007</v>
      </c>
      <c r="AA85" s="1">
        <v>1.02</v>
      </c>
      <c r="AB85" s="1"/>
      <c r="AC85" s="1"/>
      <c r="AD85" s="1"/>
      <c r="AE85" s="1">
        <v>3.55</v>
      </c>
      <c r="AF85" s="1"/>
      <c r="AH85" s="57"/>
    </row>
    <row r="86" spans="1:34" ht="15" customHeight="1">
      <c r="A86" s="1"/>
      <c r="B86" s="1"/>
      <c r="C86" s="1"/>
      <c r="D86" s="1">
        <v>4</v>
      </c>
      <c r="E86" s="10" t="s">
        <v>100</v>
      </c>
      <c r="F86" s="10" t="s">
        <v>100</v>
      </c>
      <c r="G86" s="10" t="s">
        <v>100</v>
      </c>
      <c r="H86" s="10" t="s">
        <v>100</v>
      </c>
      <c r="I86" s="10" t="s">
        <v>100</v>
      </c>
      <c r="J86" s="10" t="s">
        <v>100</v>
      </c>
      <c r="K86" s="10" t="s">
        <v>100</v>
      </c>
      <c r="L86" s="10" t="s">
        <v>100</v>
      </c>
      <c r="M86" s="10" t="s">
        <v>100</v>
      </c>
      <c r="N86" s="10" t="s">
        <v>100</v>
      </c>
      <c r="O86" s="10" t="s">
        <v>100</v>
      </c>
      <c r="P86" s="10" t="s">
        <v>100</v>
      </c>
      <c r="Q86" s="10" t="s">
        <v>100</v>
      </c>
      <c r="R86" s="10" t="s">
        <v>100</v>
      </c>
      <c r="S86" s="10" t="s">
        <v>100</v>
      </c>
      <c r="T86" s="10" t="s">
        <v>100</v>
      </c>
      <c r="U86" s="10" t="s">
        <v>100</v>
      </c>
      <c r="V86" s="10" t="s">
        <v>100</v>
      </c>
      <c r="W86" s="1"/>
      <c r="X86" s="1"/>
      <c r="Y86" s="1"/>
      <c r="Z86" s="1">
        <v>7.4</v>
      </c>
      <c r="AA86" s="1">
        <v>1.25</v>
      </c>
      <c r="AB86" s="1"/>
      <c r="AC86" s="1"/>
      <c r="AD86" s="1"/>
      <c r="AE86" s="1">
        <v>3.74</v>
      </c>
      <c r="AF86" s="1"/>
      <c r="AH86" s="57"/>
    </row>
    <row r="87" spans="1:34" ht="15" customHeight="1">
      <c r="A87" s="1"/>
      <c r="B87" s="1"/>
      <c r="C87" s="1"/>
      <c r="D87" s="1">
        <v>5</v>
      </c>
      <c r="E87" s="10" t="s">
        <v>100</v>
      </c>
      <c r="F87" s="10" t="s">
        <v>100</v>
      </c>
      <c r="G87" s="10" t="s">
        <v>100</v>
      </c>
      <c r="H87" s="10" t="s">
        <v>100</v>
      </c>
      <c r="I87" s="10" t="s">
        <v>100</v>
      </c>
      <c r="J87" s="10" t="s">
        <v>100</v>
      </c>
      <c r="K87" s="10" t="s">
        <v>100</v>
      </c>
      <c r="L87" s="10" t="s">
        <v>100</v>
      </c>
      <c r="M87" s="10" t="s">
        <v>100</v>
      </c>
      <c r="N87" s="10" t="s">
        <v>100</v>
      </c>
      <c r="O87" s="10" t="s">
        <v>100</v>
      </c>
      <c r="P87" s="10" t="s">
        <v>100</v>
      </c>
      <c r="Q87" s="10" t="s">
        <v>100</v>
      </c>
      <c r="R87" s="10" t="s">
        <v>100</v>
      </c>
      <c r="S87" s="10" t="s">
        <v>100</v>
      </c>
      <c r="T87" s="10" t="s">
        <v>100</v>
      </c>
      <c r="U87" s="10" t="s">
        <v>100</v>
      </c>
      <c r="V87" s="10" t="s">
        <v>100</v>
      </c>
      <c r="W87" s="1"/>
      <c r="X87" s="1"/>
      <c r="Y87" s="1"/>
      <c r="Z87" s="1">
        <v>5.2</v>
      </c>
      <c r="AA87" s="1">
        <v>0.51</v>
      </c>
      <c r="AB87" s="1">
        <f>AVERAGEA(AA83:AA87)</f>
        <v>0.98000000000000009</v>
      </c>
      <c r="AC87" s="1"/>
      <c r="AD87" s="1"/>
      <c r="AE87" s="1">
        <v>7.2</v>
      </c>
      <c r="AF87" s="1">
        <f>AVERAGEA(AE83:AE87)</f>
        <v>4.8479999999999999</v>
      </c>
      <c r="AH87" s="57"/>
    </row>
    <row r="88" spans="1:34" ht="15" customHeight="1">
      <c r="A88" s="1"/>
      <c r="B88" s="1"/>
      <c r="C88" s="1">
        <v>2</v>
      </c>
      <c r="D88" s="1">
        <v>1</v>
      </c>
      <c r="E88" s="10" t="s">
        <v>100</v>
      </c>
      <c r="F88" s="10" t="s">
        <v>100</v>
      </c>
      <c r="G88" s="10" t="s">
        <v>100</v>
      </c>
      <c r="H88" s="10" t="s">
        <v>100</v>
      </c>
      <c r="I88" s="10" t="s">
        <v>100</v>
      </c>
      <c r="J88" s="10" t="s">
        <v>100</v>
      </c>
      <c r="K88" s="10" t="s">
        <v>100</v>
      </c>
      <c r="L88" s="10" t="s">
        <v>100</v>
      </c>
      <c r="M88" s="10" t="s">
        <v>100</v>
      </c>
      <c r="N88" s="10" t="s">
        <v>100</v>
      </c>
      <c r="O88" s="10" t="s">
        <v>100</v>
      </c>
      <c r="P88" s="10" t="s">
        <v>100</v>
      </c>
      <c r="Q88" s="10" t="s">
        <v>100</v>
      </c>
      <c r="R88" s="10" t="s">
        <v>100</v>
      </c>
      <c r="S88" s="10" t="s">
        <v>100</v>
      </c>
      <c r="T88" s="10" t="s">
        <v>100</v>
      </c>
      <c r="U88" s="10" t="s">
        <v>100</v>
      </c>
      <c r="V88" s="10" t="s">
        <v>100</v>
      </c>
      <c r="W88" s="1"/>
      <c r="X88" s="1"/>
      <c r="Y88" s="1"/>
      <c r="Z88" s="1">
        <v>8</v>
      </c>
      <c r="AA88" s="1">
        <v>0.86</v>
      </c>
      <c r="AB88" s="1"/>
      <c r="AC88" s="1"/>
      <c r="AD88" s="1"/>
      <c r="AE88" s="1">
        <v>4.6399999999999997</v>
      </c>
      <c r="AF88" s="1"/>
      <c r="AH88" s="57"/>
    </row>
    <row r="89" spans="1:34" ht="15" customHeight="1">
      <c r="A89" s="1"/>
      <c r="B89" s="1"/>
      <c r="C89" s="1"/>
      <c r="D89" s="1">
        <v>2</v>
      </c>
      <c r="E89" s="10" t="s">
        <v>100</v>
      </c>
      <c r="F89" s="10" t="s">
        <v>100</v>
      </c>
      <c r="G89" s="10" t="s">
        <v>100</v>
      </c>
      <c r="H89" s="10" t="s">
        <v>100</v>
      </c>
      <c r="I89" s="10" t="s">
        <v>100</v>
      </c>
      <c r="J89" s="10" t="s">
        <v>100</v>
      </c>
      <c r="K89" s="10" t="s">
        <v>100</v>
      </c>
      <c r="L89" s="10" t="s">
        <v>100</v>
      </c>
      <c r="M89" s="10" t="s">
        <v>100</v>
      </c>
      <c r="N89" s="10" t="s">
        <v>100</v>
      </c>
      <c r="O89" s="10" t="s">
        <v>100</v>
      </c>
      <c r="P89" s="10" t="s">
        <v>100</v>
      </c>
      <c r="Q89" s="10" t="s">
        <v>100</v>
      </c>
      <c r="R89" s="10" t="s">
        <v>100</v>
      </c>
      <c r="S89" s="10" t="s">
        <v>100</v>
      </c>
      <c r="T89" s="10" t="s">
        <v>100</v>
      </c>
      <c r="U89" s="10" t="s">
        <v>100</v>
      </c>
      <c r="V89" s="10" t="s">
        <v>100</v>
      </c>
      <c r="W89" s="1"/>
      <c r="X89" s="1"/>
      <c r="Y89" s="1"/>
      <c r="Z89" s="1">
        <v>6.2</v>
      </c>
      <c r="AA89" s="1">
        <v>0.25</v>
      </c>
      <c r="AB89" s="1"/>
      <c r="AC89" s="1"/>
      <c r="AD89" s="1"/>
      <c r="AE89" s="1">
        <v>4.67</v>
      </c>
      <c r="AF89" s="1"/>
      <c r="AH89" s="57"/>
    </row>
    <row r="90" spans="1:34" ht="15" customHeight="1">
      <c r="A90" s="1"/>
      <c r="B90" s="1"/>
      <c r="C90" s="1"/>
      <c r="D90" s="1">
        <v>3</v>
      </c>
      <c r="E90" s="10" t="s">
        <v>100</v>
      </c>
      <c r="F90" s="10" t="s">
        <v>100</v>
      </c>
      <c r="G90" s="10" t="s">
        <v>100</v>
      </c>
      <c r="H90" s="10" t="s">
        <v>100</v>
      </c>
      <c r="I90" s="10" t="s">
        <v>100</v>
      </c>
      <c r="J90" s="10" t="s">
        <v>100</v>
      </c>
      <c r="K90" s="10" t="s">
        <v>100</v>
      </c>
      <c r="L90" s="10" t="s">
        <v>100</v>
      </c>
      <c r="M90" s="10" t="s">
        <v>100</v>
      </c>
      <c r="N90" s="10" t="s">
        <v>100</v>
      </c>
      <c r="O90" s="10" t="s">
        <v>100</v>
      </c>
      <c r="P90" s="10" t="s">
        <v>100</v>
      </c>
      <c r="Q90" s="10" t="s">
        <v>100</v>
      </c>
      <c r="R90" s="10" t="s">
        <v>100</v>
      </c>
      <c r="S90" s="10" t="s">
        <v>100</v>
      </c>
      <c r="T90" s="10" t="s">
        <v>100</v>
      </c>
      <c r="U90" s="10" t="s">
        <v>100</v>
      </c>
      <c r="V90" s="10" t="s">
        <v>100</v>
      </c>
      <c r="W90" s="1"/>
      <c r="X90" s="1"/>
      <c r="Y90" s="1"/>
      <c r="Z90" s="1">
        <v>7.3</v>
      </c>
      <c r="AA90" s="1">
        <v>0.99</v>
      </c>
      <c r="AB90" s="1"/>
      <c r="AC90" s="1"/>
      <c r="AD90" s="1"/>
      <c r="AE90" s="1">
        <v>7.36</v>
      </c>
      <c r="AF90" s="1"/>
      <c r="AH90" s="57"/>
    </row>
    <row r="91" spans="1:34" ht="15" customHeight="1">
      <c r="A91" s="1"/>
      <c r="B91" s="1"/>
      <c r="C91" s="1"/>
      <c r="D91" s="1">
        <v>4</v>
      </c>
      <c r="E91" s="10" t="s">
        <v>100</v>
      </c>
      <c r="F91" s="10" t="s">
        <v>100</v>
      </c>
      <c r="G91" s="10" t="s">
        <v>100</v>
      </c>
      <c r="H91" s="10" t="s">
        <v>100</v>
      </c>
      <c r="I91" s="10" t="s">
        <v>100</v>
      </c>
      <c r="J91" s="10" t="s">
        <v>100</v>
      </c>
      <c r="K91" s="10" t="s">
        <v>100</v>
      </c>
      <c r="L91" s="10" t="s">
        <v>100</v>
      </c>
      <c r="M91" s="10" t="s">
        <v>100</v>
      </c>
      <c r="N91" s="10" t="s">
        <v>100</v>
      </c>
      <c r="O91" s="10" t="s">
        <v>100</v>
      </c>
      <c r="P91" s="10" t="s">
        <v>100</v>
      </c>
      <c r="Q91" s="10" t="s">
        <v>100</v>
      </c>
      <c r="R91" s="10" t="s">
        <v>100</v>
      </c>
      <c r="S91" s="10" t="s">
        <v>100</v>
      </c>
      <c r="T91" s="10" t="s">
        <v>100</v>
      </c>
      <c r="U91" s="10" t="s">
        <v>100</v>
      </c>
      <c r="V91" s="10" t="s">
        <v>100</v>
      </c>
      <c r="W91" s="1"/>
      <c r="X91" s="1"/>
      <c r="Y91" s="1"/>
      <c r="Z91" s="1">
        <v>9.4</v>
      </c>
      <c r="AA91" s="1">
        <v>1.19</v>
      </c>
      <c r="AB91" s="1"/>
      <c r="AC91" s="1"/>
      <c r="AD91" s="1"/>
      <c r="AE91" s="1">
        <v>9.3000000000000007</v>
      </c>
      <c r="AF91" s="1"/>
      <c r="AH91" s="57"/>
    </row>
    <row r="92" spans="1:34" ht="15" customHeight="1">
      <c r="A92" s="1"/>
      <c r="B92" s="1"/>
      <c r="C92" s="1"/>
      <c r="D92" s="1">
        <v>5</v>
      </c>
      <c r="E92" s="10" t="s">
        <v>100</v>
      </c>
      <c r="F92" s="10" t="s">
        <v>100</v>
      </c>
      <c r="G92" s="10" t="s">
        <v>100</v>
      </c>
      <c r="H92" s="10" t="s">
        <v>100</v>
      </c>
      <c r="I92" s="10" t="s">
        <v>100</v>
      </c>
      <c r="J92" s="10" t="s">
        <v>100</v>
      </c>
      <c r="K92" s="10" t="s">
        <v>100</v>
      </c>
      <c r="L92" s="10" t="s">
        <v>100</v>
      </c>
      <c r="M92" s="10" t="s">
        <v>100</v>
      </c>
      <c r="N92" s="10" t="s">
        <v>100</v>
      </c>
      <c r="O92" s="10" t="s">
        <v>100</v>
      </c>
      <c r="P92" s="10" t="s">
        <v>100</v>
      </c>
      <c r="Q92" s="10" t="s">
        <v>100</v>
      </c>
      <c r="R92" s="10" t="s">
        <v>100</v>
      </c>
      <c r="S92" s="10" t="s">
        <v>100</v>
      </c>
      <c r="T92" s="10" t="s">
        <v>100</v>
      </c>
      <c r="U92" s="10" t="s">
        <v>100</v>
      </c>
      <c r="V92" s="10" t="s">
        <v>100</v>
      </c>
      <c r="W92" s="1"/>
      <c r="X92" s="1"/>
      <c r="Y92" s="1"/>
      <c r="Z92" s="1">
        <v>5</v>
      </c>
      <c r="AA92" s="1">
        <v>0.28000000000000003</v>
      </c>
      <c r="AB92" s="1">
        <f>AVERAGEA(AA88:AA92)</f>
        <v>0.71399999999999986</v>
      </c>
      <c r="AC92" s="1"/>
      <c r="AD92" s="1"/>
      <c r="AE92" s="61">
        <v>7.23</v>
      </c>
      <c r="AF92" s="1">
        <f>AVERAGEA(AE88:AE92)</f>
        <v>6.6400000000000006</v>
      </c>
      <c r="AH92" s="57"/>
    </row>
    <row r="93" spans="1:34" ht="15" customHeight="1">
      <c r="A93" s="1"/>
      <c r="B93" s="1"/>
      <c r="C93" s="1">
        <v>3</v>
      </c>
      <c r="D93" s="1">
        <v>1</v>
      </c>
      <c r="E93" s="10" t="s">
        <v>100</v>
      </c>
      <c r="F93" s="10" t="s">
        <v>100</v>
      </c>
      <c r="G93" s="10" t="s">
        <v>100</v>
      </c>
      <c r="H93" s="10" t="s">
        <v>100</v>
      </c>
      <c r="I93" s="10" t="s">
        <v>100</v>
      </c>
      <c r="J93" s="10" t="s">
        <v>100</v>
      </c>
      <c r="K93" s="10" t="s">
        <v>100</v>
      </c>
      <c r="L93" s="10" t="s">
        <v>100</v>
      </c>
      <c r="M93" s="10" t="s">
        <v>100</v>
      </c>
      <c r="N93" s="10" t="s">
        <v>100</v>
      </c>
      <c r="O93" s="10" t="s">
        <v>100</v>
      </c>
      <c r="P93" s="10" t="s">
        <v>100</v>
      </c>
      <c r="Q93" s="10" t="s">
        <v>100</v>
      </c>
      <c r="R93" s="10" t="s">
        <v>100</v>
      </c>
      <c r="S93" s="10" t="s">
        <v>100</v>
      </c>
      <c r="T93" s="10" t="s">
        <v>100</v>
      </c>
      <c r="U93" s="10" t="s">
        <v>100</v>
      </c>
      <c r="V93" s="10" t="s">
        <v>100</v>
      </c>
      <c r="W93" s="1"/>
      <c r="X93" s="1"/>
      <c r="Y93" s="1"/>
      <c r="Z93" s="1">
        <v>5.2</v>
      </c>
      <c r="AA93" s="1">
        <v>2.21</v>
      </c>
      <c r="AB93" s="1"/>
      <c r="AC93" s="1"/>
      <c r="AD93" s="1"/>
      <c r="AE93" s="8">
        <f>AVERAGE(AE94,AE96:AE97)</f>
        <v>7.7333333333333316</v>
      </c>
      <c r="AF93" s="1"/>
      <c r="AH93" s="57"/>
    </row>
    <row r="94" spans="1:34" ht="15" customHeight="1">
      <c r="A94" s="1"/>
      <c r="B94" s="1"/>
      <c r="C94" s="1"/>
      <c r="D94" s="1">
        <v>2</v>
      </c>
      <c r="E94" s="10" t="s">
        <v>100</v>
      </c>
      <c r="F94" s="10" t="s">
        <v>100</v>
      </c>
      <c r="G94" s="10" t="s">
        <v>100</v>
      </c>
      <c r="H94" s="10" t="s">
        <v>100</v>
      </c>
      <c r="I94" s="10" t="s">
        <v>100</v>
      </c>
      <c r="J94" s="10" t="s">
        <v>100</v>
      </c>
      <c r="K94" s="10" t="s">
        <v>100</v>
      </c>
      <c r="L94" s="10" t="s">
        <v>100</v>
      </c>
      <c r="M94" s="10" t="s">
        <v>100</v>
      </c>
      <c r="N94" s="10" t="s">
        <v>100</v>
      </c>
      <c r="O94" s="10" t="s">
        <v>100</v>
      </c>
      <c r="P94" s="10" t="s">
        <v>100</v>
      </c>
      <c r="Q94" s="10" t="s">
        <v>100</v>
      </c>
      <c r="R94" s="10" t="s">
        <v>100</v>
      </c>
      <c r="S94" s="10" t="s">
        <v>100</v>
      </c>
      <c r="T94" s="10" t="s">
        <v>100</v>
      </c>
      <c r="U94" s="10" t="s">
        <v>100</v>
      </c>
      <c r="V94" s="10" t="s">
        <v>100</v>
      </c>
      <c r="W94" s="1"/>
      <c r="X94" s="1"/>
      <c r="Y94" s="1"/>
      <c r="Z94" s="1">
        <v>6.9</v>
      </c>
      <c r="AA94" s="1">
        <v>1.97</v>
      </c>
      <c r="AB94" s="1"/>
      <c r="AC94" s="1"/>
      <c r="AD94" s="1"/>
      <c r="AE94" s="1">
        <v>9.81</v>
      </c>
      <c r="AF94" s="1"/>
      <c r="AH94" s="57"/>
    </row>
    <row r="95" spans="1:34" ht="15" customHeight="1">
      <c r="A95" s="1"/>
      <c r="B95" s="1"/>
      <c r="C95" s="1"/>
      <c r="D95" s="1">
        <v>3</v>
      </c>
      <c r="E95" s="10" t="s">
        <v>100</v>
      </c>
      <c r="F95" s="10" t="s">
        <v>100</v>
      </c>
      <c r="G95" s="10" t="s">
        <v>100</v>
      </c>
      <c r="H95" s="10" t="s">
        <v>100</v>
      </c>
      <c r="I95" s="10" t="s">
        <v>100</v>
      </c>
      <c r="J95" s="10" t="s">
        <v>100</v>
      </c>
      <c r="K95" s="10" t="s">
        <v>100</v>
      </c>
      <c r="L95" s="10" t="s">
        <v>100</v>
      </c>
      <c r="M95" s="10" t="s">
        <v>100</v>
      </c>
      <c r="N95" s="10" t="s">
        <v>100</v>
      </c>
      <c r="O95" s="10" t="s">
        <v>100</v>
      </c>
      <c r="P95" s="10" t="s">
        <v>100</v>
      </c>
      <c r="Q95" s="10" t="s">
        <v>100</v>
      </c>
      <c r="R95" s="10" t="s">
        <v>100</v>
      </c>
      <c r="S95" s="10" t="s">
        <v>100</v>
      </c>
      <c r="T95" s="10" t="s">
        <v>100</v>
      </c>
      <c r="U95" s="10" t="s">
        <v>100</v>
      </c>
      <c r="V95" s="10" t="s">
        <v>100</v>
      </c>
      <c r="W95" s="1"/>
      <c r="X95" s="1"/>
      <c r="Y95" s="1"/>
      <c r="Z95" s="1">
        <v>5.7</v>
      </c>
      <c r="AA95" s="1">
        <v>0.9</v>
      </c>
      <c r="AB95" s="1"/>
      <c r="AC95" s="1"/>
      <c r="AD95" s="1"/>
      <c r="AE95" s="8">
        <f>AVERAGE(AE94,AE96:AE97)</f>
        <v>7.7333333333333316</v>
      </c>
      <c r="AF95" s="1"/>
      <c r="AH95" s="57"/>
    </row>
    <row r="96" spans="1:34" ht="15" customHeight="1">
      <c r="A96" s="1"/>
      <c r="B96" s="1"/>
      <c r="C96" s="1"/>
      <c r="D96" s="1">
        <v>4</v>
      </c>
      <c r="E96" s="10" t="s">
        <v>100</v>
      </c>
      <c r="F96" s="10" t="s">
        <v>100</v>
      </c>
      <c r="G96" s="10" t="s">
        <v>100</v>
      </c>
      <c r="H96" s="10" t="s">
        <v>100</v>
      </c>
      <c r="I96" s="10" t="s">
        <v>100</v>
      </c>
      <c r="J96" s="10" t="s">
        <v>100</v>
      </c>
      <c r="K96" s="10" t="s">
        <v>100</v>
      </c>
      <c r="L96" s="10" t="s">
        <v>100</v>
      </c>
      <c r="M96" s="10" t="s">
        <v>100</v>
      </c>
      <c r="N96" s="10" t="s">
        <v>100</v>
      </c>
      <c r="O96" s="10" t="s">
        <v>100</v>
      </c>
      <c r="P96" s="10" t="s">
        <v>100</v>
      </c>
      <c r="Q96" s="10" t="s">
        <v>100</v>
      </c>
      <c r="R96" s="10" t="s">
        <v>100</v>
      </c>
      <c r="S96" s="10" t="s">
        <v>100</v>
      </c>
      <c r="T96" s="10" t="s">
        <v>100</v>
      </c>
      <c r="U96" s="10" t="s">
        <v>100</v>
      </c>
      <c r="V96" s="10" t="s">
        <v>100</v>
      </c>
      <c r="W96" s="1"/>
      <c r="X96" s="1"/>
      <c r="Y96" s="1"/>
      <c r="Z96" s="1">
        <v>4.9000000000000004</v>
      </c>
      <c r="AA96" s="1">
        <v>2.19</v>
      </c>
      <c r="AB96" s="1"/>
      <c r="AC96" s="1"/>
      <c r="AD96" s="1"/>
      <c r="AE96" s="1">
        <v>8.879999999999999</v>
      </c>
      <c r="AF96" s="1"/>
      <c r="AH96" s="57"/>
    </row>
    <row r="97" spans="1:34" ht="15" customHeight="1">
      <c r="A97" s="1"/>
      <c r="B97" s="1"/>
      <c r="C97" s="1"/>
      <c r="D97" s="1">
        <v>5</v>
      </c>
      <c r="E97" s="10" t="s">
        <v>100</v>
      </c>
      <c r="F97" s="10" t="s">
        <v>100</v>
      </c>
      <c r="G97" s="10" t="s">
        <v>100</v>
      </c>
      <c r="H97" s="10" t="s">
        <v>100</v>
      </c>
      <c r="I97" s="10" t="s">
        <v>100</v>
      </c>
      <c r="J97" s="10" t="s">
        <v>100</v>
      </c>
      <c r="K97" s="10" t="s">
        <v>100</v>
      </c>
      <c r="L97" s="10" t="s">
        <v>100</v>
      </c>
      <c r="M97" s="10" t="s">
        <v>100</v>
      </c>
      <c r="N97" s="10" t="s">
        <v>100</v>
      </c>
      <c r="O97" s="10" t="s">
        <v>100</v>
      </c>
      <c r="P97" s="10" t="s">
        <v>100</v>
      </c>
      <c r="Q97" s="10" t="s">
        <v>100</v>
      </c>
      <c r="R97" s="10" t="s">
        <v>100</v>
      </c>
      <c r="S97" s="10" t="s">
        <v>100</v>
      </c>
      <c r="T97" s="10" t="s">
        <v>100</v>
      </c>
      <c r="U97" s="10" t="s">
        <v>100</v>
      </c>
      <c r="V97" s="10" t="s">
        <v>100</v>
      </c>
      <c r="W97" s="1"/>
      <c r="X97" s="1"/>
      <c r="Y97" s="1"/>
      <c r="Z97" s="1">
        <v>7.5</v>
      </c>
      <c r="AA97" s="1">
        <v>1.29</v>
      </c>
      <c r="AB97" s="1">
        <f>AVERAGEA(AA93:AA97)</f>
        <v>1.7119999999999997</v>
      </c>
      <c r="AC97" s="1"/>
      <c r="AD97" s="1"/>
      <c r="AE97" s="1">
        <v>4.51</v>
      </c>
      <c r="AF97" s="1">
        <f>AVERAGEA(AE93:AE97)</f>
        <v>7.7333333333333325</v>
      </c>
      <c r="AH97" s="57"/>
    </row>
    <row r="98" spans="1:34" ht="15" customHeight="1">
      <c r="A98" s="1"/>
      <c r="B98" s="1"/>
      <c r="C98" s="1">
        <v>4</v>
      </c>
      <c r="D98" s="1">
        <v>1</v>
      </c>
      <c r="E98" s="10" t="s">
        <v>100</v>
      </c>
      <c r="F98" s="10" t="s">
        <v>100</v>
      </c>
      <c r="G98" s="10" t="s">
        <v>100</v>
      </c>
      <c r="H98" s="10" t="s">
        <v>100</v>
      </c>
      <c r="I98" s="10" t="s">
        <v>100</v>
      </c>
      <c r="J98" s="10" t="s">
        <v>100</v>
      </c>
      <c r="K98" s="10" t="s">
        <v>100</v>
      </c>
      <c r="L98" s="10" t="s">
        <v>100</v>
      </c>
      <c r="M98" s="10" t="s">
        <v>100</v>
      </c>
      <c r="N98" s="10" t="s">
        <v>100</v>
      </c>
      <c r="O98" s="10" t="s">
        <v>100</v>
      </c>
      <c r="P98" s="10" t="s">
        <v>100</v>
      </c>
      <c r="Q98" s="10" t="s">
        <v>100</v>
      </c>
      <c r="R98" s="10" t="s">
        <v>100</v>
      </c>
      <c r="S98" s="10" t="s">
        <v>100</v>
      </c>
      <c r="T98" s="10" t="s">
        <v>100</v>
      </c>
      <c r="U98" s="10" t="s">
        <v>100</v>
      </c>
      <c r="V98" s="10" t="s">
        <v>100</v>
      </c>
      <c r="W98" s="1"/>
      <c r="X98" s="1"/>
      <c r="Y98" s="1"/>
      <c r="Z98" s="1">
        <v>9.8000000000000007</v>
      </c>
      <c r="AA98" s="1">
        <v>3.16</v>
      </c>
      <c r="AB98" s="1"/>
      <c r="AC98" s="1"/>
      <c r="AD98" s="1"/>
      <c r="AE98" s="1">
        <v>6.83</v>
      </c>
      <c r="AF98" s="1"/>
      <c r="AH98" s="57"/>
    </row>
    <row r="99" spans="1:34" ht="15" customHeight="1">
      <c r="A99" s="1"/>
      <c r="B99" s="1"/>
      <c r="C99" s="1"/>
      <c r="D99" s="1">
        <v>2</v>
      </c>
      <c r="E99" s="10" t="s">
        <v>100</v>
      </c>
      <c r="F99" s="10" t="s">
        <v>100</v>
      </c>
      <c r="G99" s="10" t="s">
        <v>100</v>
      </c>
      <c r="H99" s="10" t="s">
        <v>100</v>
      </c>
      <c r="I99" s="10" t="s">
        <v>100</v>
      </c>
      <c r="J99" s="10" t="s">
        <v>100</v>
      </c>
      <c r="K99" s="10" t="s">
        <v>100</v>
      </c>
      <c r="L99" s="10" t="s">
        <v>100</v>
      </c>
      <c r="M99" s="10" t="s">
        <v>100</v>
      </c>
      <c r="N99" s="10" t="s">
        <v>100</v>
      </c>
      <c r="O99" s="10" t="s">
        <v>100</v>
      </c>
      <c r="P99" s="10" t="s">
        <v>100</v>
      </c>
      <c r="Q99" s="10" t="s">
        <v>100</v>
      </c>
      <c r="R99" s="10" t="s">
        <v>100</v>
      </c>
      <c r="S99" s="10" t="s">
        <v>100</v>
      </c>
      <c r="T99" s="10" t="s">
        <v>100</v>
      </c>
      <c r="U99" s="10" t="s">
        <v>100</v>
      </c>
      <c r="V99" s="10" t="s">
        <v>100</v>
      </c>
      <c r="W99" s="1"/>
      <c r="X99" s="1"/>
      <c r="Y99" s="1"/>
      <c r="Z99" s="1">
        <v>6.6</v>
      </c>
      <c r="AA99" s="1">
        <v>1.95</v>
      </c>
      <c r="AB99" s="1"/>
      <c r="AC99" s="1"/>
      <c r="AD99" s="1"/>
      <c r="AE99" s="1">
        <v>5.64</v>
      </c>
      <c r="AF99" s="1"/>
      <c r="AH99" s="57"/>
    </row>
    <row r="100" spans="1:34" ht="15" customHeight="1">
      <c r="A100" s="1"/>
      <c r="B100" s="1"/>
      <c r="C100" s="1"/>
      <c r="D100" s="1">
        <v>3</v>
      </c>
      <c r="E100" s="10" t="s">
        <v>100</v>
      </c>
      <c r="F100" s="10" t="s">
        <v>100</v>
      </c>
      <c r="G100" s="10" t="s">
        <v>100</v>
      </c>
      <c r="H100" s="10" t="s">
        <v>100</v>
      </c>
      <c r="I100" s="10" t="s">
        <v>100</v>
      </c>
      <c r="J100" s="10" t="s">
        <v>100</v>
      </c>
      <c r="K100" s="10" t="s">
        <v>100</v>
      </c>
      <c r="L100" s="10" t="s">
        <v>100</v>
      </c>
      <c r="M100" s="10" t="s">
        <v>100</v>
      </c>
      <c r="N100" s="10" t="s">
        <v>100</v>
      </c>
      <c r="O100" s="10" t="s">
        <v>100</v>
      </c>
      <c r="P100" s="10" t="s">
        <v>100</v>
      </c>
      <c r="Q100" s="10" t="s">
        <v>100</v>
      </c>
      <c r="R100" s="10" t="s">
        <v>100</v>
      </c>
      <c r="S100" s="10" t="s">
        <v>100</v>
      </c>
      <c r="T100" s="10" t="s">
        <v>100</v>
      </c>
      <c r="U100" s="10" t="s">
        <v>100</v>
      </c>
      <c r="V100" s="10" t="s">
        <v>100</v>
      </c>
      <c r="W100" s="1"/>
      <c r="X100" s="1"/>
      <c r="Y100" s="1"/>
      <c r="Z100" s="1">
        <v>4.9000000000000004</v>
      </c>
      <c r="AA100" s="1">
        <v>1</v>
      </c>
      <c r="AB100" s="1"/>
      <c r="AC100" s="1"/>
      <c r="AD100" s="1"/>
      <c r="AE100" s="1">
        <v>3.24</v>
      </c>
      <c r="AF100" s="1"/>
      <c r="AH100" s="57"/>
    </row>
    <row r="101" spans="1:34" ht="15" customHeight="1">
      <c r="A101" s="1"/>
      <c r="B101" s="1"/>
      <c r="C101" s="1"/>
      <c r="D101" s="1">
        <v>4</v>
      </c>
      <c r="E101" s="10" t="s">
        <v>100</v>
      </c>
      <c r="F101" s="10" t="s">
        <v>100</v>
      </c>
      <c r="G101" s="10" t="s">
        <v>100</v>
      </c>
      <c r="H101" s="10" t="s">
        <v>100</v>
      </c>
      <c r="I101" s="10" t="s">
        <v>100</v>
      </c>
      <c r="J101" s="10" t="s">
        <v>100</v>
      </c>
      <c r="K101" s="10" t="s">
        <v>100</v>
      </c>
      <c r="L101" s="10" t="s">
        <v>100</v>
      </c>
      <c r="M101" s="10" t="s">
        <v>100</v>
      </c>
      <c r="N101" s="10" t="s">
        <v>100</v>
      </c>
      <c r="O101" s="10" t="s">
        <v>100</v>
      </c>
      <c r="P101" s="10" t="s">
        <v>100</v>
      </c>
      <c r="Q101" s="10" t="s">
        <v>100</v>
      </c>
      <c r="R101" s="10" t="s">
        <v>100</v>
      </c>
      <c r="S101" s="10" t="s">
        <v>100</v>
      </c>
      <c r="T101" s="10" t="s">
        <v>100</v>
      </c>
      <c r="U101" s="10" t="s">
        <v>100</v>
      </c>
      <c r="V101" s="10" t="s">
        <v>100</v>
      </c>
      <c r="W101" s="1"/>
      <c r="X101" s="1"/>
      <c r="Y101" s="1"/>
      <c r="Z101" s="1">
        <v>4.9000000000000004</v>
      </c>
      <c r="AA101" s="1">
        <v>0.91</v>
      </c>
      <c r="AB101" s="1"/>
      <c r="AC101" s="1"/>
      <c r="AD101" s="1"/>
      <c r="AE101" s="1">
        <v>3.13</v>
      </c>
      <c r="AF101" s="1"/>
      <c r="AH101" s="57"/>
    </row>
    <row r="102" spans="1:34" ht="15" customHeight="1">
      <c r="A102" s="1"/>
      <c r="B102" s="1"/>
      <c r="C102" s="1"/>
      <c r="D102" s="1">
        <v>5</v>
      </c>
      <c r="E102" s="10" t="s">
        <v>100</v>
      </c>
      <c r="F102" s="10" t="s">
        <v>100</v>
      </c>
      <c r="G102" s="10" t="s">
        <v>100</v>
      </c>
      <c r="H102" s="10" t="s">
        <v>100</v>
      </c>
      <c r="I102" s="10" t="s">
        <v>100</v>
      </c>
      <c r="J102" s="10" t="s">
        <v>100</v>
      </c>
      <c r="K102" s="10" t="s">
        <v>100</v>
      </c>
      <c r="L102" s="10" t="s">
        <v>100</v>
      </c>
      <c r="M102" s="10" t="s">
        <v>100</v>
      </c>
      <c r="N102" s="10" t="s">
        <v>100</v>
      </c>
      <c r="O102" s="10" t="s">
        <v>100</v>
      </c>
      <c r="P102" s="10" t="s">
        <v>100</v>
      </c>
      <c r="Q102" s="10" t="s">
        <v>100</v>
      </c>
      <c r="R102" s="10" t="s">
        <v>100</v>
      </c>
      <c r="S102" s="10" t="s">
        <v>100</v>
      </c>
      <c r="T102" s="10" t="s">
        <v>100</v>
      </c>
      <c r="U102" s="10" t="s">
        <v>100</v>
      </c>
      <c r="V102" s="10" t="s">
        <v>100</v>
      </c>
      <c r="W102" s="1"/>
      <c r="X102" s="1"/>
      <c r="Y102" s="1"/>
      <c r="Z102" s="1">
        <v>3.9</v>
      </c>
      <c r="AA102" s="1">
        <v>0.55000000000000004</v>
      </c>
      <c r="AB102" s="1">
        <f>AVERAGEA(AA98:AA102)</f>
        <v>1.514</v>
      </c>
      <c r="AC102" s="1"/>
      <c r="AD102" s="1"/>
      <c r="AE102" s="1">
        <v>3.42</v>
      </c>
      <c r="AF102" s="1">
        <f>AVERAGEA(AE98:AE102)</f>
        <v>4.452</v>
      </c>
      <c r="AH102" s="57"/>
    </row>
    <row r="103" spans="1:34" ht="15" customHeight="1">
      <c r="A103" s="1" t="s">
        <v>37</v>
      </c>
      <c r="B103" s="1" t="s">
        <v>101</v>
      </c>
      <c r="C103" s="1">
        <v>1</v>
      </c>
      <c r="D103" s="1">
        <v>1</v>
      </c>
      <c r="E103" s="1">
        <v>4.5999999999999996</v>
      </c>
      <c r="F103" s="1"/>
      <c r="G103" s="1"/>
      <c r="H103" s="1"/>
      <c r="I103" s="1">
        <v>22.7</v>
      </c>
      <c r="J103" s="1"/>
      <c r="K103" s="1"/>
      <c r="L103" s="1"/>
      <c r="M103" s="1">
        <v>0.33</v>
      </c>
      <c r="N103" s="1"/>
      <c r="O103" s="1"/>
      <c r="P103" s="1">
        <v>44.67</v>
      </c>
      <c r="Q103" s="1"/>
      <c r="R103" s="1"/>
      <c r="S103" s="1">
        <v>0.13</v>
      </c>
      <c r="T103" s="1"/>
      <c r="U103" s="1"/>
      <c r="V103" s="1">
        <v>0.84</v>
      </c>
      <c r="W103" s="1">
        <f t="shared" ref="W103:W109" si="6">SUM(E103:V103)</f>
        <v>73.27</v>
      </c>
      <c r="X103" s="1"/>
      <c r="Y103" s="1"/>
      <c r="Z103" s="1">
        <v>8.6999999999999993</v>
      </c>
      <c r="AA103" s="1">
        <v>4.29</v>
      </c>
      <c r="AB103" s="1"/>
      <c r="AC103" s="1"/>
      <c r="AD103" s="1"/>
      <c r="AE103" s="1">
        <v>3.62</v>
      </c>
      <c r="AF103" s="1"/>
      <c r="AH103" s="57"/>
    </row>
    <row r="104" spans="1:34" ht="15" customHeight="1">
      <c r="A104" s="1"/>
      <c r="B104" s="1"/>
      <c r="C104" s="1"/>
      <c r="D104" s="1">
        <v>2</v>
      </c>
      <c r="E104" s="1">
        <v>15.72</v>
      </c>
      <c r="F104" s="1"/>
      <c r="G104" s="1"/>
      <c r="H104" s="1">
        <v>1.42</v>
      </c>
      <c r="I104" s="1">
        <v>24.53</v>
      </c>
      <c r="J104" s="1"/>
      <c r="K104" s="1"/>
      <c r="L104" s="1"/>
      <c r="M104" s="1">
        <v>0.28999999999999998</v>
      </c>
      <c r="N104" s="1"/>
      <c r="O104" s="1">
        <v>0.18</v>
      </c>
      <c r="P104" s="1">
        <v>20.38</v>
      </c>
      <c r="Q104" s="1"/>
      <c r="R104" s="1"/>
      <c r="S104" s="1"/>
      <c r="T104" s="1"/>
      <c r="U104" s="1"/>
      <c r="V104" s="1">
        <v>1.44</v>
      </c>
      <c r="W104" s="1">
        <f t="shared" si="6"/>
        <v>63.959999999999994</v>
      </c>
      <c r="X104" s="1"/>
      <c r="Y104" s="1"/>
      <c r="Z104" s="1">
        <v>5.3</v>
      </c>
      <c r="AA104" s="1">
        <v>0.67</v>
      </c>
      <c r="AB104" s="1"/>
      <c r="AC104" s="1"/>
      <c r="AD104" s="1"/>
      <c r="AE104" s="1">
        <v>2.2599999999999998</v>
      </c>
      <c r="AF104" s="1"/>
      <c r="AH104" s="57"/>
    </row>
    <row r="105" spans="1:34" ht="15" customHeight="1">
      <c r="A105" s="1"/>
      <c r="B105" s="1"/>
      <c r="C105" s="1"/>
      <c r="D105" s="1">
        <v>3</v>
      </c>
      <c r="E105" s="1">
        <v>7.25</v>
      </c>
      <c r="F105" s="1"/>
      <c r="G105" s="1"/>
      <c r="H105" s="1"/>
      <c r="I105" s="1">
        <v>27.3</v>
      </c>
      <c r="J105" s="1"/>
      <c r="K105" s="1"/>
      <c r="L105" s="1"/>
      <c r="M105" s="1">
        <v>0.54</v>
      </c>
      <c r="N105" s="1"/>
      <c r="O105" s="1"/>
      <c r="P105" s="1">
        <v>27.1</v>
      </c>
      <c r="Q105" s="1"/>
      <c r="R105" s="1"/>
      <c r="S105" s="1">
        <v>1.66</v>
      </c>
      <c r="T105" s="1"/>
      <c r="U105" s="1">
        <v>0.45</v>
      </c>
      <c r="V105" s="1">
        <v>2.63</v>
      </c>
      <c r="W105" s="1">
        <f t="shared" si="6"/>
        <v>66.929999999999993</v>
      </c>
      <c r="X105" s="1"/>
      <c r="Y105" s="1"/>
      <c r="Z105" s="1">
        <v>3.9</v>
      </c>
      <c r="AA105" s="1">
        <v>0.56999999999999995</v>
      </c>
      <c r="AB105" s="1"/>
      <c r="AC105" s="1"/>
      <c r="AD105" s="1"/>
      <c r="AE105" s="1">
        <v>1.45</v>
      </c>
      <c r="AF105" s="1"/>
      <c r="AH105" s="57"/>
    </row>
    <row r="106" spans="1:34" ht="15" customHeight="1">
      <c r="A106" s="1"/>
      <c r="B106" s="1"/>
      <c r="C106" s="1"/>
      <c r="D106" s="1">
        <v>4</v>
      </c>
      <c r="E106" s="1">
        <v>2.87</v>
      </c>
      <c r="F106" s="1"/>
      <c r="G106" s="1"/>
      <c r="H106" s="1"/>
      <c r="I106" s="1">
        <v>37.450000000000003</v>
      </c>
      <c r="J106" s="1"/>
      <c r="K106" s="1"/>
      <c r="L106" s="1"/>
      <c r="M106" s="1">
        <v>0.17</v>
      </c>
      <c r="N106" s="1"/>
      <c r="O106" s="1"/>
      <c r="P106" s="1">
        <v>25.08</v>
      </c>
      <c r="Q106" s="1">
        <v>0.22</v>
      </c>
      <c r="R106" s="1">
        <v>6.91</v>
      </c>
      <c r="S106" s="1"/>
      <c r="T106" s="1"/>
      <c r="U106" s="1"/>
      <c r="V106" s="1"/>
      <c r="W106" s="1">
        <f t="shared" si="6"/>
        <v>72.699999999999989</v>
      </c>
      <c r="X106" s="1"/>
      <c r="Y106" s="1"/>
      <c r="Z106" s="1">
        <v>9.6</v>
      </c>
      <c r="AA106" s="1">
        <v>7.0000000000000007E-2</v>
      </c>
      <c r="AB106" s="1"/>
      <c r="AC106" s="1"/>
      <c r="AD106" s="1"/>
      <c r="AE106" s="1">
        <v>1.99</v>
      </c>
      <c r="AF106" s="1"/>
      <c r="AH106" s="57"/>
    </row>
    <row r="107" spans="1:34" ht="15" customHeight="1">
      <c r="A107" s="1"/>
      <c r="B107" s="1"/>
      <c r="C107" s="1"/>
      <c r="D107" s="1">
        <v>5</v>
      </c>
      <c r="E107" s="1"/>
      <c r="F107" s="1"/>
      <c r="G107" s="1"/>
      <c r="H107" s="1"/>
      <c r="I107" s="1">
        <v>23.91</v>
      </c>
      <c r="J107" s="1"/>
      <c r="K107" s="1"/>
      <c r="L107" s="1"/>
      <c r="M107" s="1">
        <v>0.77</v>
      </c>
      <c r="N107" s="1"/>
      <c r="O107" s="1">
        <v>0.02</v>
      </c>
      <c r="P107" s="1">
        <v>29.15</v>
      </c>
      <c r="Q107" s="1"/>
      <c r="R107" s="1"/>
      <c r="S107" s="1"/>
      <c r="T107" s="1"/>
      <c r="U107" s="1"/>
      <c r="V107" s="1">
        <v>2.78</v>
      </c>
      <c r="W107" s="1">
        <f t="shared" si="6"/>
        <v>56.629999999999995</v>
      </c>
      <c r="X107" s="1">
        <f>AVERAGE(W103:W107)</f>
        <v>66.697999999999993</v>
      </c>
      <c r="Y107" s="1"/>
      <c r="Z107" s="1">
        <v>9.6999999999999993</v>
      </c>
      <c r="AA107" s="1">
        <v>4.29</v>
      </c>
      <c r="AB107" s="1">
        <f>AVERAGE(AA103:AA107)</f>
        <v>1.9780000000000002</v>
      </c>
      <c r="AC107" s="1"/>
      <c r="AD107" s="1"/>
      <c r="AE107" s="1">
        <v>3.27</v>
      </c>
      <c r="AF107" s="1">
        <f>AVERAGE(AE103:AE107)</f>
        <v>2.5179999999999998</v>
      </c>
      <c r="AH107" s="57"/>
    </row>
    <row r="108" spans="1:34" ht="15" customHeight="1">
      <c r="A108" s="1"/>
      <c r="B108" s="1"/>
      <c r="C108" s="1">
        <v>2</v>
      </c>
      <c r="D108" s="1">
        <v>1</v>
      </c>
      <c r="E108" s="1">
        <v>6.39</v>
      </c>
      <c r="F108" s="1"/>
      <c r="G108" s="1"/>
      <c r="H108" s="1">
        <v>1.99</v>
      </c>
      <c r="I108" s="1">
        <v>18.420000000000002</v>
      </c>
      <c r="J108" s="1"/>
      <c r="K108" s="1"/>
      <c r="L108" s="1"/>
      <c r="M108" s="1"/>
      <c r="N108" s="1"/>
      <c r="O108" s="1">
        <v>0.95</v>
      </c>
      <c r="P108" s="1">
        <v>34.380000000000003</v>
      </c>
      <c r="Q108" s="1"/>
      <c r="R108" s="1"/>
      <c r="S108" s="1">
        <v>0.72</v>
      </c>
      <c r="T108" s="1"/>
      <c r="U108" s="1"/>
      <c r="V108" s="1">
        <v>2.52</v>
      </c>
      <c r="W108" s="1">
        <f t="shared" si="6"/>
        <v>65.37</v>
      </c>
      <c r="X108" s="1"/>
      <c r="Y108" s="1"/>
      <c r="Z108" s="1">
        <v>5.7</v>
      </c>
      <c r="AA108" s="1">
        <v>1.33</v>
      </c>
      <c r="AB108" s="1"/>
      <c r="AC108" s="1"/>
      <c r="AD108" s="1"/>
      <c r="AE108" s="1">
        <v>2.77</v>
      </c>
      <c r="AF108" s="1"/>
      <c r="AH108" s="57"/>
    </row>
    <row r="109" spans="1:34" ht="15" customHeight="1">
      <c r="A109" s="1"/>
      <c r="B109" s="1"/>
      <c r="C109" s="1"/>
      <c r="D109" s="1">
        <v>2</v>
      </c>
      <c r="E109" s="1">
        <v>6.65</v>
      </c>
      <c r="F109" s="1"/>
      <c r="G109" s="1"/>
      <c r="H109" s="1">
        <v>0.34</v>
      </c>
      <c r="I109" s="1">
        <v>29.95</v>
      </c>
      <c r="J109" s="1"/>
      <c r="K109" s="1"/>
      <c r="L109" s="1"/>
      <c r="M109" s="1"/>
      <c r="N109" s="1"/>
      <c r="O109" s="1"/>
      <c r="P109" s="1">
        <v>15.13</v>
      </c>
      <c r="Q109" s="1"/>
      <c r="R109" s="1"/>
      <c r="S109" s="1"/>
      <c r="T109" s="1"/>
      <c r="U109" s="1"/>
      <c r="V109" s="1">
        <v>3.41</v>
      </c>
      <c r="W109" s="1">
        <f t="shared" si="6"/>
        <v>55.480000000000004</v>
      </c>
      <c r="X109" s="1"/>
      <c r="Y109" s="1"/>
      <c r="Z109" s="1">
        <v>8.4</v>
      </c>
      <c r="AA109" s="1">
        <v>0.55000000000000004</v>
      </c>
      <c r="AB109" s="1"/>
      <c r="AC109" s="1"/>
      <c r="AD109" s="1"/>
      <c r="AE109" s="1">
        <v>1.4</v>
      </c>
      <c r="AF109" s="1"/>
      <c r="AH109" s="57"/>
    </row>
    <row r="110" spans="1:34" ht="15" customHeight="1">
      <c r="A110" s="1"/>
      <c r="B110" s="1"/>
      <c r="C110" s="1"/>
      <c r="D110" s="1">
        <v>3</v>
      </c>
      <c r="E110" s="1"/>
      <c r="F110" s="1"/>
      <c r="G110" s="1"/>
      <c r="H110" s="1"/>
      <c r="I110" s="1"/>
      <c r="J110" s="1"/>
      <c r="K110" s="1"/>
      <c r="L110" s="1"/>
      <c r="M110" s="1"/>
      <c r="N110" s="1"/>
      <c r="O110" s="1"/>
      <c r="P110" s="1"/>
      <c r="Q110" s="1"/>
      <c r="R110" s="1"/>
      <c r="S110" s="1">
        <v>0.16</v>
      </c>
      <c r="T110" s="1"/>
      <c r="U110" s="1"/>
      <c r="V110" s="1"/>
      <c r="W110" s="8">
        <v>69.247500000000002</v>
      </c>
      <c r="X110" s="1"/>
      <c r="Y110" s="1"/>
      <c r="Z110" s="1">
        <v>5.7</v>
      </c>
      <c r="AA110" s="1">
        <v>1.52</v>
      </c>
      <c r="AB110" s="1"/>
      <c r="AC110" s="1"/>
      <c r="AD110" s="1"/>
      <c r="AE110" s="1">
        <v>2.48</v>
      </c>
      <c r="AF110" s="1"/>
      <c r="AH110" s="57"/>
    </row>
    <row r="111" spans="1:34" ht="15" customHeight="1">
      <c r="A111" s="1"/>
      <c r="B111" s="1"/>
      <c r="C111" s="1"/>
      <c r="D111" s="1">
        <v>4</v>
      </c>
      <c r="E111" s="1">
        <v>5.7</v>
      </c>
      <c r="F111" s="1"/>
      <c r="G111" s="1"/>
      <c r="H111" s="1">
        <v>0.78</v>
      </c>
      <c r="I111" s="1">
        <v>29.47</v>
      </c>
      <c r="J111" s="1"/>
      <c r="K111" s="1"/>
      <c r="L111" s="1"/>
      <c r="M111" s="1">
        <v>0.2</v>
      </c>
      <c r="N111" s="1"/>
      <c r="O111" s="1">
        <v>0.54</v>
      </c>
      <c r="P111" s="1">
        <v>19.829999999999998</v>
      </c>
      <c r="Q111" s="1"/>
      <c r="R111" s="1"/>
      <c r="S111" s="1"/>
      <c r="T111" s="1"/>
      <c r="U111" s="1"/>
      <c r="V111" s="1">
        <v>12.47</v>
      </c>
      <c r="W111" s="1">
        <f t="shared" ref="W111:W113" si="7">SUM(E111:V111)</f>
        <v>68.990000000000009</v>
      </c>
      <c r="X111" s="1"/>
      <c r="Y111" s="1"/>
      <c r="Z111" s="1">
        <v>9.8000000000000007</v>
      </c>
      <c r="AA111" s="1">
        <v>1.1100000000000001</v>
      </c>
      <c r="AB111" s="1"/>
      <c r="AC111" s="1"/>
      <c r="AD111" s="1"/>
      <c r="AE111" s="1">
        <v>3.99</v>
      </c>
      <c r="AF111" s="1"/>
      <c r="AH111" s="57"/>
    </row>
    <row r="112" spans="1:34" ht="15" customHeight="1">
      <c r="A112" s="1"/>
      <c r="B112" s="1"/>
      <c r="C112" s="1"/>
      <c r="D112" s="1">
        <v>5</v>
      </c>
      <c r="E112" s="1">
        <v>12.83</v>
      </c>
      <c r="F112" s="1"/>
      <c r="G112" s="1"/>
      <c r="H112" s="1">
        <v>1.62</v>
      </c>
      <c r="I112" s="1">
        <v>20.37</v>
      </c>
      <c r="J112" s="1"/>
      <c r="K112" s="1"/>
      <c r="L112" s="1"/>
      <c r="M112" s="1"/>
      <c r="N112" s="1"/>
      <c r="O112" s="1">
        <v>4.79</v>
      </c>
      <c r="P112" s="1">
        <v>44.06</v>
      </c>
      <c r="Q112" s="1"/>
      <c r="R112" s="1"/>
      <c r="S112" s="1"/>
      <c r="T112" s="1"/>
      <c r="U112" s="1"/>
      <c r="V112" s="1">
        <v>3.48</v>
      </c>
      <c r="W112" s="1">
        <f t="shared" si="7"/>
        <v>87.15</v>
      </c>
      <c r="X112" s="1">
        <f>AVERAGE(W108:W112)</f>
        <v>69.247500000000016</v>
      </c>
      <c r="Y112" s="1"/>
      <c r="Z112" s="1">
        <v>14</v>
      </c>
      <c r="AA112" s="1">
        <v>6.51</v>
      </c>
      <c r="AB112" s="1">
        <f>AVERAGE(AA108:AA112)</f>
        <v>2.2039999999999997</v>
      </c>
      <c r="AC112" s="1"/>
      <c r="AD112" s="1"/>
      <c r="AE112" s="1">
        <v>4.07</v>
      </c>
      <c r="AF112" s="1">
        <f>AVERAGE(AE108:AE112)</f>
        <v>2.9420000000000002</v>
      </c>
      <c r="AH112" s="57"/>
    </row>
    <row r="113" spans="1:34" ht="15" customHeight="1">
      <c r="A113" s="1"/>
      <c r="B113" s="1"/>
      <c r="C113" s="1">
        <v>3</v>
      </c>
      <c r="D113" s="1">
        <v>1</v>
      </c>
      <c r="E113" s="1">
        <v>5.7</v>
      </c>
      <c r="F113" s="1"/>
      <c r="G113" s="1">
        <v>0.15</v>
      </c>
      <c r="H113" s="1"/>
      <c r="I113" s="1">
        <v>30.45</v>
      </c>
      <c r="J113" s="1"/>
      <c r="K113" s="1"/>
      <c r="L113" s="1"/>
      <c r="M113" s="1">
        <v>1</v>
      </c>
      <c r="N113" s="1"/>
      <c r="O113" s="1">
        <v>0.39</v>
      </c>
      <c r="P113" s="1">
        <v>8.27</v>
      </c>
      <c r="Q113" s="1"/>
      <c r="R113" s="1"/>
      <c r="S113" s="1">
        <v>0.4</v>
      </c>
      <c r="T113" s="1"/>
      <c r="U113" s="1"/>
      <c r="V113" s="1">
        <v>2.17</v>
      </c>
      <c r="W113" s="1">
        <f t="shared" si="7"/>
        <v>48.529999999999994</v>
      </c>
      <c r="X113" s="1"/>
      <c r="Y113" s="1"/>
      <c r="Z113" s="1">
        <v>4.9000000000000004</v>
      </c>
      <c r="AA113" s="1">
        <v>0.94</v>
      </c>
      <c r="AB113" s="1"/>
      <c r="AC113" s="1"/>
      <c r="AD113" s="1"/>
      <c r="AE113" s="1">
        <v>2.16</v>
      </c>
      <c r="AF113" s="1"/>
      <c r="AH113" s="57"/>
    </row>
    <row r="114" spans="1:34" ht="15" customHeight="1">
      <c r="A114" s="1"/>
      <c r="B114" s="1"/>
      <c r="C114" s="1"/>
      <c r="D114" s="1">
        <v>2</v>
      </c>
      <c r="E114" s="1"/>
      <c r="F114" s="1"/>
      <c r="G114" s="1"/>
      <c r="H114" s="1"/>
      <c r="I114" s="1"/>
      <c r="J114" s="1"/>
      <c r="K114" s="1"/>
      <c r="L114" s="1"/>
      <c r="M114" s="1">
        <v>0.27</v>
      </c>
      <c r="N114" s="1"/>
      <c r="O114" s="1"/>
      <c r="P114" s="1"/>
      <c r="Q114" s="1"/>
      <c r="R114" s="1"/>
      <c r="S114" s="1">
        <v>0.33</v>
      </c>
      <c r="T114" s="1"/>
      <c r="U114" s="1"/>
      <c r="V114" s="1"/>
      <c r="W114" s="8">
        <v>55.207499999999996</v>
      </c>
      <c r="X114" s="1"/>
      <c r="Y114" s="1"/>
      <c r="Z114" s="1">
        <v>9.1</v>
      </c>
      <c r="AA114" s="1">
        <v>9.25</v>
      </c>
      <c r="AB114" s="1"/>
      <c r="AC114" s="1"/>
      <c r="AD114" s="1"/>
      <c r="AE114" s="1">
        <v>3.63</v>
      </c>
      <c r="AF114" s="1"/>
      <c r="AH114" s="57"/>
    </row>
    <row r="115" spans="1:34" ht="15" customHeight="1">
      <c r="A115" s="1"/>
      <c r="B115" s="1"/>
      <c r="C115" s="1"/>
      <c r="D115" s="1">
        <v>3</v>
      </c>
      <c r="E115" s="1">
        <v>1.1299999999999999</v>
      </c>
      <c r="F115" s="1"/>
      <c r="G115" s="1"/>
      <c r="H115" s="1"/>
      <c r="I115" s="1">
        <v>16.059999999999999</v>
      </c>
      <c r="J115" s="1"/>
      <c r="K115" s="1"/>
      <c r="L115" s="1"/>
      <c r="M115" s="1">
        <v>3.41</v>
      </c>
      <c r="N115" s="1"/>
      <c r="O115" s="1"/>
      <c r="P115" s="1">
        <v>23.74</v>
      </c>
      <c r="Q115" s="1"/>
      <c r="R115" s="1"/>
      <c r="S115" s="1">
        <v>0.05</v>
      </c>
      <c r="T115" s="1"/>
      <c r="U115" s="1"/>
      <c r="V115" s="1">
        <v>8.26</v>
      </c>
      <c r="W115" s="1">
        <f t="shared" ref="W115:W127" si="8">SUM(E115:V115)</f>
        <v>52.649999999999991</v>
      </c>
      <c r="X115" s="1"/>
      <c r="Y115" s="1"/>
      <c r="Z115" s="1">
        <v>4.2</v>
      </c>
      <c r="AA115" s="1">
        <v>1.02</v>
      </c>
      <c r="AB115" s="1"/>
      <c r="AC115" s="1"/>
      <c r="AD115" s="1"/>
      <c r="AE115" s="1">
        <v>2.6</v>
      </c>
      <c r="AF115" s="1"/>
      <c r="AH115" s="57"/>
    </row>
    <row r="116" spans="1:34" ht="15" customHeight="1">
      <c r="A116" s="1"/>
      <c r="B116" s="1"/>
      <c r="C116" s="1"/>
      <c r="D116" s="1">
        <v>4</v>
      </c>
      <c r="E116" s="1">
        <v>1.78</v>
      </c>
      <c r="F116" s="1"/>
      <c r="G116" s="1"/>
      <c r="H116" s="1"/>
      <c r="I116" s="1">
        <v>18.48</v>
      </c>
      <c r="J116" s="1"/>
      <c r="K116" s="1"/>
      <c r="L116" s="1"/>
      <c r="M116" s="1">
        <v>5.23</v>
      </c>
      <c r="N116" s="1"/>
      <c r="O116" s="1">
        <v>0.61</v>
      </c>
      <c r="P116" s="1">
        <v>13.06</v>
      </c>
      <c r="Q116" s="1"/>
      <c r="R116" s="1"/>
      <c r="S116" s="1">
        <v>0.14000000000000001</v>
      </c>
      <c r="T116" s="1"/>
      <c r="U116" s="1"/>
      <c r="V116" s="1">
        <v>16.079999999999998</v>
      </c>
      <c r="W116" s="1">
        <f t="shared" si="8"/>
        <v>55.38</v>
      </c>
      <c r="X116" s="1"/>
      <c r="Y116" s="1"/>
      <c r="Z116" s="1">
        <v>8.8000000000000007</v>
      </c>
      <c r="AA116" s="1">
        <v>1.52</v>
      </c>
      <c r="AB116" s="1"/>
      <c r="AC116" s="1"/>
      <c r="AD116" s="1"/>
      <c r="AE116" s="1">
        <v>3.03</v>
      </c>
      <c r="AF116" s="1"/>
      <c r="AH116" s="57"/>
    </row>
    <row r="117" spans="1:34" ht="15" customHeight="1">
      <c r="A117" s="1"/>
      <c r="B117" s="1"/>
      <c r="C117" s="1"/>
      <c r="D117" s="1">
        <v>5</v>
      </c>
      <c r="E117" s="1">
        <v>2.06</v>
      </c>
      <c r="F117" s="1"/>
      <c r="G117" s="1"/>
      <c r="H117" s="1"/>
      <c r="I117" s="1">
        <v>18.07</v>
      </c>
      <c r="J117" s="1"/>
      <c r="K117" s="1"/>
      <c r="L117" s="1"/>
      <c r="M117" s="1">
        <v>0.65</v>
      </c>
      <c r="N117" s="1"/>
      <c r="O117" s="1">
        <v>0.09</v>
      </c>
      <c r="P117" s="1">
        <v>35.119999999999997</v>
      </c>
      <c r="Q117" s="1"/>
      <c r="R117" s="1"/>
      <c r="S117" s="1">
        <v>0.23</v>
      </c>
      <c r="T117" s="1"/>
      <c r="U117" s="1"/>
      <c r="V117" s="1">
        <v>8.0500000000000007</v>
      </c>
      <c r="W117" s="1">
        <f t="shared" si="8"/>
        <v>64.27</v>
      </c>
      <c r="X117" s="1">
        <f>AVERAGE(W113:W117)</f>
        <v>55.207499999999996</v>
      </c>
      <c r="Y117" s="1"/>
      <c r="Z117" s="1">
        <v>5.3</v>
      </c>
      <c r="AA117" s="1">
        <v>1.65</v>
      </c>
      <c r="AB117" s="1">
        <f>AVERAGE(AA113:AA117)</f>
        <v>2.8759999999999999</v>
      </c>
      <c r="AC117" s="1"/>
      <c r="AD117" s="1"/>
      <c r="AE117" s="1">
        <v>2.02</v>
      </c>
      <c r="AF117" s="1">
        <f>AVERAGE(AE113:AE117)</f>
        <v>2.6879999999999997</v>
      </c>
      <c r="AH117" s="57"/>
    </row>
    <row r="118" spans="1:34" ht="15" customHeight="1">
      <c r="A118" s="1"/>
      <c r="B118" s="1"/>
      <c r="C118" s="1">
        <v>4</v>
      </c>
      <c r="D118" s="1">
        <v>1</v>
      </c>
      <c r="E118" s="1">
        <v>0.36</v>
      </c>
      <c r="F118" s="1"/>
      <c r="G118" s="1"/>
      <c r="H118" s="1"/>
      <c r="I118" s="1">
        <v>38.229999999999997</v>
      </c>
      <c r="J118" s="1"/>
      <c r="K118" s="1"/>
      <c r="L118" s="1"/>
      <c r="M118" s="1">
        <v>0.68</v>
      </c>
      <c r="N118" s="1"/>
      <c r="O118" s="1"/>
      <c r="P118" s="1">
        <v>6.97</v>
      </c>
      <c r="Q118" s="1"/>
      <c r="R118" s="1"/>
      <c r="S118" s="1">
        <v>0.14000000000000001</v>
      </c>
      <c r="T118" s="1"/>
      <c r="U118" s="1"/>
      <c r="V118" s="1">
        <v>0.73</v>
      </c>
      <c r="W118" s="1">
        <f t="shared" si="8"/>
        <v>47.109999999999992</v>
      </c>
      <c r="X118" s="1"/>
      <c r="Y118" s="1"/>
      <c r="Z118" s="1">
        <v>13.7</v>
      </c>
      <c r="AA118" s="1">
        <v>3.4</v>
      </c>
      <c r="AB118" s="1"/>
      <c r="AC118" s="1"/>
      <c r="AD118" s="1"/>
      <c r="AE118" s="1">
        <v>3.57</v>
      </c>
      <c r="AF118" s="1"/>
      <c r="AH118" s="57"/>
    </row>
    <row r="119" spans="1:34" ht="15" customHeight="1">
      <c r="A119" s="1"/>
      <c r="B119" s="1"/>
      <c r="C119" s="1"/>
      <c r="D119" s="1">
        <v>2</v>
      </c>
      <c r="E119" s="1">
        <v>0.02</v>
      </c>
      <c r="F119" s="1"/>
      <c r="G119" s="1"/>
      <c r="H119" s="1"/>
      <c r="I119" s="1">
        <v>39.1</v>
      </c>
      <c r="J119" s="1"/>
      <c r="K119" s="1"/>
      <c r="L119" s="1"/>
      <c r="M119" s="1"/>
      <c r="N119" s="1"/>
      <c r="O119" s="1"/>
      <c r="P119" s="1">
        <v>6.23</v>
      </c>
      <c r="Q119" s="1"/>
      <c r="R119" s="1"/>
      <c r="S119" s="1"/>
      <c r="T119" s="1"/>
      <c r="U119" s="1"/>
      <c r="V119" s="1">
        <v>0.76</v>
      </c>
      <c r="W119" s="1">
        <f t="shared" si="8"/>
        <v>46.110000000000007</v>
      </c>
      <c r="X119" s="1"/>
      <c r="Y119" s="1"/>
      <c r="Z119" s="1">
        <v>12.9</v>
      </c>
      <c r="AA119" s="8">
        <f>AVERAGEA(AA118,AA120,AA121,AA122)</f>
        <v>2.9874999999999998</v>
      </c>
      <c r="AB119" s="1"/>
      <c r="AC119" s="1"/>
      <c r="AD119" s="1"/>
      <c r="AE119" s="1">
        <v>2.35</v>
      </c>
      <c r="AF119" s="1"/>
      <c r="AH119" s="57"/>
    </row>
    <row r="120" spans="1:34" ht="15" customHeight="1">
      <c r="A120" s="1"/>
      <c r="B120" s="1"/>
      <c r="C120" s="1"/>
      <c r="D120" s="1">
        <v>3</v>
      </c>
      <c r="E120" s="1">
        <v>0.24</v>
      </c>
      <c r="F120" s="1"/>
      <c r="G120" s="1"/>
      <c r="H120" s="1"/>
      <c r="I120" s="1">
        <v>32.020000000000003</v>
      </c>
      <c r="J120" s="1"/>
      <c r="K120" s="1"/>
      <c r="L120" s="1"/>
      <c r="M120" s="1"/>
      <c r="N120" s="1"/>
      <c r="O120" s="1">
        <v>0.37</v>
      </c>
      <c r="P120" s="1">
        <v>8.99</v>
      </c>
      <c r="Q120" s="1"/>
      <c r="R120" s="1"/>
      <c r="S120" s="1">
        <v>7.0000000000000007E-2</v>
      </c>
      <c r="T120" s="1"/>
      <c r="U120" s="1"/>
      <c r="V120" s="1">
        <v>1.83</v>
      </c>
      <c r="W120" s="1">
        <f t="shared" si="8"/>
        <v>43.52</v>
      </c>
      <c r="X120" s="1"/>
      <c r="Y120" s="1"/>
      <c r="Z120" s="1">
        <v>10.6</v>
      </c>
      <c r="AA120" s="1">
        <v>2.4</v>
      </c>
      <c r="AB120" s="1"/>
      <c r="AC120" s="1"/>
      <c r="AD120" s="1"/>
      <c r="AE120" s="1">
        <v>3.82</v>
      </c>
      <c r="AF120" s="1"/>
      <c r="AH120" s="57"/>
    </row>
    <row r="121" spans="1:34" ht="15" customHeight="1">
      <c r="A121" s="1"/>
      <c r="B121" s="1"/>
      <c r="C121" s="1"/>
      <c r="D121" s="1">
        <v>4</v>
      </c>
      <c r="E121" s="1"/>
      <c r="F121" s="1"/>
      <c r="G121" s="1"/>
      <c r="H121" s="1"/>
      <c r="I121" s="1">
        <v>34.520000000000003</v>
      </c>
      <c r="J121" s="1"/>
      <c r="K121" s="1"/>
      <c r="L121" s="1"/>
      <c r="M121" s="1">
        <v>0.79</v>
      </c>
      <c r="N121" s="1"/>
      <c r="O121" s="1">
        <v>0.12</v>
      </c>
      <c r="P121" s="1">
        <v>18.309999999999999</v>
      </c>
      <c r="Q121" s="1"/>
      <c r="R121" s="1"/>
      <c r="S121" s="1">
        <v>7.0000000000000007E-2</v>
      </c>
      <c r="T121" s="1"/>
      <c r="U121" s="1"/>
      <c r="V121" s="1">
        <v>5.08</v>
      </c>
      <c r="W121" s="1">
        <f t="shared" si="8"/>
        <v>58.889999999999993</v>
      </c>
      <c r="X121" s="1"/>
      <c r="Y121" s="1"/>
      <c r="Z121" s="1">
        <v>7.8</v>
      </c>
      <c r="AA121" s="1">
        <v>2.3199999999999998</v>
      </c>
      <c r="AB121" s="1"/>
      <c r="AC121" s="1"/>
      <c r="AD121" s="1"/>
      <c r="AE121" s="1">
        <v>2.98</v>
      </c>
      <c r="AF121" s="1"/>
      <c r="AH121" s="57"/>
    </row>
    <row r="122" spans="1:34" ht="15" customHeight="1">
      <c r="A122" s="1"/>
      <c r="B122" s="1"/>
      <c r="C122" s="1"/>
      <c r="D122" s="1">
        <v>5</v>
      </c>
      <c r="E122" s="1">
        <v>0.06</v>
      </c>
      <c r="F122" s="1"/>
      <c r="G122" s="1"/>
      <c r="H122" s="1"/>
      <c r="I122" s="1">
        <v>29.58</v>
      </c>
      <c r="J122" s="1"/>
      <c r="K122" s="1"/>
      <c r="L122" s="1"/>
      <c r="M122" s="1">
        <v>7.0000000000000007E-2</v>
      </c>
      <c r="N122" s="1"/>
      <c r="O122" s="1"/>
      <c r="P122" s="1">
        <v>29.16</v>
      </c>
      <c r="Q122" s="1"/>
      <c r="R122" s="1"/>
      <c r="S122" s="1">
        <v>0.13</v>
      </c>
      <c r="T122" s="1"/>
      <c r="U122" s="1"/>
      <c r="V122" s="1">
        <v>9.11</v>
      </c>
      <c r="W122" s="1">
        <f t="shared" si="8"/>
        <v>68.11</v>
      </c>
      <c r="X122" s="1">
        <f>AVERAGE(W118:W122)</f>
        <v>52.748000000000005</v>
      </c>
      <c r="Y122" s="1"/>
      <c r="Z122" s="1">
        <v>10.3</v>
      </c>
      <c r="AA122" s="1">
        <v>3.83</v>
      </c>
      <c r="AB122" s="1">
        <f>AVERAGE(AA118:AA122)</f>
        <v>2.9874999999999998</v>
      </c>
      <c r="AC122" s="1"/>
      <c r="AD122" s="1"/>
      <c r="AE122" s="1">
        <v>4.66</v>
      </c>
      <c r="AF122" s="1">
        <f>AVERAGE(AE118:AE122)</f>
        <v>3.4760000000000004</v>
      </c>
      <c r="AH122" s="57"/>
    </row>
    <row r="123" spans="1:34" ht="15" customHeight="1">
      <c r="A123" s="1" t="s">
        <v>37</v>
      </c>
      <c r="B123" s="1" t="s">
        <v>102</v>
      </c>
      <c r="C123" s="1">
        <v>1</v>
      </c>
      <c r="D123" s="1">
        <v>1</v>
      </c>
      <c r="E123" s="1">
        <v>0.14000000000000001</v>
      </c>
      <c r="F123" s="1"/>
      <c r="G123" s="1"/>
      <c r="H123" s="1"/>
      <c r="I123" s="1">
        <v>21.12</v>
      </c>
      <c r="J123" s="1"/>
      <c r="K123" s="1"/>
      <c r="L123" s="1"/>
      <c r="M123" s="1"/>
      <c r="N123" s="1"/>
      <c r="O123" s="1">
        <v>0.56000000000000005</v>
      </c>
      <c r="P123" s="1">
        <v>25.12</v>
      </c>
      <c r="Q123" s="1"/>
      <c r="R123" s="1"/>
      <c r="S123" s="1"/>
      <c r="T123" s="1"/>
      <c r="U123" s="1"/>
      <c r="V123" s="1">
        <v>11.57</v>
      </c>
      <c r="W123" s="1">
        <f t="shared" si="8"/>
        <v>58.51</v>
      </c>
      <c r="X123" s="1"/>
      <c r="Y123" s="1"/>
      <c r="Z123" s="1">
        <v>10.1</v>
      </c>
      <c r="AA123" s="1">
        <v>2.74</v>
      </c>
      <c r="AB123" s="1"/>
      <c r="AC123" s="1"/>
      <c r="AD123" s="1"/>
      <c r="AE123" s="1">
        <v>4.28</v>
      </c>
      <c r="AF123" s="1"/>
      <c r="AH123" s="57"/>
    </row>
    <row r="124" spans="1:34" ht="15" customHeight="1">
      <c r="A124" s="1"/>
      <c r="B124" s="1"/>
      <c r="C124" s="1"/>
      <c r="D124" s="1">
        <v>2</v>
      </c>
      <c r="E124" s="1">
        <v>0.2</v>
      </c>
      <c r="F124" s="1"/>
      <c r="G124" s="1"/>
      <c r="H124" s="1"/>
      <c r="I124" s="1">
        <v>13.77</v>
      </c>
      <c r="J124" s="1"/>
      <c r="K124" s="1"/>
      <c r="L124" s="1"/>
      <c r="M124" s="1">
        <v>0.01</v>
      </c>
      <c r="N124" s="1"/>
      <c r="O124" s="1"/>
      <c r="P124" s="1">
        <v>58.8</v>
      </c>
      <c r="Q124" s="1"/>
      <c r="R124" s="1"/>
      <c r="S124" s="1">
        <v>0.01</v>
      </c>
      <c r="T124" s="1"/>
      <c r="U124" s="1">
        <v>0.5</v>
      </c>
      <c r="V124" s="1">
        <v>18.21</v>
      </c>
      <c r="W124" s="1">
        <f t="shared" si="8"/>
        <v>91.5</v>
      </c>
      <c r="X124" s="1"/>
      <c r="Y124" s="1"/>
      <c r="Z124" s="1">
        <v>8</v>
      </c>
      <c r="AA124" s="1">
        <v>1.96</v>
      </c>
      <c r="AB124" s="1"/>
      <c r="AC124" s="1"/>
      <c r="AD124" s="1"/>
      <c r="AE124" s="1">
        <v>7.03</v>
      </c>
      <c r="AF124" s="1"/>
      <c r="AH124" s="57"/>
    </row>
    <row r="125" spans="1:34" ht="15" customHeight="1">
      <c r="A125" s="1"/>
      <c r="B125" s="1"/>
      <c r="C125" s="1"/>
      <c r="D125" s="1">
        <v>3</v>
      </c>
      <c r="E125" s="1"/>
      <c r="F125" s="1"/>
      <c r="G125" s="1"/>
      <c r="H125" s="1"/>
      <c r="I125" s="1">
        <v>18.14</v>
      </c>
      <c r="J125" s="1"/>
      <c r="K125" s="1"/>
      <c r="L125" s="1"/>
      <c r="M125" s="1"/>
      <c r="N125" s="1"/>
      <c r="O125" s="1">
        <v>0.22</v>
      </c>
      <c r="P125" s="1">
        <v>46.45</v>
      </c>
      <c r="Q125" s="1"/>
      <c r="R125" s="1"/>
      <c r="S125" s="1">
        <v>0.05</v>
      </c>
      <c r="T125" s="1"/>
      <c r="U125" s="1"/>
      <c r="V125" s="1">
        <v>15.05</v>
      </c>
      <c r="W125" s="1">
        <f t="shared" si="8"/>
        <v>79.91</v>
      </c>
      <c r="X125" s="1"/>
      <c r="Y125" s="1"/>
      <c r="Z125" s="1">
        <v>7.2</v>
      </c>
      <c r="AA125" s="1">
        <v>2.64</v>
      </c>
      <c r="AB125" s="1"/>
      <c r="AC125" s="1"/>
      <c r="AD125" s="1"/>
      <c r="AE125" s="1">
        <v>8.35</v>
      </c>
      <c r="AF125" s="1"/>
      <c r="AH125" s="57"/>
    </row>
    <row r="126" spans="1:34" ht="15" customHeight="1">
      <c r="A126" s="1"/>
      <c r="B126" s="1"/>
      <c r="C126" s="1"/>
      <c r="D126" s="1">
        <v>4</v>
      </c>
      <c r="E126" s="1">
        <v>0.17</v>
      </c>
      <c r="F126" s="1"/>
      <c r="G126" s="1"/>
      <c r="H126" s="1"/>
      <c r="I126" s="1">
        <v>18.53</v>
      </c>
      <c r="J126" s="1"/>
      <c r="K126" s="1"/>
      <c r="L126" s="1"/>
      <c r="M126" s="1"/>
      <c r="N126" s="1"/>
      <c r="O126" s="1">
        <v>0.4</v>
      </c>
      <c r="P126" s="1">
        <v>23.34</v>
      </c>
      <c r="Q126" s="1"/>
      <c r="R126" s="1"/>
      <c r="S126" s="1">
        <v>0.23</v>
      </c>
      <c r="T126" s="1"/>
      <c r="U126" s="1"/>
      <c r="V126" s="1">
        <v>32.44</v>
      </c>
      <c r="W126" s="1">
        <f t="shared" si="8"/>
        <v>75.109999999999985</v>
      </c>
      <c r="X126" s="1"/>
      <c r="Y126" s="1"/>
      <c r="Z126" s="1">
        <v>10.7</v>
      </c>
      <c r="AA126" s="1">
        <v>1.9</v>
      </c>
      <c r="AB126" s="1"/>
      <c r="AC126" s="1"/>
      <c r="AD126" s="1"/>
      <c r="AE126" s="1">
        <v>7.74</v>
      </c>
      <c r="AF126" s="1"/>
      <c r="AH126" s="57"/>
    </row>
    <row r="127" spans="1:34" ht="15" customHeight="1">
      <c r="A127" s="1"/>
      <c r="B127" s="1"/>
      <c r="C127" s="1"/>
      <c r="D127" s="1">
        <v>5</v>
      </c>
      <c r="E127" s="1">
        <v>0.06</v>
      </c>
      <c r="F127" s="1"/>
      <c r="G127" s="1"/>
      <c r="H127" s="1"/>
      <c r="I127" s="1">
        <v>20.010000000000002</v>
      </c>
      <c r="J127" s="1"/>
      <c r="K127" s="1"/>
      <c r="L127" s="1"/>
      <c r="M127" s="1"/>
      <c r="N127" s="1"/>
      <c r="O127" s="1"/>
      <c r="P127" s="1">
        <v>34.86</v>
      </c>
      <c r="Q127" s="1"/>
      <c r="R127" s="1"/>
      <c r="S127" s="1">
        <v>0.05</v>
      </c>
      <c r="T127" s="1"/>
      <c r="U127" s="1"/>
      <c r="V127" s="1">
        <v>11.14</v>
      </c>
      <c r="W127" s="1">
        <f t="shared" si="8"/>
        <v>66.12</v>
      </c>
      <c r="X127" s="1">
        <f>AVERAGE(W123:W127)</f>
        <v>74.22999999999999</v>
      </c>
      <c r="Y127" s="1"/>
      <c r="Z127" s="1">
        <v>3.6</v>
      </c>
      <c r="AA127" s="1">
        <v>0.4</v>
      </c>
      <c r="AB127" s="1">
        <f>AVERAGE(AA123:AA127)</f>
        <v>1.9280000000000002</v>
      </c>
      <c r="AC127" s="1"/>
      <c r="AD127" s="1"/>
      <c r="AE127" s="1">
        <v>5.83</v>
      </c>
      <c r="AF127" s="1">
        <f>AVERAGE(AE123:AE127)</f>
        <v>6.645999999999999</v>
      </c>
      <c r="AH127" s="57"/>
    </row>
    <row r="128" spans="1:34" ht="15" customHeight="1">
      <c r="A128" s="1"/>
      <c r="B128" s="1"/>
      <c r="C128" s="1">
        <v>2</v>
      </c>
      <c r="D128" s="1">
        <v>1</v>
      </c>
      <c r="E128" s="1"/>
      <c r="F128" s="1"/>
      <c r="G128" s="1"/>
      <c r="H128" s="1"/>
      <c r="I128" s="1"/>
      <c r="J128" s="1"/>
      <c r="K128" s="1"/>
      <c r="L128" s="1"/>
      <c r="M128" s="1"/>
      <c r="N128" s="1"/>
      <c r="O128" s="1"/>
      <c r="P128" s="1"/>
      <c r="Q128" s="1"/>
      <c r="R128" s="1"/>
      <c r="S128" s="1"/>
      <c r="T128" s="1"/>
      <c r="U128" s="1">
        <v>0.01</v>
      </c>
      <c r="V128" s="1"/>
      <c r="W128" s="8">
        <v>79.015000000000001</v>
      </c>
      <c r="X128" s="1"/>
      <c r="Y128" s="1"/>
      <c r="Z128" s="1">
        <v>8.9</v>
      </c>
      <c r="AA128" s="1">
        <v>1.96</v>
      </c>
      <c r="AB128" s="1"/>
      <c r="AC128" s="1"/>
      <c r="AD128" s="1"/>
      <c r="AE128" s="1">
        <v>7.86</v>
      </c>
      <c r="AF128" s="1"/>
      <c r="AH128" s="57"/>
    </row>
    <row r="129" spans="1:34" ht="15" customHeight="1">
      <c r="A129" s="1"/>
      <c r="B129" s="1"/>
      <c r="C129" s="1"/>
      <c r="D129" s="1">
        <v>2</v>
      </c>
      <c r="E129" s="1"/>
      <c r="F129" s="1"/>
      <c r="G129" s="1"/>
      <c r="H129" s="1"/>
      <c r="I129" s="1">
        <v>21.36</v>
      </c>
      <c r="J129" s="1"/>
      <c r="K129" s="1"/>
      <c r="L129" s="1"/>
      <c r="M129" s="1"/>
      <c r="N129" s="1"/>
      <c r="O129" s="1">
        <v>0.01</v>
      </c>
      <c r="P129" s="1">
        <v>62.76</v>
      </c>
      <c r="Q129" s="1">
        <v>0.3</v>
      </c>
      <c r="R129" s="1"/>
      <c r="S129" s="1">
        <v>0.4</v>
      </c>
      <c r="T129" s="1"/>
      <c r="U129" s="1"/>
      <c r="V129" s="1">
        <v>11</v>
      </c>
      <c r="W129" s="1">
        <f t="shared" ref="W129:W222" si="9">SUM(E129:V129)</f>
        <v>95.83</v>
      </c>
      <c r="X129" s="1"/>
      <c r="Y129" s="1"/>
      <c r="Z129" s="1">
        <v>5.7</v>
      </c>
      <c r="AA129" s="1">
        <v>1.1000000000000001</v>
      </c>
      <c r="AB129" s="1"/>
      <c r="AC129" s="1"/>
      <c r="AD129" s="1"/>
      <c r="AE129" s="1">
        <v>4.18</v>
      </c>
      <c r="AF129" s="1"/>
      <c r="AH129" s="57"/>
    </row>
    <row r="130" spans="1:34" ht="15" customHeight="1">
      <c r="A130" s="1"/>
      <c r="B130" s="1"/>
      <c r="C130" s="1"/>
      <c r="D130" s="1">
        <v>3</v>
      </c>
      <c r="E130" s="1">
        <v>0.16</v>
      </c>
      <c r="F130" s="1"/>
      <c r="G130" s="1"/>
      <c r="H130" s="1"/>
      <c r="I130" s="1">
        <v>15.16</v>
      </c>
      <c r="J130" s="1"/>
      <c r="K130" s="1"/>
      <c r="L130" s="1"/>
      <c r="M130" s="1"/>
      <c r="N130" s="1"/>
      <c r="O130" s="1"/>
      <c r="P130" s="1">
        <v>49.14</v>
      </c>
      <c r="Q130" s="1"/>
      <c r="R130" s="1"/>
      <c r="S130" s="1">
        <v>0.43</v>
      </c>
      <c r="T130" s="1"/>
      <c r="U130" s="1">
        <v>4.32</v>
      </c>
      <c r="V130" s="1">
        <v>3.9</v>
      </c>
      <c r="W130" s="1">
        <f t="shared" si="9"/>
        <v>73.110000000000014</v>
      </c>
      <c r="X130" s="1"/>
      <c r="Y130" s="1"/>
      <c r="Z130" s="1">
        <v>4.3</v>
      </c>
      <c r="AA130" s="1">
        <v>1.08</v>
      </c>
      <c r="AB130" s="1"/>
      <c r="AC130" s="1"/>
      <c r="AD130" s="1"/>
      <c r="AE130" s="1">
        <v>6.69</v>
      </c>
      <c r="AF130" s="1"/>
      <c r="AH130" s="57"/>
    </row>
    <row r="131" spans="1:34" ht="15" customHeight="1">
      <c r="A131" s="1"/>
      <c r="B131" s="1"/>
      <c r="C131" s="1"/>
      <c r="D131" s="1">
        <v>4</v>
      </c>
      <c r="E131" s="1">
        <v>52.34</v>
      </c>
      <c r="F131" s="1"/>
      <c r="G131" s="1"/>
      <c r="H131" s="1"/>
      <c r="I131" s="1">
        <v>16.2</v>
      </c>
      <c r="J131" s="1"/>
      <c r="K131" s="1"/>
      <c r="L131" s="1"/>
      <c r="M131" s="1">
        <v>0.3</v>
      </c>
      <c r="N131" s="1"/>
      <c r="O131" s="1"/>
      <c r="P131" s="1"/>
      <c r="Q131" s="1"/>
      <c r="R131" s="1"/>
      <c r="S131" s="1">
        <v>0.3</v>
      </c>
      <c r="T131" s="1"/>
      <c r="U131" s="1"/>
      <c r="V131" s="1">
        <v>4.71</v>
      </c>
      <c r="W131" s="1">
        <f t="shared" si="9"/>
        <v>73.849999999999994</v>
      </c>
      <c r="X131" s="1"/>
      <c r="Y131" s="1"/>
      <c r="Z131" s="1">
        <v>5.0999999999999996</v>
      </c>
      <c r="AA131" s="1">
        <v>2.08</v>
      </c>
      <c r="AB131" s="1"/>
      <c r="AC131" s="1"/>
      <c r="AD131" s="1"/>
      <c r="AE131" s="1">
        <v>4.2</v>
      </c>
      <c r="AF131" s="1"/>
      <c r="AH131" s="57"/>
    </row>
    <row r="132" spans="1:34" ht="15" customHeight="1">
      <c r="A132" s="1"/>
      <c r="B132" s="1"/>
      <c r="C132" s="1"/>
      <c r="D132" s="1">
        <v>5</v>
      </c>
      <c r="E132" s="1"/>
      <c r="F132" s="1"/>
      <c r="G132" s="1"/>
      <c r="H132" s="1"/>
      <c r="I132" s="1">
        <v>15.13</v>
      </c>
      <c r="J132" s="1"/>
      <c r="K132" s="1"/>
      <c r="L132" s="1"/>
      <c r="M132" s="1"/>
      <c r="N132" s="1"/>
      <c r="O132" s="1"/>
      <c r="P132" s="1">
        <v>52.57</v>
      </c>
      <c r="Q132" s="1">
        <v>1.1000000000000001</v>
      </c>
      <c r="R132" s="1"/>
      <c r="S132" s="1"/>
      <c r="T132" s="1"/>
      <c r="U132" s="1">
        <v>1.7</v>
      </c>
      <c r="V132" s="1">
        <v>2.77</v>
      </c>
      <c r="W132" s="1">
        <f t="shared" si="9"/>
        <v>73.27</v>
      </c>
      <c r="X132" s="1">
        <f>AVERAGE(W129:W132)</f>
        <v>79.015000000000001</v>
      </c>
      <c r="Y132" s="1"/>
      <c r="Z132" s="1">
        <v>3.1</v>
      </c>
      <c r="AA132" s="1">
        <v>0.2</v>
      </c>
      <c r="AB132" s="1">
        <f>AVERAGE(AA128:AA132)</f>
        <v>1.2840000000000003</v>
      </c>
      <c r="AC132" s="1"/>
      <c r="AD132" s="1"/>
      <c r="AE132" s="8">
        <f>AVERAGE(AE128:AE131)</f>
        <v>5.7324999999999999</v>
      </c>
      <c r="AF132" s="1">
        <f>AVERAGE(AE128:AE132)</f>
        <v>5.7324999999999999</v>
      </c>
      <c r="AH132" s="57"/>
    </row>
    <row r="133" spans="1:34" ht="15" customHeight="1">
      <c r="A133" s="1"/>
      <c r="B133" s="1"/>
      <c r="C133" s="1">
        <v>3</v>
      </c>
      <c r="D133" s="1">
        <v>1</v>
      </c>
      <c r="E133" s="1"/>
      <c r="F133" s="1"/>
      <c r="G133" s="1"/>
      <c r="H133" s="1"/>
      <c r="I133" s="1">
        <v>18.86</v>
      </c>
      <c r="J133" s="1"/>
      <c r="K133" s="1"/>
      <c r="L133" s="1"/>
      <c r="M133" s="1"/>
      <c r="N133" s="1"/>
      <c r="O133" s="1"/>
      <c r="P133" s="1"/>
      <c r="Q133" s="1"/>
      <c r="R133" s="1"/>
      <c r="S133" s="1">
        <v>0.1</v>
      </c>
      <c r="T133" s="1"/>
      <c r="U133" s="1"/>
      <c r="V133" s="1">
        <v>7.25</v>
      </c>
      <c r="W133" s="1">
        <f t="shared" si="9"/>
        <v>26.21</v>
      </c>
      <c r="X133" s="1"/>
      <c r="Y133" s="1"/>
      <c r="Z133" s="1">
        <v>11.3</v>
      </c>
      <c r="AA133" s="1">
        <v>1.68</v>
      </c>
      <c r="AB133" s="1"/>
      <c r="AC133" s="1"/>
      <c r="AD133" s="1"/>
      <c r="AE133" s="1">
        <v>4.8600000000000003</v>
      </c>
      <c r="AF133" s="1"/>
      <c r="AH133" s="57"/>
    </row>
    <row r="134" spans="1:34" ht="15" customHeight="1">
      <c r="A134" s="1"/>
      <c r="B134" s="1"/>
      <c r="C134" s="1"/>
      <c r="D134" s="1">
        <v>2</v>
      </c>
      <c r="E134" s="1">
        <v>29.14</v>
      </c>
      <c r="F134" s="1"/>
      <c r="G134" s="1"/>
      <c r="H134" s="1"/>
      <c r="I134" s="1">
        <v>19.32</v>
      </c>
      <c r="J134" s="1"/>
      <c r="K134" s="1"/>
      <c r="L134" s="1"/>
      <c r="M134" s="1"/>
      <c r="N134" s="1"/>
      <c r="O134" s="1"/>
      <c r="P134" s="1">
        <v>32.58</v>
      </c>
      <c r="Q134" s="1">
        <v>1.33</v>
      </c>
      <c r="R134" s="1"/>
      <c r="S134" s="1">
        <v>0.02</v>
      </c>
      <c r="T134" s="1"/>
      <c r="U134" s="1">
        <v>0.4</v>
      </c>
      <c r="V134" s="1">
        <v>10.51</v>
      </c>
      <c r="W134" s="1">
        <f t="shared" si="9"/>
        <v>93.3</v>
      </c>
      <c r="X134" s="1"/>
      <c r="Y134" s="1"/>
      <c r="Z134" s="1">
        <v>15</v>
      </c>
      <c r="AA134" s="1">
        <v>2.97</v>
      </c>
      <c r="AB134" s="1"/>
      <c r="AC134" s="1"/>
      <c r="AD134" s="1"/>
      <c r="AE134" s="1">
        <v>5.81</v>
      </c>
      <c r="AF134" s="1"/>
      <c r="AH134" s="57"/>
    </row>
    <row r="135" spans="1:34" ht="15" customHeight="1">
      <c r="A135" s="1"/>
      <c r="B135" s="1"/>
      <c r="C135" s="1"/>
      <c r="D135" s="1">
        <v>3</v>
      </c>
      <c r="E135" s="1"/>
      <c r="F135" s="1"/>
      <c r="G135" s="1"/>
      <c r="H135" s="1"/>
      <c r="I135" s="1">
        <v>12.79</v>
      </c>
      <c r="J135" s="1"/>
      <c r="K135" s="1"/>
      <c r="L135" s="1"/>
      <c r="M135" s="1"/>
      <c r="N135" s="1"/>
      <c r="O135" s="1"/>
      <c r="P135" s="1">
        <v>47.96</v>
      </c>
      <c r="Q135" s="1"/>
      <c r="R135" s="1"/>
      <c r="S135" s="1">
        <v>0.02</v>
      </c>
      <c r="T135" s="1"/>
      <c r="U135" s="1"/>
      <c r="V135" s="1">
        <v>5.52</v>
      </c>
      <c r="W135" s="1">
        <f t="shared" si="9"/>
        <v>66.290000000000006</v>
      </c>
      <c r="X135" s="1"/>
      <c r="Y135" s="1"/>
      <c r="Z135" s="1">
        <v>2.8</v>
      </c>
      <c r="AA135" s="1">
        <v>0.3</v>
      </c>
      <c r="AB135" s="1"/>
      <c r="AC135" s="1"/>
      <c r="AD135" s="1"/>
      <c r="AE135" s="1">
        <v>3.03</v>
      </c>
      <c r="AF135" s="1"/>
      <c r="AH135" s="57"/>
    </row>
    <row r="136" spans="1:34" ht="15" customHeight="1">
      <c r="A136" s="1"/>
      <c r="B136" s="1"/>
      <c r="C136" s="1"/>
      <c r="D136" s="1">
        <v>4</v>
      </c>
      <c r="E136" s="1"/>
      <c r="F136" s="1"/>
      <c r="G136" s="1"/>
      <c r="H136" s="1"/>
      <c r="I136" s="1">
        <v>20.58</v>
      </c>
      <c r="J136" s="1"/>
      <c r="K136" s="1"/>
      <c r="L136" s="1"/>
      <c r="M136" s="1"/>
      <c r="N136" s="1"/>
      <c r="O136" s="1"/>
      <c r="P136" s="1">
        <v>42.43</v>
      </c>
      <c r="Q136" s="1"/>
      <c r="R136" s="1"/>
      <c r="S136" s="1">
        <v>0.01</v>
      </c>
      <c r="T136" s="1"/>
      <c r="U136" s="1"/>
      <c r="V136" s="1">
        <v>2.93</v>
      </c>
      <c r="W136" s="1">
        <f t="shared" si="9"/>
        <v>65.95</v>
      </c>
      <c r="X136" s="1"/>
      <c r="Y136" s="1"/>
      <c r="Z136" s="1">
        <v>9.9</v>
      </c>
      <c r="AA136" s="1">
        <v>5.33</v>
      </c>
      <c r="AB136" s="1"/>
      <c r="AC136" s="1"/>
      <c r="AD136" s="1"/>
      <c r="AE136" s="1">
        <v>2.85</v>
      </c>
      <c r="AF136" s="1"/>
      <c r="AH136" s="57"/>
    </row>
    <row r="137" spans="1:34" ht="15" customHeight="1">
      <c r="A137" s="1"/>
      <c r="B137" s="1"/>
      <c r="C137" s="1"/>
      <c r="D137" s="1">
        <v>5</v>
      </c>
      <c r="E137" s="1">
        <v>0.14000000000000001</v>
      </c>
      <c r="F137" s="1"/>
      <c r="G137" s="1"/>
      <c r="H137" s="1"/>
      <c r="I137" s="1">
        <v>17.36</v>
      </c>
      <c r="J137" s="1"/>
      <c r="K137" s="1"/>
      <c r="L137" s="1"/>
      <c r="M137" s="1"/>
      <c r="N137" s="1"/>
      <c r="O137" s="1"/>
      <c r="P137" s="1">
        <v>54.03</v>
      </c>
      <c r="Q137" s="1"/>
      <c r="R137" s="1"/>
      <c r="S137" s="1">
        <v>0.14000000000000001</v>
      </c>
      <c r="T137" s="1"/>
      <c r="U137" s="1"/>
      <c r="V137" s="1">
        <v>5.03</v>
      </c>
      <c r="W137" s="1">
        <f t="shared" si="9"/>
        <v>76.7</v>
      </c>
      <c r="X137" s="1">
        <f>AVERAGE(W133:W137)</f>
        <v>65.69</v>
      </c>
      <c r="Y137" s="1"/>
      <c r="Z137" s="1">
        <v>5.3</v>
      </c>
      <c r="AA137" s="1">
        <v>1.68</v>
      </c>
      <c r="AB137" s="1">
        <f>AVERAGE(AA133:AA137)</f>
        <v>2.3920000000000003</v>
      </c>
      <c r="AC137" s="1"/>
      <c r="AD137" s="1"/>
      <c r="AE137" s="1">
        <v>4.82</v>
      </c>
      <c r="AF137" s="1">
        <f>AVERAGE(AE133:AE137)</f>
        <v>4.274</v>
      </c>
      <c r="AH137" s="57"/>
    </row>
    <row r="138" spans="1:34" ht="15" customHeight="1">
      <c r="A138" s="1"/>
      <c r="B138" s="1"/>
      <c r="C138" s="1">
        <v>4</v>
      </c>
      <c r="D138" s="1">
        <v>1</v>
      </c>
      <c r="E138" s="1">
        <v>21.44</v>
      </c>
      <c r="F138" s="1"/>
      <c r="G138" s="1"/>
      <c r="H138" s="1"/>
      <c r="I138" s="1">
        <v>34.97</v>
      </c>
      <c r="J138" s="1"/>
      <c r="K138" s="1"/>
      <c r="L138" s="1"/>
      <c r="M138" s="1"/>
      <c r="N138" s="1"/>
      <c r="O138" s="1"/>
      <c r="P138" s="1"/>
      <c r="Q138" s="1"/>
      <c r="R138" s="1"/>
      <c r="S138" s="1"/>
      <c r="T138" s="1"/>
      <c r="U138" s="1">
        <v>0.3</v>
      </c>
      <c r="V138" s="1">
        <v>5.18</v>
      </c>
      <c r="W138" s="1">
        <f t="shared" si="9"/>
        <v>61.889999999999993</v>
      </c>
      <c r="X138" s="1"/>
      <c r="Y138" s="1"/>
      <c r="Z138" s="1">
        <v>5.0999999999999996</v>
      </c>
      <c r="AA138" s="1">
        <v>0.32</v>
      </c>
      <c r="AB138" s="1"/>
      <c r="AC138" s="1"/>
      <c r="AD138" s="1"/>
      <c r="AE138" s="1">
        <v>4.42</v>
      </c>
      <c r="AF138" s="1"/>
      <c r="AH138" s="57"/>
    </row>
    <row r="139" spans="1:34" ht="15" customHeight="1">
      <c r="A139" s="1"/>
      <c r="B139" s="1"/>
      <c r="C139" s="1"/>
      <c r="D139" s="1">
        <v>2</v>
      </c>
      <c r="E139" s="1">
        <v>1.57</v>
      </c>
      <c r="F139" s="1"/>
      <c r="G139" s="1"/>
      <c r="H139" s="1"/>
      <c r="I139" s="1">
        <v>15.33</v>
      </c>
      <c r="J139" s="1"/>
      <c r="K139" s="1"/>
      <c r="L139" s="1"/>
      <c r="M139" s="1"/>
      <c r="N139" s="1"/>
      <c r="O139" s="1"/>
      <c r="P139" s="1">
        <v>35.479999999999997</v>
      </c>
      <c r="Q139" s="1"/>
      <c r="R139" s="1"/>
      <c r="S139" s="1">
        <v>0.2</v>
      </c>
      <c r="T139" s="1"/>
      <c r="U139" s="1"/>
      <c r="V139" s="1">
        <v>12.57</v>
      </c>
      <c r="W139" s="1">
        <f t="shared" si="9"/>
        <v>65.150000000000006</v>
      </c>
      <c r="X139" s="1"/>
      <c r="Y139" s="1"/>
      <c r="Z139" s="1">
        <v>8.8000000000000007</v>
      </c>
      <c r="AA139" s="1">
        <v>0.79</v>
      </c>
      <c r="AB139" s="1"/>
      <c r="AC139" s="1"/>
      <c r="AD139" s="1"/>
      <c r="AE139" s="1">
        <v>3.89</v>
      </c>
      <c r="AF139" s="1"/>
      <c r="AH139" s="57"/>
    </row>
    <row r="140" spans="1:34" ht="15" customHeight="1">
      <c r="A140" s="1"/>
      <c r="B140" s="1"/>
      <c r="C140" s="1"/>
      <c r="D140" s="1">
        <v>3</v>
      </c>
      <c r="E140" s="1"/>
      <c r="F140" s="1"/>
      <c r="G140" s="1"/>
      <c r="H140" s="1"/>
      <c r="I140" s="1">
        <v>27.74</v>
      </c>
      <c r="J140" s="1"/>
      <c r="K140" s="1"/>
      <c r="L140" s="1"/>
      <c r="M140" s="1"/>
      <c r="N140" s="1"/>
      <c r="O140" s="1"/>
      <c r="P140" s="1">
        <v>33.79</v>
      </c>
      <c r="Q140" s="1"/>
      <c r="R140" s="1"/>
      <c r="S140" s="1">
        <v>0.7</v>
      </c>
      <c r="T140" s="1"/>
      <c r="U140" s="1">
        <v>0.3</v>
      </c>
      <c r="V140" s="1">
        <v>5.25</v>
      </c>
      <c r="W140" s="1">
        <f t="shared" si="9"/>
        <v>67.78</v>
      </c>
      <c r="X140" s="1"/>
      <c r="Y140" s="1"/>
      <c r="Z140" s="1">
        <v>8</v>
      </c>
      <c r="AA140" s="1">
        <v>2.14</v>
      </c>
      <c r="AB140" s="1"/>
      <c r="AC140" s="1"/>
      <c r="AD140" s="1"/>
      <c r="AE140" s="1">
        <v>3.61</v>
      </c>
      <c r="AF140" s="1"/>
      <c r="AH140" s="57"/>
    </row>
    <row r="141" spans="1:34" ht="15" customHeight="1">
      <c r="A141" s="1"/>
      <c r="B141" s="1"/>
      <c r="C141" s="1"/>
      <c r="D141" s="1">
        <v>4</v>
      </c>
      <c r="E141" s="1"/>
      <c r="F141" s="1"/>
      <c r="G141" s="1"/>
      <c r="H141" s="1"/>
      <c r="I141" s="1">
        <v>22.32</v>
      </c>
      <c r="J141" s="1"/>
      <c r="K141" s="1"/>
      <c r="L141" s="1"/>
      <c r="M141" s="1"/>
      <c r="N141" s="1"/>
      <c r="O141" s="1">
        <v>0.8</v>
      </c>
      <c r="P141" s="1">
        <v>31.37</v>
      </c>
      <c r="Q141" s="1"/>
      <c r="R141" s="1"/>
      <c r="S141" s="1"/>
      <c r="T141" s="1"/>
      <c r="U141" s="1">
        <v>0.5</v>
      </c>
      <c r="V141" s="1">
        <v>6.01</v>
      </c>
      <c r="W141" s="1">
        <f t="shared" si="9"/>
        <v>61</v>
      </c>
      <c r="X141" s="1"/>
      <c r="Y141" s="1"/>
      <c r="Z141" s="1">
        <v>14.8</v>
      </c>
      <c r="AA141" s="1">
        <v>0.37</v>
      </c>
      <c r="AB141" s="1"/>
      <c r="AC141" s="1"/>
      <c r="AD141" s="1"/>
      <c r="AE141" s="1">
        <v>4.1900000000000004</v>
      </c>
      <c r="AF141" s="1"/>
      <c r="AH141" s="57"/>
    </row>
    <row r="142" spans="1:34" ht="15" customHeight="1">
      <c r="A142" s="1"/>
      <c r="B142" s="1"/>
      <c r="C142" s="1"/>
      <c r="D142" s="1">
        <v>5</v>
      </c>
      <c r="E142" s="1">
        <v>0.2</v>
      </c>
      <c r="F142" s="1"/>
      <c r="G142" s="1"/>
      <c r="H142" s="1"/>
      <c r="I142" s="1">
        <v>18.29</v>
      </c>
      <c r="J142" s="1"/>
      <c r="K142" s="1"/>
      <c r="L142" s="1"/>
      <c r="M142" s="1"/>
      <c r="N142" s="1"/>
      <c r="O142" s="1"/>
      <c r="P142" s="1">
        <v>44.8</v>
      </c>
      <c r="Q142" s="1">
        <v>9.91</v>
      </c>
      <c r="R142" s="1"/>
      <c r="S142" s="1"/>
      <c r="T142" s="1"/>
      <c r="U142" s="1">
        <v>1.4</v>
      </c>
      <c r="V142" s="1">
        <v>10.11</v>
      </c>
      <c r="W142" s="1">
        <f t="shared" si="9"/>
        <v>84.71</v>
      </c>
      <c r="X142" s="1">
        <f>AVERAGE(W138:W142)</f>
        <v>68.105999999999995</v>
      </c>
      <c r="Y142" s="1"/>
      <c r="Z142" s="1">
        <v>7.8</v>
      </c>
      <c r="AA142" s="1">
        <v>2.77</v>
      </c>
      <c r="AB142" s="1">
        <f>AVERAGE(AA138:AA142)</f>
        <v>1.278</v>
      </c>
      <c r="AC142" s="1"/>
      <c r="AD142" s="1"/>
      <c r="AE142" s="1">
        <v>4.8099999999999996</v>
      </c>
      <c r="AF142" s="1">
        <f>AVERAGE(AE138:AE142)</f>
        <v>4.1839999999999993</v>
      </c>
      <c r="AH142" s="57"/>
    </row>
    <row r="143" spans="1:34" ht="15" customHeight="1">
      <c r="A143" s="1" t="s">
        <v>103</v>
      </c>
      <c r="B143" s="1" t="s">
        <v>104</v>
      </c>
      <c r="C143" s="1">
        <v>1</v>
      </c>
      <c r="D143" s="1">
        <v>1</v>
      </c>
      <c r="E143" s="1"/>
      <c r="F143" s="1"/>
      <c r="G143" s="1">
        <v>0.28000000000000003</v>
      </c>
      <c r="H143" s="1"/>
      <c r="I143" s="1">
        <v>9.4600000000000009</v>
      </c>
      <c r="J143" s="1"/>
      <c r="K143" s="1"/>
      <c r="L143" s="1">
        <v>0.81</v>
      </c>
      <c r="M143" s="1">
        <v>1.7</v>
      </c>
      <c r="N143" s="1"/>
      <c r="O143" s="1">
        <v>0.42</v>
      </c>
      <c r="P143" s="1">
        <v>10.57</v>
      </c>
      <c r="Q143" s="1">
        <v>0.62</v>
      </c>
      <c r="R143" s="1"/>
      <c r="S143" s="1">
        <v>2.57</v>
      </c>
      <c r="T143" s="1"/>
      <c r="U143" s="1">
        <v>12.53</v>
      </c>
      <c r="V143" s="1">
        <v>46.52</v>
      </c>
      <c r="W143" s="1">
        <f t="shared" si="9"/>
        <v>85.48</v>
      </c>
      <c r="X143" s="1"/>
      <c r="Y143" s="1"/>
      <c r="Z143" s="1">
        <v>7.24</v>
      </c>
      <c r="AA143" s="1">
        <v>1.62</v>
      </c>
      <c r="AB143" s="1"/>
      <c r="AC143" s="1"/>
      <c r="AD143" s="1"/>
      <c r="AE143" s="1">
        <v>9.1199999999999992</v>
      </c>
      <c r="AF143" s="1"/>
      <c r="AH143" s="57"/>
    </row>
    <row r="144" spans="1:34" ht="15" customHeight="1">
      <c r="A144" s="1"/>
      <c r="B144" s="1"/>
      <c r="C144" s="1"/>
      <c r="D144" s="1">
        <v>2</v>
      </c>
      <c r="E144" s="1"/>
      <c r="F144" s="1"/>
      <c r="G144" s="1">
        <v>1.01</v>
      </c>
      <c r="H144" s="1"/>
      <c r="I144" s="1">
        <v>6.8</v>
      </c>
      <c r="J144" s="1"/>
      <c r="K144" s="1"/>
      <c r="L144" s="1">
        <v>1.22</v>
      </c>
      <c r="M144" s="1">
        <v>2.72</v>
      </c>
      <c r="N144" s="1"/>
      <c r="O144" s="1"/>
      <c r="P144" s="1">
        <v>7.5</v>
      </c>
      <c r="Q144" s="1">
        <v>1.61</v>
      </c>
      <c r="R144" s="1"/>
      <c r="S144" s="1"/>
      <c r="T144" s="1"/>
      <c r="U144" s="1">
        <v>13.41</v>
      </c>
      <c r="V144" s="1">
        <v>34.08</v>
      </c>
      <c r="W144" s="1">
        <f t="shared" si="9"/>
        <v>68.349999999999994</v>
      </c>
      <c r="X144" s="1"/>
      <c r="Y144" s="1"/>
      <c r="Z144" s="8">
        <f>AVERAGE(Z143,Y145:Z146)</f>
        <v>8.8666666666666671</v>
      </c>
      <c r="AA144" s="1">
        <v>1.37</v>
      </c>
      <c r="AB144" s="1"/>
      <c r="AC144" s="1"/>
      <c r="AD144" s="1"/>
      <c r="AE144" s="1">
        <v>4.1500000000000004</v>
      </c>
      <c r="AF144" s="1"/>
      <c r="AH144" s="57"/>
    </row>
    <row r="145" spans="1:34" ht="15" customHeight="1">
      <c r="A145" s="1"/>
      <c r="B145" s="1"/>
      <c r="C145" s="1"/>
      <c r="D145" s="1">
        <v>3</v>
      </c>
      <c r="E145" s="1">
        <v>3.25</v>
      </c>
      <c r="F145" s="1"/>
      <c r="G145" s="1"/>
      <c r="H145" s="1"/>
      <c r="I145" s="1">
        <v>8.61</v>
      </c>
      <c r="J145" s="1"/>
      <c r="K145" s="1"/>
      <c r="L145" s="1">
        <v>0.85</v>
      </c>
      <c r="M145" s="1">
        <v>0.44</v>
      </c>
      <c r="N145" s="1"/>
      <c r="O145" s="1"/>
      <c r="P145" s="1">
        <v>4.4400000000000004</v>
      </c>
      <c r="Q145" s="1">
        <v>1.65</v>
      </c>
      <c r="R145" s="1"/>
      <c r="S145" s="1">
        <v>0.48</v>
      </c>
      <c r="T145" s="1"/>
      <c r="U145" s="1">
        <v>3.67</v>
      </c>
      <c r="V145" s="1">
        <v>34.299999999999997</v>
      </c>
      <c r="W145" s="1">
        <f t="shared" si="9"/>
        <v>57.69</v>
      </c>
      <c r="X145" s="1"/>
      <c r="Y145" s="1"/>
      <c r="Z145" s="1">
        <v>7.2</v>
      </c>
      <c r="AA145" s="8">
        <f>AVERAGEA(AA144,AA146,AA147,AA143)</f>
        <v>1.1125</v>
      </c>
      <c r="AB145" s="1"/>
      <c r="AC145" s="1"/>
      <c r="AD145" s="1"/>
      <c r="AE145" s="1">
        <v>3.85</v>
      </c>
      <c r="AF145" s="1"/>
      <c r="AH145" s="57"/>
    </row>
    <row r="146" spans="1:34" ht="15" customHeight="1">
      <c r="A146" s="1"/>
      <c r="B146" s="1"/>
      <c r="C146" s="1"/>
      <c r="D146" s="1">
        <v>4</v>
      </c>
      <c r="E146" s="1">
        <v>0.65</v>
      </c>
      <c r="F146" s="1"/>
      <c r="G146" s="1"/>
      <c r="H146" s="1"/>
      <c r="I146" s="1">
        <v>5.56</v>
      </c>
      <c r="J146" s="1"/>
      <c r="K146" s="1"/>
      <c r="L146" s="1">
        <v>0.17</v>
      </c>
      <c r="M146" s="1">
        <v>4.17</v>
      </c>
      <c r="N146" s="1"/>
      <c r="O146" s="1">
        <v>0.49</v>
      </c>
      <c r="P146" s="1">
        <v>5.09</v>
      </c>
      <c r="Q146" s="1">
        <v>0.18</v>
      </c>
      <c r="R146" s="1"/>
      <c r="S146" s="1">
        <v>2.5299999999999998</v>
      </c>
      <c r="T146" s="1"/>
      <c r="U146" s="1">
        <v>13.38</v>
      </c>
      <c r="V146" s="1">
        <v>38.86</v>
      </c>
      <c r="W146" s="1">
        <f t="shared" si="9"/>
        <v>71.080000000000013</v>
      </c>
      <c r="X146" s="1"/>
      <c r="Y146" s="1"/>
      <c r="Z146" s="1">
        <v>12.16</v>
      </c>
      <c r="AA146" s="1">
        <v>0.98</v>
      </c>
      <c r="AB146" s="1"/>
      <c r="AC146" s="1"/>
      <c r="AD146" s="1"/>
      <c r="AE146" s="1">
        <v>3.63</v>
      </c>
      <c r="AF146" s="1"/>
      <c r="AH146" s="57"/>
    </row>
    <row r="147" spans="1:34" ht="15" customHeight="1">
      <c r="A147" s="1"/>
      <c r="B147" s="1"/>
      <c r="C147" s="1"/>
      <c r="D147" s="1">
        <v>5</v>
      </c>
      <c r="E147" s="1">
        <v>0.48</v>
      </c>
      <c r="F147" s="1"/>
      <c r="G147" s="1"/>
      <c r="H147" s="1"/>
      <c r="I147" s="1">
        <v>6.05</v>
      </c>
      <c r="J147" s="1"/>
      <c r="K147" s="1"/>
      <c r="L147" s="1">
        <v>0.41</v>
      </c>
      <c r="M147" s="1">
        <v>0.95</v>
      </c>
      <c r="N147" s="1"/>
      <c r="O147" s="1">
        <v>0.26</v>
      </c>
      <c r="P147" s="1">
        <v>8.5500000000000007</v>
      </c>
      <c r="Q147" s="1"/>
      <c r="R147" s="1"/>
      <c r="S147" s="1">
        <v>1.79</v>
      </c>
      <c r="T147" s="1"/>
      <c r="U147" s="1">
        <v>14.24</v>
      </c>
      <c r="V147" s="1">
        <v>28.38</v>
      </c>
      <c r="W147" s="1">
        <f t="shared" si="9"/>
        <v>61.11</v>
      </c>
      <c r="X147" s="1">
        <f>AVERAGE(W143:W147)</f>
        <v>68.742000000000004</v>
      </c>
      <c r="Y147" s="1"/>
      <c r="Z147" s="8">
        <f>AVERAGE(Z145:Z146,Z143)</f>
        <v>8.8666666666666671</v>
      </c>
      <c r="AA147" s="1">
        <v>0.48</v>
      </c>
      <c r="AB147" s="1">
        <f>AVERAGE(AA143:AA147)</f>
        <v>1.1125</v>
      </c>
      <c r="AC147" s="1"/>
      <c r="AD147" s="1"/>
      <c r="AE147" s="1">
        <v>5.18</v>
      </c>
      <c r="AF147" s="1">
        <f>AVERAGE(AE143:AE147)</f>
        <v>5.1859999999999999</v>
      </c>
      <c r="AH147" s="57"/>
    </row>
    <row r="148" spans="1:34" ht="15" customHeight="1">
      <c r="A148" s="1"/>
      <c r="B148" s="1"/>
      <c r="C148" s="1">
        <v>2</v>
      </c>
      <c r="D148" s="1">
        <v>1</v>
      </c>
      <c r="E148" s="1">
        <v>2.4300000000000002</v>
      </c>
      <c r="F148" s="1">
        <v>6.58</v>
      </c>
      <c r="G148" s="1">
        <v>10.86</v>
      </c>
      <c r="H148" s="1"/>
      <c r="I148" s="1">
        <v>4.99</v>
      </c>
      <c r="J148" s="1"/>
      <c r="K148" s="1"/>
      <c r="L148" s="1">
        <v>0.49</v>
      </c>
      <c r="M148" s="1">
        <v>2.1</v>
      </c>
      <c r="N148" s="1"/>
      <c r="O148" s="1"/>
      <c r="P148" s="1">
        <v>6.92</v>
      </c>
      <c r="Q148" s="1">
        <v>0.05</v>
      </c>
      <c r="R148" s="1"/>
      <c r="S148" s="1">
        <v>1.73</v>
      </c>
      <c r="T148" s="1"/>
      <c r="U148" s="1">
        <v>7.14</v>
      </c>
      <c r="V148" s="1">
        <v>23.73</v>
      </c>
      <c r="W148" s="1">
        <f t="shared" si="9"/>
        <v>67.02</v>
      </c>
      <c r="X148" s="1"/>
      <c r="Y148" s="1"/>
      <c r="Z148" s="1">
        <v>14.8</v>
      </c>
      <c r="AA148" s="1">
        <v>2.38</v>
      </c>
      <c r="AB148" s="1"/>
      <c r="AC148" s="1"/>
      <c r="AD148" s="1"/>
      <c r="AE148" s="1">
        <v>1.95</v>
      </c>
      <c r="AF148" s="1"/>
      <c r="AH148" s="57"/>
    </row>
    <row r="149" spans="1:34" ht="15" customHeight="1">
      <c r="A149" s="1"/>
      <c r="B149" s="1"/>
      <c r="C149" s="1"/>
      <c r="D149" s="1">
        <v>2</v>
      </c>
      <c r="E149" s="1">
        <v>9</v>
      </c>
      <c r="F149" s="1">
        <v>0.47</v>
      </c>
      <c r="G149" s="1">
        <v>2.48</v>
      </c>
      <c r="H149" s="1"/>
      <c r="I149" s="1">
        <v>6.96</v>
      </c>
      <c r="J149" s="1"/>
      <c r="K149" s="1"/>
      <c r="L149" s="1">
        <v>0.02</v>
      </c>
      <c r="M149" s="1">
        <v>10.96</v>
      </c>
      <c r="N149" s="1"/>
      <c r="O149" s="1"/>
      <c r="P149" s="1">
        <v>9.02</v>
      </c>
      <c r="Q149" s="1">
        <v>1.45</v>
      </c>
      <c r="R149" s="1"/>
      <c r="S149" s="1">
        <v>0.73</v>
      </c>
      <c r="T149" s="1"/>
      <c r="U149" s="1">
        <v>0.66</v>
      </c>
      <c r="V149" s="1">
        <v>24.16</v>
      </c>
      <c r="W149" s="1">
        <f t="shared" si="9"/>
        <v>65.91</v>
      </c>
      <c r="X149" s="1"/>
      <c r="Y149" s="1"/>
      <c r="Z149" s="1">
        <v>12.64</v>
      </c>
      <c r="AA149" s="1">
        <v>0.87</v>
      </c>
      <c r="AB149" s="1"/>
      <c r="AC149" s="1"/>
      <c r="AD149" s="1"/>
      <c r="AE149" s="1">
        <v>2.15</v>
      </c>
      <c r="AF149" s="1"/>
      <c r="AH149" s="57"/>
    </row>
    <row r="150" spans="1:34" ht="15" customHeight="1">
      <c r="A150" s="1"/>
      <c r="B150" s="1"/>
      <c r="C150" s="1"/>
      <c r="D150" s="1">
        <v>3</v>
      </c>
      <c r="E150" s="1">
        <v>3.36</v>
      </c>
      <c r="F150" s="1">
        <v>0.53</v>
      </c>
      <c r="G150" s="1">
        <v>3.88</v>
      </c>
      <c r="H150" s="1"/>
      <c r="I150" s="1">
        <v>8.9</v>
      </c>
      <c r="J150" s="1"/>
      <c r="K150" s="1"/>
      <c r="L150" s="1"/>
      <c r="M150" s="1">
        <v>10.130000000000001</v>
      </c>
      <c r="N150" s="1"/>
      <c r="O150" s="1"/>
      <c r="P150" s="1">
        <v>24.84</v>
      </c>
      <c r="Q150" s="1">
        <v>0.99</v>
      </c>
      <c r="R150" s="1"/>
      <c r="S150" s="1">
        <v>0.51</v>
      </c>
      <c r="T150" s="1"/>
      <c r="U150" s="1">
        <v>3.99</v>
      </c>
      <c r="V150" s="1">
        <v>23.34</v>
      </c>
      <c r="W150" s="1">
        <f t="shared" si="9"/>
        <v>80.47</v>
      </c>
      <c r="X150" s="1"/>
      <c r="Y150" s="1"/>
      <c r="Z150" s="1">
        <v>8.32</v>
      </c>
      <c r="AA150" s="1">
        <v>2.21</v>
      </c>
      <c r="AB150" s="1"/>
      <c r="AC150" s="1"/>
      <c r="AD150" s="1"/>
      <c r="AE150" s="1">
        <v>2.57</v>
      </c>
      <c r="AF150" s="1"/>
      <c r="AH150" s="57"/>
    </row>
    <row r="151" spans="1:34" ht="15" customHeight="1">
      <c r="A151" s="1"/>
      <c r="B151" s="1"/>
      <c r="C151" s="1"/>
      <c r="D151" s="1">
        <v>4</v>
      </c>
      <c r="E151" s="1">
        <v>1.75</v>
      </c>
      <c r="F151" s="1">
        <v>1.46</v>
      </c>
      <c r="G151" s="1">
        <v>7.1</v>
      </c>
      <c r="H151" s="1"/>
      <c r="I151" s="1">
        <v>4.72</v>
      </c>
      <c r="J151" s="1"/>
      <c r="K151" s="1"/>
      <c r="L151" s="1"/>
      <c r="M151" s="1">
        <v>5.55</v>
      </c>
      <c r="N151" s="1"/>
      <c r="O151" s="1"/>
      <c r="P151" s="1">
        <v>5.8</v>
      </c>
      <c r="Q151" s="1">
        <v>0.23</v>
      </c>
      <c r="R151" s="1"/>
      <c r="S151" s="1">
        <v>0.57999999999999996</v>
      </c>
      <c r="T151" s="1"/>
      <c r="U151" s="1">
        <v>11.8</v>
      </c>
      <c r="V151" s="1">
        <v>35.99</v>
      </c>
      <c r="W151" s="1">
        <f t="shared" si="9"/>
        <v>74.97999999999999</v>
      </c>
      <c r="X151" s="1"/>
      <c r="Y151" s="1"/>
      <c r="Z151" s="30">
        <v>12.75</v>
      </c>
      <c r="AA151" s="1">
        <v>0.53</v>
      </c>
      <c r="AB151" s="1"/>
      <c r="AC151" s="1"/>
      <c r="AD151" s="1"/>
      <c r="AE151" s="1">
        <v>2.6</v>
      </c>
      <c r="AF151" s="1"/>
      <c r="AH151" s="57"/>
    </row>
    <row r="152" spans="1:34" ht="15" customHeight="1">
      <c r="A152" s="1"/>
      <c r="B152" s="1"/>
      <c r="C152" s="1"/>
      <c r="D152" s="1">
        <v>5</v>
      </c>
      <c r="E152" s="1">
        <v>2.2400000000000002</v>
      </c>
      <c r="F152" s="1">
        <v>1.46</v>
      </c>
      <c r="G152" s="1">
        <v>6.36</v>
      </c>
      <c r="H152" s="1"/>
      <c r="I152" s="1">
        <v>6.15</v>
      </c>
      <c r="J152" s="1"/>
      <c r="K152" s="1"/>
      <c r="L152" s="1">
        <v>0.23</v>
      </c>
      <c r="M152" s="1">
        <v>8.91</v>
      </c>
      <c r="N152" s="1"/>
      <c r="O152" s="1"/>
      <c r="P152" s="1">
        <v>14.3</v>
      </c>
      <c r="Q152" s="1">
        <v>0.71</v>
      </c>
      <c r="R152" s="1">
        <v>7.38</v>
      </c>
      <c r="S152" s="1">
        <v>0.34</v>
      </c>
      <c r="T152" s="1"/>
      <c r="U152" s="1">
        <v>2.5</v>
      </c>
      <c r="V152" s="1">
        <v>28.68</v>
      </c>
      <c r="W152" s="1">
        <f t="shared" si="9"/>
        <v>79.260000000000019</v>
      </c>
      <c r="X152" s="1">
        <f>AVERAGE(W148:W152)</f>
        <v>73.527999999999992</v>
      </c>
      <c r="Y152" s="1"/>
      <c r="Z152" s="48">
        <f>AVERAGE(Z148:Z151)</f>
        <v>12.127500000000001</v>
      </c>
      <c r="AA152" s="1">
        <v>0.63</v>
      </c>
      <c r="AB152" s="1">
        <f>AVERAGE(AA148:AA152)</f>
        <v>1.3240000000000001</v>
      </c>
      <c r="AC152" s="1"/>
      <c r="AD152" s="1"/>
      <c r="AE152" s="1">
        <v>2.23</v>
      </c>
      <c r="AF152" s="1">
        <f>AVERAGE(AE148:AE152)</f>
        <v>2.2999999999999998</v>
      </c>
      <c r="AH152" s="57"/>
    </row>
    <row r="153" spans="1:34" ht="15" customHeight="1">
      <c r="A153" s="1"/>
      <c r="B153" s="1"/>
      <c r="C153" s="1">
        <v>3</v>
      </c>
      <c r="D153" s="1">
        <v>1</v>
      </c>
      <c r="E153" s="1">
        <v>1.82</v>
      </c>
      <c r="F153" s="1"/>
      <c r="G153" s="1">
        <v>4.66</v>
      </c>
      <c r="H153" s="1"/>
      <c r="I153" s="1">
        <v>7.08</v>
      </c>
      <c r="J153" s="1"/>
      <c r="K153" s="1"/>
      <c r="L153" s="1"/>
      <c r="M153" s="1">
        <v>14.3</v>
      </c>
      <c r="N153" s="1"/>
      <c r="O153" s="1"/>
      <c r="P153" s="1">
        <v>5.57</v>
      </c>
      <c r="Q153" s="1"/>
      <c r="R153" s="1"/>
      <c r="S153" s="1">
        <v>1.01</v>
      </c>
      <c r="T153" s="1"/>
      <c r="U153" s="1">
        <v>6.15</v>
      </c>
      <c r="V153" s="1">
        <v>20.49</v>
      </c>
      <c r="W153" s="1">
        <f t="shared" si="9"/>
        <v>61.08</v>
      </c>
      <c r="X153" s="1"/>
      <c r="Y153" s="1"/>
      <c r="Z153" s="1">
        <v>7.13</v>
      </c>
      <c r="AA153" s="1">
        <v>3.52</v>
      </c>
      <c r="AB153" s="1"/>
      <c r="AC153" s="1"/>
      <c r="AD153" s="1"/>
      <c r="AE153" s="1">
        <v>4.1100000000000003</v>
      </c>
      <c r="AF153" s="1"/>
      <c r="AH153" s="57"/>
    </row>
    <row r="154" spans="1:34" ht="15" customHeight="1">
      <c r="A154" s="1"/>
      <c r="B154" s="1"/>
      <c r="C154" s="1"/>
      <c r="D154" s="1">
        <v>2</v>
      </c>
      <c r="E154" s="1">
        <v>2.62</v>
      </c>
      <c r="F154" s="1">
        <v>0.81</v>
      </c>
      <c r="G154" s="1">
        <v>3.04</v>
      </c>
      <c r="H154" s="1"/>
      <c r="I154" s="1">
        <v>4.08</v>
      </c>
      <c r="J154" s="1"/>
      <c r="K154" s="1"/>
      <c r="L154" s="1"/>
      <c r="M154" s="1">
        <v>7.26</v>
      </c>
      <c r="N154" s="1"/>
      <c r="O154" s="1"/>
      <c r="P154" s="1">
        <v>26.61</v>
      </c>
      <c r="Q154" s="1"/>
      <c r="R154" s="1"/>
      <c r="S154" s="1">
        <v>1.05</v>
      </c>
      <c r="T154" s="1"/>
      <c r="U154" s="1">
        <v>5.22</v>
      </c>
      <c r="V154" s="1">
        <v>29.85</v>
      </c>
      <c r="W154" s="1">
        <f t="shared" si="9"/>
        <v>80.539999999999992</v>
      </c>
      <c r="X154" s="1"/>
      <c r="Y154" s="1"/>
      <c r="Z154" s="1">
        <v>8.64</v>
      </c>
      <c r="AA154" s="1">
        <v>1.1299999999999999</v>
      </c>
      <c r="AB154" s="1"/>
      <c r="AC154" s="1"/>
      <c r="AD154" s="1"/>
      <c r="AE154" s="1">
        <v>8.19</v>
      </c>
      <c r="AF154" s="1"/>
      <c r="AH154" s="57"/>
    </row>
    <row r="155" spans="1:34" ht="15" customHeight="1">
      <c r="A155" s="1"/>
      <c r="B155" s="1"/>
      <c r="C155" s="1"/>
      <c r="D155" s="1">
        <v>3</v>
      </c>
      <c r="E155" s="1">
        <v>1.99</v>
      </c>
      <c r="F155" s="1"/>
      <c r="G155" s="1">
        <v>5.37</v>
      </c>
      <c r="H155" s="1"/>
      <c r="I155" s="1">
        <v>4.54</v>
      </c>
      <c r="J155" s="1"/>
      <c r="K155" s="1"/>
      <c r="L155" s="1">
        <v>0.39</v>
      </c>
      <c r="M155" s="1">
        <v>0.89</v>
      </c>
      <c r="N155" s="1"/>
      <c r="O155" s="1">
        <v>0.06</v>
      </c>
      <c r="P155" s="1">
        <v>5.78</v>
      </c>
      <c r="Q155" s="1"/>
      <c r="R155" s="1"/>
      <c r="S155" s="1">
        <v>1.91</v>
      </c>
      <c r="T155" s="1"/>
      <c r="U155" s="1">
        <v>8.3699999999999992</v>
      </c>
      <c r="V155" s="1">
        <v>40.35</v>
      </c>
      <c r="W155" s="1">
        <f t="shared" si="9"/>
        <v>69.650000000000006</v>
      </c>
      <c r="X155" s="1"/>
      <c r="Y155" s="1"/>
      <c r="Z155" s="1">
        <v>8.36</v>
      </c>
      <c r="AA155" s="1">
        <v>8.14</v>
      </c>
      <c r="AB155" s="1"/>
      <c r="AC155" s="1"/>
      <c r="AD155" s="1"/>
      <c r="AE155" s="8">
        <f>AVERAGE(AE153:AE154,AE156:AE157)</f>
        <v>4.8525</v>
      </c>
      <c r="AF155" s="1"/>
      <c r="AH155" s="57"/>
    </row>
    <row r="156" spans="1:34" ht="15" customHeight="1">
      <c r="A156" s="1"/>
      <c r="B156" s="1"/>
      <c r="C156" s="1"/>
      <c r="D156" s="1">
        <v>4</v>
      </c>
      <c r="E156" s="1">
        <v>0.23</v>
      </c>
      <c r="F156" s="1"/>
      <c r="G156" s="1">
        <v>6.29</v>
      </c>
      <c r="H156" s="1"/>
      <c r="I156" s="1">
        <v>4.7</v>
      </c>
      <c r="J156" s="1"/>
      <c r="K156" s="1"/>
      <c r="L156" s="1">
        <v>0.08</v>
      </c>
      <c r="M156" s="1">
        <v>1.4</v>
      </c>
      <c r="N156" s="1"/>
      <c r="O156" s="1"/>
      <c r="P156" s="1">
        <v>4.49</v>
      </c>
      <c r="Q156" s="1">
        <v>0.26</v>
      </c>
      <c r="R156" s="1"/>
      <c r="S156" s="1">
        <v>0.43</v>
      </c>
      <c r="T156" s="1"/>
      <c r="U156" s="1">
        <v>11.53</v>
      </c>
      <c r="V156" s="1">
        <v>28.76</v>
      </c>
      <c r="W156" s="1">
        <f t="shared" si="9"/>
        <v>58.17</v>
      </c>
      <c r="X156" s="1"/>
      <c r="Y156" s="1"/>
      <c r="Z156" s="8">
        <f>AVERAGE(Z153:Z155)</f>
        <v>8.043333333333333</v>
      </c>
      <c r="AA156" s="1">
        <v>0.04</v>
      </c>
      <c r="AB156" s="1"/>
      <c r="AC156" s="1"/>
      <c r="AD156" s="1"/>
      <c r="AE156" s="1">
        <v>4.2</v>
      </c>
      <c r="AF156" s="1"/>
      <c r="AH156" s="57"/>
    </row>
    <row r="157" spans="1:34" ht="15" customHeight="1">
      <c r="A157" s="1"/>
      <c r="B157" s="1"/>
      <c r="C157" s="1"/>
      <c r="D157" s="1">
        <v>5</v>
      </c>
      <c r="E157" s="1">
        <v>0.68</v>
      </c>
      <c r="F157" s="1"/>
      <c r="G157" s="1">
        <v>5.49</v>
      </c>
      <c r="H157" s="1"/>
      <c r="I157" s="1">
        <v>3.92</v>
      </c>
      <c r="J157" s="1"/>
      <c r="K157" s="1"/>
      <c r="L157" s="1">
        <v>0.04</v>
      </c>
      <c r="M157" s="1">
        <v>2.89</v>
      </c>
      <c r="N157" s="1"/>
      <c r="O157" s="1">
        <v>0.22</v>
      </c>
      <c r="P157" s="1">
        <v>3.91</v>
      </c>
      <c r="Q157" s="1"/>
      <c r="R157" s="1"/>
      <c r="S157" s="1">
        <v>1.18</v>
      </c>
      <c r="T157" s="1"/>
      <c r="U157" s="1">
        <v>7.34</v>
      </c>
      <c r="V157" s="1">
        <v>33.409999999999997</v>
      </c>
      <c r="W157" s="1">
        <f t="shared" si="9"/>
        <v>59.08</v>
      </c>
      <c r="X157" s="1">
        <f>AVERAGE(W153:W157)</f>
        <v>65.703999999999994</v>
      </c>
      <c r="Y157" s="1"/>
      <c r="Z157" s="8">
        <f>AVERAGE(Z153:Z155)</f>
        <v>8.043333333333333</v>
      </c>
      <c r="AA157" s="1">
        <v>0.98</v>
      </c>
      <c r="AB157" s="1">
        <f>AVERAGE(AA153:AA157)</f>
        <v>2.762</v>
      </c>
      <c r="AC157" s="1"/>
      <c r="AD157" s="1"/>
      <c r="AE157" s="1">
        <v>2.91</v>
      </c>
      <c r="AF157" s="1">
        <f>AVERAGE(AE153:AE157)</f>
        <v>4.8525</v>
      </c>
      <c r="AH157" s="57"/>
    </row>
    <row r="158" spans="1:34" ht="15" customHeight="1">
      <c r="A158" s="1"/>
      <c r="B158" s="1"/>
      <c r="C158" s="1">
        <v>4</v>
      </c>
      <c r="D158" s="1">
        <v>1</v>
      </c>
      <c r="E158" s="1">
        <v>0.55000000000000004</v>
      </c>
      <c r="F158" s="1"/>
      <c r="G158" s="1">
        <v>0.23</v>
      </c>
      <c r="H158" s="1"/>
      <c r="I158" s="1">
        <v>9.16</v>
      </c>
      <c r="J158" s="1"/>
      <c r="K158" s="1"/>
      <c r="L158" s="1">
        <v>0.45</v>
      </c>
      <c r="M158" s="1">
        <v>1.0900000000000001</v>
      </c>
      <c r="N158" s="1"/>
      <c r="O158" s="1">
        <v>1.52</v>
      </c>
      <c r="P158" s="1">
        <v>5.96</v>
      </c>
      <c r="Q158" s="1"/>
      <c r="R158" s="1"/>
      <c r="S158" s="1">
        <v>1.2</v>
      </c>
      <c r="T158" s="1"/>
      <c r="U158" s="1">
        <v>19.350000000000001</v>
      </c>
      <c r="V158" s="1">
        <v>23.26</v>
      </c>
      <c r="W158" s="1">
        <f t="shared" si="9"/>
        <v>62.769999999999996</v>
      </c>
      <c r="X158" s="1"/>
      <c r="Y158" s="1"/>
      <c r="Z158" s="1">
        <v>6.49</v>
      </c>
      <c r="AA158" s="1">
        <v>0.33</v>
      </c>
      <c r="AB158" s="1"/>
      <c r="AC158" s="1"/>
      <c r="AD158" s="1"/>
      <c r="AE158" s="1">
        <v>2.56</v>
      </c>
      <c r="AF158" s="1"/>
      <c r="AH158" s="57"/>
    </row>
    <row r="159" spans="1:34" ht="15" customHeight="1">
      <c r="A159" s="1"/>
      <c r="B159" s="1"/>
      <c r="C159" s="1"/>
      <c r="D159" s="1">
        <v>2</v>
      </c>
      <c r="E159" s="1">
        <v>1.92</v>
      </c>
      <c r="F159" s="1"/>
      <c r="G159" s="1">
        <v>7.0000000000000007E-2</v>
      </c>
      <c r="H159" s="1"/>
      <c r="I159" s="1">
        <v>9.58</v>
      </c>
      <c r="J159" s="1"/>
      <c r="K159" s="1"/>
      <c r="L159" s="1">
        <v>0.63</v>
      </c>
      <c r="M159" s="1">
        <v>4.9800000000000004</v>
      </c>
      <c r="N159" s="1"/>
      <c r="O159" s="1"/>
      <c r="P159" s="1">
        <v>6.48</v>
      </c>
      <c r="Q159" s="1">
        <v>1.39</v>
      </c>
      <c r="R159" s="1"/>
      <c r="S159" s="1">
        <v>1.85</v>
      </c>
      <c r="T159" s="1"/>
      <c r="U159" s="1">
        <v>5.41</v>
      </c>
      <c r="V159" s="1">
        <v>23.68</v>
      </c>
      <c r="W159" s="1">
        <f t="shared" si="9"/>
        <v>55.99</v>
      </c>
      <c r="X159" s="1"/>
      <c r="Y159" s="1"/>
      <c r="Z159" s="1">
        <v>13.55</v>
      </c>
      <c r="AA159" s="1">
        <v>0.43</v>
      </c>
      <c r="AB159" s="1"/>
      <c r="AC159" s="1"/>
      <c r="AD159" s="1"/>
      <c r="AE159" s="1">
        <v>2.71</v>
      </c>
      <c r="AF159" s="1"/>
      <c r="AH159" s="57"/>
    </row>
    <row r="160" spans="1:34" ht="15" customHeight="1">
      <c r="A160" s="1"/>
      <c r="B160" s="1"/>
      <c r="C160" s="1"/>
      <c r="D160" s="1">
        <v>3</v>
      </c>
      <c r="E160" s="1">
        <v>4.33</v>
      </c>
      <c r="F160" s="1"/>
      <c r="G160" s="1">
        <v>0.69</v>
      </c>
      <c r="H160" s="1"/>
      <c r="I160" s="1">
        <v>7.84</v>
      </c>
      <c r="J160" s="1"/>
      <c r="K160" s="1"/>
      <c r="L160" s="1"/>
      <c r="M160" s="1">
        <v>8.27</v>
      </c>
      <c r="N160" s="1"/>
      <c r="O160" s="1"/>
      <c r="P160" s="1">
        <v>8.36</v>
      </c>
      <c r="Q160" s="1">
        <v>0.4</v>
      </c>
      <c r="R160" s="1"/>
      <c r="S160" s="1">
        <v>0.54</v>
      </c>
      <c r="T160" s="1"/>
      <c r="U160" s="1">
        <v>5.73</v>
      </c>
      <c r="V160" s="1">
        <v>23.92</v>
      </c>
      <c r="W160" s="1">
        <f t="shared" si="9"/>
        <v>60.08</v>
      </c>
      <c r="X160" s="1"/>
      <c r="Y160" s="1"/>
      <c r="Z160" s="1">
        <v>8.2200000000000006</v>
      </c>
      <c r="AA160" s="1">
        <v>3.65</v>
      </c>
      <c r="AB160" s="1"/>
      <c r="AC160" s="1"/>
      <c r="AD160" s="1"/>
      <c r="AE160" s="1">
        <v>4</v>
      </c>
      <c r="AF160" s="1"/>
      <c r="AH160" s="57"/>
    </row>
    <row r="161" spans="1:34" ht="15" customHeight="1">
      <c r="A161" s="1"/>
      <c r="B161" s="1"/>
      <c r="C161" s="1"/>
      <c r="D161" s="1">
        <v>4</v>
      </c>
      <c r="E161" s="1">
        <v>3.55</v>
      </c>
      <c r="F161" s="1"/>
      <c r="G161" s="1">
        <v>0.65</v>
      </c>
      <c r="H161" s="1"/>
      <c r="I161" s="1">
        <v>8.6199999999999992</v>
      </c>
      <c r="J161" s="1"/>
      <c r="K161" s="1"/>
      <c r="L161" s="1">
        <v>0.69</v>
      </c>
      <c r="M161" s="1">
        <v>1.41</v>
      </c>
      <c r="N161" s="1"/>
      <c r="O161" s="1">
        <v>0.08</v>
      </c>
      <c r="P161" s="1">
        <v>10.45</v>
      </c>
      <c r="Q161" s="1">
        <v>0.57999999999999996</v>
      </c>
      <c r="R161" s="1"/>
      <c r="S161" s="1">
        <v>3.05</v>
      </c>
      <c r="T161" s="1"/>
      <c r="U161" s="1">
        <v>12.71</v>
      </c>
      <c r="V161" s="1">
        <v>30.49</v>
      </c>
      <c r="W161" s="1">
        <f t="shared" si="9"/>
        <v>72.28</v>
      </c>
      <c r="X161" s="1"/>
      <c r="Y161" s="1"/>
      <c r="Z161" s="1">
        <v>6.99</v>
      </c>
      <c r="AA161" s="1">
        <v>1.22</v>
      </c>
      <c r="AB161" s="1"/>
      <c r="AC161" s="1"/>
      <c r="AD161" s="1"/>
      <c r="AE161" s="1">
        <v>2.3199999999999998</v>
      </c>
      <c r="AF161" s="1"/>
      <c r="AH161" s="57"/>
    </row>
    <row r="162" spans="1:34" ht="15" customHeight="1">
      <c r="A162" s="1"/>
      <c r="B162" s="1"/>
      <c r="C162" s="1"/>
      <c r="D162" s="1">
        <v>5</v>
      </c>
      <c r="E162" s="1">
        <v>2.0099999999999998</v>
      </c>
      <c r="F162" s="1"/>
      <c r="G162" s="1">
        <v>0.09</v>
      </c>
      <c r="H162" s="1"/>
      <c r="I162" s="1">
        <v>9.5500000000000007</v>
      </c>
      <c r="J162" s="1"/>
      <c r="K162" s="1"/>
      <c r="L162" s="1"/>
      <c r="M162" s="1">
        <v>2.52</v>
      </c>
      <c r="N162" s="1"/>
      <c r="O162" s="1">
        <v>0.1</v>
      </c>
      <c r="P162" s="1">
        <v>10.28</v>
      </c>
      <c r="Q162" s="1">
        <v>1.6</v>
      </c>
      <c r="R162" s="1"/>
      <c r="S162" s="1">
        <v>1.77</v>
      </c>
      <c r="T162" s="1"/>
      <c r="U162" s="1">
        <v>8.86</v>
      </c>
      <c r="V162" s="1">
        <v>22.65</v>
      </c>
      <c r="W162" s="1">
        <f t="shared" si="9"/>
        <v>59.43</v>
      </c>
      <c r="X162" s="1">
        <f>AVERAGE(W158:W162)</f>
        <v>62.109999999999992</v>
      </c>
      <c r="Y162" s="1"/>
      <c r="Z162" s="8">
        <f>AVERAGE(Z158:Z161)</f>
        <v>8.8125</v>
      </c>
      <c r="AA162" s="1">
        <v>0.5</v>
      </c>
      <c r="AB162" s="1">
        <f>AVERAGE(AA158:AA162)</f>
        <v>1.226</v>
      </c>
      <c r="AC162" s="1"/>
      <c r="AD162" s="1"/>
      <c r="AE162" s="1">
        <v>4.05</v>
      </c>
      <c r="AF162" s="1">
        <f>AVERAGE(AE158:AE162)</f>
        <v>3.1280000000000001</v>
      </c>
      <c r="AH162" s="57"/>
    </row>
    <row r="163" spans="1:34" ht="15" customHeight="1">
      <c r="A163" s="1" t="s">
        <v>103</v>
      </c>
      <c r="B163" s="1" t="s">
        <v>105</v>
      </c>
      <c r="C163" s="1">
        <v>1</v>
      </c>
      <c r="D163" s="1">
        <v>1</v>
      </c>
      <c r="E163" s="1"/>
      <c r="F163" s="1"/>
      <c r="G163" s="1"/>
      <c r="H163" s="1"/>
      <c r="I163" s="1">
        <v>26.85</v>
      </c>
      <c r="J163" s="1"/>
      <c r="K163" s="1"/>
      <c r="L163" s="1"/>
      <c r="M163" s="1"/>
      <c r="N163" s="1"/>
      <c r="O163" s="1"/>
      <c r="P163" s="1">
        <v>2.21</v>
      </c>
      <c r="Q163" s="1"/>
      <c r="R163" s="1"/>
      <c r="S163" s="1">
        <v>0.67</v>
      </c>
      <c r="T163" s="1"/>
      <c r="U163" s="1">
        <v>8.4700000000000006</v>
      </c>
      <c r="V163" s="1">
        <v>25.42</v>
      </c>
      <c r="W163" s="1">
        <f t="shared" si="9"/>
        <v>63.620000000000005</v>
      </c>
      <c r="X163" s="1"/>
      <c r="Y163" s="1"/>
      <c r="Z163" s="48">
        <f>AVERAGE($Z$166,$Z$164)</f>
        <v>10.475</v>
      </c>
      <c r="AA163" s="1">
        <v>2.9</v>
      </c>
      <c r="AB163" s="1"/>
      <c r="AC163" s="1"/>
      <c r="AD163" s="1"/>
      <c r="AE163" s="1">
        <v>3.75</v>
      </c>
      <c r="AF163" s="1"/>
      <c r="AH163" s="57"/>
    </row>
    <row r="164" spans="1:34" ht="15" customHeight="1">
      <c r="A164" s="1"/>
      <c r="B164" s="1"/>
      <c r="C164" s="1"/>
      <c r="D164" s="1">
        <v>2</v>
      </c>
      <c r="E164" s="1"/>
      <c r="F164" s="1"/>
      <c r="G164" s="1"/>
      <c r="H164" s="1"/>
      <c r="I164" s="1">
        <v>24.33</v>
      </c>
      <c r="J164" s="1"/>
      <c r="K164" s="1"/>
      <c r="L164" s="1">
        <v>0.12</v>
      </c>
      <c r="M164" s="1"/>
      <c r="N164" s="1"/>
      <c r="O164" s="1">
        <v>0.15</v>
      </c>
      <c r="P164" s="1">
        <v>41.01</v>
      </c>
      <c r="Q164" s="1"/>
      <c r="R164" s="1"/>
      <c r="S164" s="1">
        <v>0.72</v>
      </c>
      <c r="T164" s="1"/>
      <c r="U164" s="1">
        <v>2.04</v>
      </c>
      <c r="V164" s="1">
        <v>16.27</v>
      </c>
      <c r="W164" s="1">
        <f t="shared" si="9"/>
        <v>84.64</v>
      </c>
      <c r="X164" s="1"/>
      <c r="Y164" s="1"/>
      <c r="Z164" s="30">
        <v>10.85</v>
      </c>
      <c r="AA164" s="1">
        <v>2.17</v>
      </c>
      <c r="AB164" s="1"/>
      <c r="AC164" s="1"/>
      <c r="AD164" s="1"/>
      <c r="AE164" s="8">
        <f>AVERAGE(AE163,AE165:AE166)</f>
        <v>3.456666666666667</v>
      </c>
      <c r="AF164" s="1"/>
      <c r="AH164" s="57"/>
    </row>
    <row r="165" spans="1:34" ht="15" customHeight="1">
      <c r="A165" s="1"/>
      <c r="B165" s="1"/>
      <c r="C165" s="1"/>
      <c r="D165" s="1">
        <v>3</v>
      </c>
      <c r="E165" s="1"/>
      <c r="F165" s="1"/>
      <c r="G165" s="1"/>
      <c r="H165" s="1"/>
      <c r="I165" s="1">
        <v>39.630000000000003</v>
      </c>
      <c r="J165" s="1"/>
      <c r="K165" s="1"/>
      <c r="L165" s="1"/>
      <c r="M165" s="1">
        <v>0.2</v>
      </c>
      <c r="N165" s="1"/>
      <c r="O165" s="1">
        <v>1.45</v>
      </c>
      <c r="P165" s="1">
        <v>13.45</v>
      </c>
      <c r="Q165" s="1">
        <v>1.45</v>
      </c>
      <c r="R165" s="1"/>
      <c r="S165" s="1">
        <v>1.48</v>
      </c>
      <c r="T165" s="1"/>
      <c r="U165" s="1"/>
      <c r="V165" s="1">
        <v>19.899999999999999</v>
      </c>
      <c r="W165" s="1">
        <f t="shared" si="9"/>
        <v>77.56</v>
      </c>
      <c r="X165" s="1"/>
      <c r="Y165" s="1"/>
      <c r="Z165" s="48">
        <f>AVERAGE($Z$166,$Z$164)</f>
        <v>10.475</v>
      </c>
      <c r="AA165" s="1">
        <v>2.63</v>
      </c>
      <c r="AB165" s="1"/>
      <c r="AC165" s="1"/>
      <c r="AD165" s="1"/>
      <c r="AE165" s="1">
        <v>1.46</v>
      </c>
      <c r="AF165" s="1"/>
      <c r="AH165" s="57"/>
    </row>
    <row r="166" spans="1:34" ht="15" customHeight="1">
      <c r="A166" s="1"/>
      <c r="B166" s="1"/>
      <c r="C166" s="1"/>
      <c r="D166" s="1">
        <v>4</v>
      </c>
      <c r="E166" s="1"/>
      <c r="F166" s="1"/>
      <c r="G166" s="1"/>
      <c r="H166" s="1"/>
      <c r="I166" s="1">
        <v>22.43</v>
      </c>
      <c r="J166" s="1"/>
      <c r="K166" s="1"/>
      <c r="L166" s="1"/>
      <c r="M166" s="1">
        <v>0.09</v>
      </c>
      <c r="N166" s="1"/>
      <c r="O166" s="1">
        <v>1.74</v>
      </c>
      <c r="P166" s="1">
        <v>9.9</v>
      </c>
      <c r="Q166" s="1"/>
      <c r="R166" s="1"/>
      <c r="S166" s="1">
        <v>0.24</v>
      </c>
      <c r="T166" s="1"/>
      <c r="U166" s="1"/>
      <c r="V166" s="1">
        <v>22.22</v>
      </c>
      <c r="W166" s="1">
        <f t="shared" si="9"/>
        <v>56.62</v>
      </c>
      <c r="X166" s="1"/>
      <c r="Y166" s="1"/>
      <c r="Z166" s="30">
        <v>10.1</v>
      </c>
      <c r="AA166" s="1">
        <v>3.05</v>
      </c>
      <c r="AB166" s="1"/>
      <c r="AC166" s="1"/>
      <c r="AD166" s="1"/>
      <c r="AE166" s="1">
        <v>5.16</v>
      </c>
      <c r="AF166" s="1"/>
      <c r="AH166" s="57"/>
    </row>
    <row r="167" spans="1:34" ht="15" customHeight="1">
      <c r="A167" s="1"/>
      <c r="B167" s="1"/>
      <c r="C167" s="1"/>
      <c r="D167" s="1">
        <v>5</v>
      </c>
      <c r="E167" s="1"/>
      <c r="F167" s="1"/>
      <c r="G167" s="1"/>
      <c r="H167" s="1"/>
      <c r="I167" s="1">
        <v>31.33</v>
      </c>
      <c r="J167" s="1"/>
      <c r="K167" s="1"/>
      <c r="L167" s="1"/>
      <c r="M167" s="1"/>
      <c r="N167" s="1"/>
      <c r="O167" s="1"/>
      <c r="P167" s="1">
        <v>0.14000000000000001</v>
      </c>
      <c r="Q167" s="1"/>
      <c r="R167" s="1"/>
      <c r="S167" s="1">
        <v>0.65</v>
      </c>
      <c r="T167" s="1"/>
      <c r="U167" s="1">
        <v>2.2799999999999998</v>
      </c>
      <c r="V167" s="1">
        <v>27.35</v>
      </c>
      <c r="W167" s="1">
        <f t="shared" si="9"/>
        <v>61.75</v>
      </c>
      <c r="X167" s="1">
        <f>AVERAGE(W163:W167)</f>
        <v>68.837999999999994</v>
      </c>
      <c r="Y167" s="1"/>
      <c r="Z167" s="48">
        <f>AVERAGE($Z$166,$Z$164)</f>
        <v>10.475</v>
      </c>
      <c r="AA167" s="1">
        <v>3.16</v>
      </c>
      <c r="AB167" s="1">
        <f>AVERAGE(AA163:AA167)</f>
        <v>2.782</v>
      </c>
      <c r="AC167" s="1"/>
      <c r="AD167" s="1"/>
      <c r="AE167" s="8">
        <f>AVERAGE(AE165:AE166,AE163)</f>
        <v>3.456666666666667</v>
      </c>
      <c r="AF167" s="1">
        <f>AVERAGE(AE163:AE167)</f>
        <v>3.456666666666667</v>
      </c>
      <c r="AH167" s="57"/>
    </row>
    <row r="168" spans="1:34" ht="15" customHeight="1">
      <c r="A168" s="1"/>
      <c r="B168" s="1"/>
      <c r="C168" s="1">
        <v>2</v>
      </c>
      <c r="D168" s="1">
        <v>1</v>
      </c>
      <c r="E168" s="1">
        <v>0.43</v>
      </c>
      <c r="F168" s="1"/>
      <c r="G168" s="1"/>
      <c r="H168" s="1"/>
      <c r="I168" s="1">
        <v>10.49</v>
      </c>
      <c r="J168" s="1"/>
      <c r="K168" s="1"/>
      <c r="L168" s="1"/>
      <c r="M168" s="1">
        <v>3.89</v>
      </c>
      <c r="N168" s="1"/>
      <c r="O168" s="1">
        <v>0.13</v>
      </c>
      <c r="P168" s="1">
        <v>14.35</v>
      </c>
      <c r="Q168" s="1">
        <v>1.19</v>
      </c>
      <c r="R168" s="1"/>
      <c r="S168" s="1">
        <v>2.54</v>
      </c>
      <c r="T168" s="1"/>
      <c r="U168" s="1">
        <v>6.28</v>
      </c>
      <c r="V168" s="1">
        <v>32.21</v>
      </c>
      <c r="W168" s="1">
        <f t="shared" si="9"/>
        <v>71.510000000000005</v>
      </c>
      <c r="X168" s="1"/>
      <c r="Y168" s="1"/>
      <c r="Z168" s="48">
        <f t="shared" ref="Z168:Z170" si="10">AVERAGE($Z$171:$Z$172)</f>
        <v>17.024999999999999</v>
      </c>
      <c r="AA168" s="1">
        <v>3.62</v>
      </c>
      <c r="AB168" s="1"/>
      <c r="AC168" s="1"/>
      <c r="AD168" s="1"/>
      <c r="AE168" s="1">
        <v>3.4</v>
      </c>
      <c r="AF168" s="1"/>
      <c r="AH168" s="57"/>
    </row>
    <row r="169" spans="1:34" ht="15" customHeight="1">
      <c r="A169" s="1"/>
      <c r="B169" s="1"/>
      <c r="C169" s="1"/>
      <c r="D169" s="1">
        <v>2</v>
      </c>
      <c r="E169" s="1"/>
      <c r="F169" s="1"/>
      <c r="G169" s="1"/>
      <c r="H169" s="1"/>
      <c r="I169" s="1">
        <v>12.32</v>
      </c>
      <c r="J169" s="1"/>
      <c r="K169" s="1"/>
      <c r="L169" s="1"/>
      <c r="M169" s="1">
        <v>0.28000000000000003</v>
      </c>
      <c r="N169" s="1"/>
      <c r="O169" s="1"/>
      <c r="P169" s="1">
        <v>2</v>
      </c>
      <c r="Q169" s="1">
        <v>0.21</v>
      </c>
      <c r="R169" s="1"/>
      <c r="S169" s="1">
        <v>1.52</v>
      </c>
      <c r="T169" s="1"/>
      <c r="U169" s="1">
        <v>2.5</v>
      </c>
      <c r="V169" s="1">
        <v>41.72</v>
      </c>
      <c r="W169" s="1">
        <f t="shared" si="9"/>
        <v>60.55</v>
      </c>
      <c r="X169" s="1"/>
      <c r="Y169" s="1"/>
      <c r="Z169" s="48">
        <f t="shared" si="10"/>
        <v>17.024999999999999</v>
      </c>
      <c r="AA169" s="1">
        <v>1.19</v>
      </c>
      <c r="AB169" s="1"/>
      <c r="AC169" s="1"/>
      <c r="AD169" s="1"/>
      <c r="AE169" s="1">
        <v>21.42</v>
      </c>
      <c r="AF169" s="1"/>
      <c r="AH169" s="57"/>
    </row>
    <row r="170" spans="1:34" ht="15" customHeight="1">
      <c r="A170" s="1"/>
      <c r="B170" s="1"/>
      <c r="C170" s="1"/>
      <c r="D170" s="1">
        <v>3</v>
      </c>
      <c r="E170" s="1">
        <v>0.18</v>
      </c>
      <c r="F170" s="1"/>
      <c r="G170" s="1"/>
      <c r="H170" s="1"/>
      <c r="I170" s="1">
        <v>16.13</v>
      </c>
      <c r="J170" s="1"/>
      <c r="K170" s="1"/>
      <c r="L170" s="1"/>
      <c r="M170" s="1"/>
      <c r="N170" s="1"/>
      <c r="O170" s="1">
        <v>1.2</v>
      </c>
      <c r="P170" s="1">
        <v>7.89</v>
      </c>
      <c r="Q170" s="1"/>
      <c r="R170" s="1"/>
      <c r="S170" s="1">
        <v>0.36</v>
      </c>
      <c r="T170" s="1"/>
      <c r="U170" s="1">
        <v>1.18</v>
      </c>
      <c r="V170" s="1">
        <v>38.020000000000003</v>
      </c>
      <c r="W170" s="1">
        <f t="shared" si="9"/>
        <v>64.960000000000008</v>
      </c>
      <c r="X170" s="1"/>
      <c r="Y170" s="1"/>
      <c r="Z170" s="48">
        <f t="shared" si="10"/>
        <v>17.024999999999999</v>
      </c>
      <c r="AA170" s="1">
        <v>0.66</v>
      </c>
      <c r="AB170" s="1"/>
      <c r="AC170" s="1"/>
      <c r="AD170" s="1"/>
      <c r="AE170" s="8">
        <f>AVERAGE(AE168:AE169,AE171:AE172)</f>
        <v>11.08</v>
      </c>
      <c r="AF170" s="1"/>
      <c r="AH170" s="57"/>
    </row>
    <row r="171" spans="1:34" ht="15" customHeight="1">
      <c r="A171" s="1"/>
      <c r="B171" s="1"/>
      <c r="C171" s="1"/>
      <c r="D171" s="1">
        <v>4</v>
      </c>
      <c r="E171" s="1">
        <v>3.01</v>
      </c>
      <c r="F171" s="1"/>
      <c r="G171" s="1"/>
      <c r="H171" s="1"/>
      <c r="I171" s="1">
        <v>11.21</v>
      </c>
      <c r="J171" s="1"/>
      <c r="K171" s="1"/>
      <c r="L171" s="1"/>
      <c r="M171" s="1">
        <v>0.28000000000000003</v>
      </c>
      <c r="N171" s="1"/>
      <c r="O171" s="1">
        <v>0.3</v>
      </c>
      <c r="P171" s="1">
        <v>18.91</v>
      </c>
      <c r="Q171" s="1">
        <v>0.47</v>
      </c>
      <c r="R171" s="1"/>
      <c r="S171" s="1">
        <v>0.45</v>
      </c>
      <c r="T171" s="1"/>
      <c r="U171" s="1">
        <v>0.27</v>
      </c>
      <c r="V171" s="1">
        <v>29.99</v>
      </c>
      <c r="W171" s="1">
        <f t="shared" si="9"/>
        <v>64.89</v>
      </c>
      <c r="X171" s="1"/>
      <c r="Y171" s="1"/>
      <c r="Z171" s="1">
        <v>23.01</v>
      </c>
      <c r="AA171" s="1">
        <v>2.2400000000000002</v>
      </c>
      <c r="AB171" s="1"/>
      <c r="AC171" s="1"/>
      <c r="AD171" s="1"/>
      <c r="AE171" s="1">
        <v>3.97</v>
      </c>
      <c r="AF171" s="1"/>
      <c r="AH171" s="57"/>
    </row>
    <row r="172" spans="1:34" ht="15" customHeight="1">
      <c r="A172" s="1"/>
      <c r="B172" s="1"/>
      <c r="C172" s="1"/>
      <c r="D172" s="1">
        <v>5</v>
      </c>
      <c r="E172" s="1"/>
      <c r="F172" s="1"/>
      <c r="G172" s="1"/>
      <c r="H172" s="1"/>
      <c r="I172" s="1">
        <v>17.21</v>
      </c>
      <c r="J172" s="1"/>
      <c r="K172" s="1"/>
      <c r="L172" s="1"/>
      <c r="M172" s="1"/>
      <c r="N172" s="1"/>
      <c r="O172" s="1">
        <v>0.22</v>
      </c>
      <c r="P172" s="1">
        <v>13.07</v>
      </c>
      <c r="Q172" s="1"/>
      <c r="R172" s="1"/>
      <c r="S172" s="1">
        <v>0.69</v>
      </c>
      <c r="T172" s="1"/>
      <c r="U172" s="1">
        <v>4.0599999999999996</v>
      </c>
      <c r="V172" s="1">
        <v>25.71</v>
      </c>
      <c r="W172" s="1">
        <f t="shared" si="9"/>
        <v>60.96</v>
      </c>
      <c r="X172" s="1">
        <f>AVERAGE(W168:W172)</f>
        <v>64.573999999999998</v>
      </c>
      <c r="Y172" s="1"/>
      <c r="Z172" s="30">
        <v>11.04</v>
      </c>
      <c r="AA172" s="1">
        <v>1.49</v>
      </c>
      <c r="AB172" s="1">
        <f>AVERAGE(AA168:AA172)</f>
        <v>1.8400000000000003</v>
      </c>
      <c r="AC172" s="1"/>
      <c r="AD172" s="1"/>
      <c r="AE172" s="1">
        <v>15.530000000000001</v>
      </c>
      <c r="AF172" s="1">
        <f>AVERAGE(AE168:AE172)</f>
        <v>11.08</v>
      </c>
      <c r="AH172" s="57"/>
    </row>
    <row r="173" spans="1:34" ht="15" customHeight="1">
      <c r="A173" s="1"/>
      <c r="B173" s="1"/>
      <c r="C173" s="1">
        <v>3</v>
      </c>
      <c r="D173" s="1">
        <v>1</v>
      </c>
      <c r="E173" s="1"/>
      <c r="F173" s="1"/>
      <c r="G173" s="1"/>
      <c r="H173" s="1"/>
      <c r="I173" s="1">
        <v>18.920000000000002</v>
      </c>
      <c r="J173" s="1"/>
      <c r="K173" s="1"/>
      <c r="L173" s="1">
        <v>0.04</v>
      </c>
      <c r="M173" s="1">
        <v>4.28</v>
      </c>
      <c r="N173" s="1"/>
      <c r="O173" s="1">
        <v>0.15</v>
      </c>
      <c r="P173" s="1">
        <v>4.79</v>
      </c>
      <c r="Q173" s="1">
        <v>0.04</v>
      </c>
      <c r="R173" s="1"/>
      <c r="S173" s="1">
        <v>7.0000000000000007E-2</v>
      </c>
      <c r="T173" s="1"/>
      <c r="U173" s="1"/>
      <c r="V173" s="1">
        <v>37.43</v>
      </c>
      <c r="W173" s="1">
        <f t="shared" si="9"/>
        <v>65.72</v>
      </c>
      <c r="X173" s="1"/>
      <c r="Y173" s="1"/>
      <c r="Z173" s="8">
        <f>AVERAGE(Z174:Z176)</f>
        <v>12.103333333333332</v>
      </c>
      <c r="AA173" s="1">
        <v>1.66</v>
      </c>
      <c r="AB173" s="1"/>
      <c r="AC173" s="1"/>
      <c r="AD173" s="1"/>
      <c r="AE173" s="1">
        <v>3.02</v>
      </c>
      <c r="AF173" s="1"/>
      <c r="AH173" s="57"/>
    </row>
    <row r="174" spans="1:34" ht="15" customHeight="1">
      <c r="A174" s="1"/>
      <c r="B174" s="1"/>
      <c r="C174" s="1"/>
      <c r="D174" s="1">
        <v>2</v>
      </c>
      <c r="E174" s="1">
        <v>0.2</v>
      </c>
      <c r="F174" s="1"/>
      <c r="G174" s="1"/>
      <c r="H174" s="1"/>
      <c r="I174" s="1">
        <v>9.7799999999999994</v>
      </c>
      <c r="J174" s="1"/>
      <c r="K174" s="1"/>
      <c r="L174" s="1"/>
      <c r="M174" s="1">
        <v>4.87</v>
      </c>
      <c r="N174" s="1"/>
      <c r="O174" s="1"/>
      <c r="P174" s="1">
        <v>7.63</v>
      </c>
      <c r="Q174" s="1">
        <v>1.1200000000000001</v>
      </c>
      <c r="R174" s="1"/>
      <c r="S174" s="1">
        <v>1.98</v>
      </c>
      <c r="T174" s="1"/>
      <c r="U174" s="1">
        <v>1.34</v>
      </c>
      <c r="V174" s="1">
        <v>32.1</v>
      </c>
      <c r="W174" s="1">
        <f t="shared" si="9"/>
        <v>59.019999999999996</v>
      </c>
      <c r="X174" s="1"/>
      <c r="Y174" s="1"/>
      <c r="Z174" s="1">
        <v>17.2</v>
      </c>
      <c r="AA174" s="1">
        <v>0.6</v>
      </c>
      <c r="AB174" s="1"/>
      <c r="AC174" s="1"/>
      <c r="AD174" s="1"/>
      <c r="AE174" s="1">
        <v>2.2799999999999998</v>
      </c>
      <c r="AF174" s="1"/>
      <c r="AH174" s="57"/>
    </row>
    <row r="175" spans="1:34" ht="15" customHeight="1">
      <c r="A175" s="1"/>
      <c r="B175" s="1"/>
      <c r="C175" s="1"/>
      <c r="D175" s="1">
        <v>3</v>
      </c>
      <c r="E175" s="1">
        <v>0.19</v>
      </c>
      <c r="F175" s="1"/>
      <c r="G175" s="1"/>
      <c r="H175" s="1"/>
      <c r="I175" s="1">
        <v>18.510000000000002</v>
      </c>
      <c r="J175" s="1"/>
      <c r="K175" s="1"/>
      <c r="L175" s="1"/>
      <c r="M175" s="1">
        <v>3.51</v>
      </c>
      <c r="N175" s="1"/>
      <c r="O175" s="1">
        <v>0.19</v>
      </c>
      <c r="P175" s="1">
        <v>3.96</v>
      </c>
      <c r="Q175" s="1">
        <v>0.56000000000000005</v>
      </c>
      <c r="R175" s="1"/>
      <c r="S175" s="1"/>
      <c r="T175" s="1"/>
      <c r="U175" s="1">
        <v>1.58</v>
      </c>
      <c r="V175" s="1">
        <v>30.66</v>
      </c>
      <c r="W175" s="1">
        <f t="shared" si="9"/>
        <v>59.16</v>
      </c>
      <c r="X175" s="1"/>
      <c r="Y175" s="1"/>
      <c r="Z175" s="1">
        <v>12.92</v>
      </c>
      <c r="AA175" s="1">
        <v>0.8</v>
      </c>
      <c r="AB175" s="1"/>
      <c r="AC175" s="1"/>
      <c r="AD175" s="1"/>
      <c r="AE175" s="1">
        <v>2.23</v>
      </c>
      <c r="AF175" s="1"/>
      <c r="AH175" s="57"/>
    </row>
    <row r="176" spans="1:34" ht="15" customHeight="1">
      <c r="A176" s="1"/>
      <c r="B176" s="1"/>
      <c r="C176" s="1"/>
      <c r="D176" s="1">
        <v>4</v>
      </c>
      <c r="E176" s="1"/>
      <c r="F176" s="1"/>
      <c r="G176" s="1"/>
      <c r="H176" s="1"/>
      <c r="I176" s="1">
        <v>20.440000000000001</v>
      </c>
      <c r="J176" s="1"/>
      <c r="K176" s="1"/>
      <c r="L176" s="1"/>
      <c r="M176" s="1">
        <v>2.31</v>
      </c>
      <c r="N176" s="1"/>
      <c r="O176" s="1">
        <v>0.21</v>
      </c>
      <c r="P176" s="1">
        <v>5.71</v>
      </c>
      <c r="Q176" s="1">
        <v>1.84</v>
      </c>
      <c r="R176" s="1"/>
      <c r="S176" s="1">
        <v>0.75</v>
      </c>
      <c r="T176" s="1"/>
      <c r="U176" s="1">
        <v>0.46</v>
      </c>
      <c r="V176" s="1">
        <v>35.25</v>
      </c>
      <c r="W176" s="1">
        <f t="shared" si="9"/>
        <v>66.97</v>
      </c>
      <c r="X176" s="1"/>
      <c r="Y176" s="1"/>
      <c r="Z176" s="1">
        <v>6.19</v>
      </c>
      <c r="AA176" s="1">
        <v>2.29</v>
      </c>
      <c r="AB176" s="1"/>
      <c r="AC176" s="1"/>
      <c r="AD176" s="1"/>
      <c r="AE176" s="1">
        <v>2.36</v>
      </c>
      <c r="AF176" s="1"/>
      <c r="AH176" s="57"/>
    </row>
    <row r="177" spans="1:34" ht="15" customHeight="1">
      <c r="A177" s="1"/>
      <c r="B177" s="1"/>
      <c r="C177" s="1"/>
      <c r="D177" s="1">
        <v>5</v>
      </c>
      <c r="E177" s="1">
        <v>1.26</v>
      </c>
      <c r="F177" s="1"/>
      <c r="G177" s="1"/>
      <c r="H177" s="1"/>
      <c r="I177" s="1">
        <v>16.8</v>
      </c>
      <c r="J177" s="1"/>
      <c r="K177" s="1"/>
      <c r="L177" s="1"/>
      <c r="M177" s="1">
        <v>1.99</v>
      </c>
      <c r="N177" s="1"/>
      <c r="O177" s="1">
        <v>0.14000000000000001</v>
      </c>
      <c r="P177" s="1">
        <v>1.78</v>
      </c>
      <c r="Q177" s="1"/>
      <c r="R177" s="1"/>
      <c r="S177" s="1">
        <v>0.16</v>
      </c>
      <c r="T177" s="1"/>
      <c r="U177" s="1">
        <v>2.89</v>
      </c>
      <c r="V177" s="1">
        <v>35.36</v>
      </c>
      <c r="W177" s="1">
        <f t="shared" si="9"/>
        <v>60.38</v>
      </c>
      <c r="X177" s="1">
        <f>AVERAGE(W173:W177)</f>
        <v>62.25</v>
      </c>
      <c r="Y177" s="1"/>
      <c r="Z177" s="8">
        <f>AVERAGE(Z174:Z176)</f>
        <v>12.103333333333332</v>
      </c>
      <c r="AA177" s="1">
        <v>4.51</v>
      </c>
      <c r="AB177" s="1">
        <f>AVERAGE(AA173:AA177)</f>
        <v>1.972</v>
      </c>
      <c r="AC177" s="1"/>
      <c r="AD177" s="1"/>
      <c r="AE177" s="1">
        <v>2.81</v>
      </c>
      <c r="AF177" s="1">
        <f>AVERAGE(AE173:AE177)</f>
        <v>2.54</v>
      </c>
      <c r="AH177" s="57"/>
    </row>
    <row r="178" spans="1:34" ht="15" customHeight="1">
      <c r="A178" s="1"/>
      <c r="B178" s="1"/>
      <c r="C178" s="1">
        <v>4</v>
      </c>
      <c r="D178" s="1">
        <v>1</v>
      </c>
      <c r="E178" s="1"/>
      <c r="F178" s="1"/>
      <c r="G178" s="1"/>
      <c r="H178" s="1"/>
      <c r="I178" s="1">
        <v>16.829999999999998</v>
      </c>
      <c r="J178" s="1"/>
      <c r="K178" s="1"/>
      <c r="L178" s="1"/>
      <c r="M178" s="1"/>
      <c r="N178" s="1"/>
      <c r="O178" s="1"/>
      <c r="P178" s="1">
        <v>2.82</v>
      </c>
      <c r="Q178" s="1"/>
      <c r="R178" s="1"/>
      <c r="S178" s="1">
        <v>0.93</v>
      </c>
      <c r="T178" s="1"/>
      <c r="U178" s="1">
        <v>0.94</v>
      </c>
      <c r="V178" s="1">
        <v>34.43</v>
      </c>
      <c r="W178" s="1">
        <f t="shared" si="9"/>
        <v>55.95</v>
      </c>
      <c r="X178" s="1"/>
      <c r="Y178" s="1"/>
      <c r="Z178" s="1">
        <v>15.37</v>
      </c>
      <c r="AA178" s="1">
        <v>1.86</v>
      </c>
      <c r="AB178" s="1"/>
      <c r="AC178" s="1"/>
      <c r="AD178" s="1"/>
      <c r="AE178" s="1">
        <v>5.1100000000000003</v>
      </c>
      <c r="AF178" s="1"/>
      <c r="AH178" s="57"/>
    </row>
    <row r="179" spans="1:34" ht="15" customHeight="1">
      <c r="A179" s="1"/>
      <c r="B179" s="1"/>
      <c r="C179" s="1"/>
      <c r="D179" s="1">
        <v>2</v>
      </c>
      <c r="E179" s="1"/>
      <c r="F179" s="1"/>
      <c r="G179" s="1"/>
      <c r="H179" s="1"/>
      <c r="I179" s="1">
        <v>17.07</v>
      </c>
      <c r="J179" s="1"/>
      <c r="K179" s="1"/>
      <c r="L179" s="1"/>
      <c r="M179" s="1"/>
      <c r="N179" s="1"/>
      <c r="O179" s="1"/>
      <c r="P179" s="1">
        <v>0.31</v>
      </c>
      <c r="Q179" s="1"/>
      <c r="R179" s="1"/>
      <c r="S179" s="1">
        <v>0.39</v>
      </c>
      <c r="T179" s="1"/>
      <c r="U179" s="1">
        <v>0.48</v>
      </c>
      <c r="V179" s="1">
        <v>39.6</v>
      </c>
      <c r="W179" s="1">
        <f t="shared" si="9"/>
        <v>57.85</v>
      </c>
      <c r="X179" s="1"/>
      <c r="Y179" s="1"/>
      <c r="Z179" s="1">
        <v>14.1</v>
      </c>
      <c r="AA179" s="1">
        <v>7.33</v>
      </c>
      <c r="AB179" s="1"/>
      <c r="AC179" s="1"/>
      <c r="AD179" s="1"/>
      <c r="AE179" s="1">
        <v>7.05</v>
      </c>
      <c r="AF179" s="1"/>
      <c r="AH179" s="57"/>
    </row>
    <row r="180" spans="1:34" ht="15" customHeight="1">
      <c r="A180" s="1"/>
      <c r="B180" s="1"/>
      <c r="C180" s="1"/>
      <c r="D180" s="1">
        <v>3</v>
      </c>
      <c r="E180" s="1"/>
      <c r="F180" s="1"/>
      <c r="G180" s="1"/>
      <c r="H180" s="1"/>
      <c r="I180" s="1">
        <v>26.33</v>
      </c>
      <c r="J180" s="1"/>
      <c r="K180" s="1"/>
      <c r="L180" s="1"/>
      <c r="M180" s="1"/>
      <c r="N180" s="1"/>
      <c r="O180" s="1">
        <v>2.27</v>
      </c>
      <c r="P180" s="1">
        <v>0.04</v>
      </c>
      <c r="Q180" s="1"/>
      <c r="R180" s="1"/>
      <c r="S180" s="1">
        <v>0.06</v>
      </c>
      <c r="T180" s="1"/>
      <c r="U180" s="1">
        <v>4.34</v>
      </c>
      <c r="V180" s="1">
        <v>23.97</v>
      </c>
      <c r="W180" s="1">
        <f t="shared" si="9"/>
        <v>57.009999999999991</v>
      </c>
      <c r="X180" s="1"/>
      <c r="Y180" s="1"/>
      <c r="Z180" s="1">
        <v>27.08</v>
      </c>
      <c r="AA180" s="1">
        <v>12.21</v>
      </c>
      <c r="AB180" s="1"/>
      <c r="AC180" s="1"/>
      <c r="AD180" s="1"/>
      <c r="AE180" s="1">
        <v>5.37</v>
      </c>
      <c r="AF180" s="1"/>
      <c r="AH180" s="57"/>
    </row>
    <row r="181" spans="1:34" ht="15" customHeight="1">
      <c r="A181" s="1"/>
      <c r="B181" s="1"/>
      <c r="C181" s="1"/>
      <c r="D181" s="1">
        <v>4</v>
      </c>
      <c r="E181" s="1"/>
      <c r="F181" s="1"/>
      <c r="G181" s="1"/>
      <c r="H181" s="1"/>
      <c r="I181" s="1">
        <v>18.05</v>
      </c>
      <c r="J181" s="1"/>
      <c r="K181" s="1"/>
      <c r="L181" s="1"/>
      <c r="M181" s="1">
        <v>0.48</v>
      </c>
      <c r="N181" s="1"/>
      <c r="O181" s="1">
        <v>0.81</v>
      </c>
      <c r="P181" s="1">
        <v>5.28</v>
      </c>
      <c r="Q181" s="1"/>
      <c r="R181" s="1"/>
      <c r="S181" s="1">
        <v>1.17</v>
      </c>
      <c r="T181" s="1"/>
      <c r="U181" s="1">
        <v>6.21</v>
      </c>
      <c r="V181" s="1">
        <v>24.87</v>
      </c>
      <c r="W181" s="1">
        <f t="shared" si="9"/>
        <v>56.870000000000005</v>
      </c>
      <c r="X181" s="1"/>
      <c r="Y181" s="1"/>
      <c r="Z181" s="30">
        <v>19.11</v>
      </c>
      <c r="AA181" s="1">
        <v>5.01</v>
      </c>
      <c r="AB181" s="1"/>
      <c r="AC181" s="1"/>
      <c r="AD181" s="1"/>
      <c r="AE181" s="1">
        <v>8.1199999999999992</v>
      </c>
      <c r="AF181" s="1"/>
      <c r="AH181" s="57"/>
    </row>
    <row r="182" spans="1:34" ht="15" customHeight="1">
      <c r="A182" s="1"/>
      <c r="B182" s="1"/>
      <c r="C182" s="1"/>
      <c r="D182" s="1">
        <v>5</v>
      </c>
      <c r="E182" s="1"/>
      <c r="F182" s="1"/>
      <c r="G182" s="1"/>
      <c r="H182" s="1"/>
      <c r="I182" s="1">
        <v>16.72</v>
      </c>
      <c r="J182" s="1"/>
      <c r="K182" s="1"/>
      <c r="L182" s="1"/>
      <c r="M182" s="1">
        <v>0.77</v>
      </c>
      <c r="N182" s="1"/>
      <c r="O182" s="1">
        <v>0.55000000000000004</v>
      </c>
      <c r="P182" s="1">
        <v>0.35</v>
      </c>
      <c r="Q182" s="1">
        <v>0.51</v>
      </c>
      <c r="R182" s="1"/>
      <c r="S182" s="1">
        <v>0.21</v>
      </c>
      <c r="T182" s="1"/>
      <c r="U182" s="1">
        <v>5.13</v>
      </c>
      <c r="V182" s="1">
        <v>35.9</v>
      </c>
      <c r="W182" s="1">
        <f t="shared" si="9"/>
        <v>60.14</v>
      </c>
      <c r="X182" s="1">
        <f>AVERAGE(W178:W182)</f>
        <v>57.564</v>
      </c>
      <c r="Y182" s="1"/>
      <c r="Z182" s="48">
        <f>AVERAGE(Z178:Z181)</f>
        <v>18.914999999999999</v>
      </c>
      <c r="AA182" s="1">
        <v>6.47</v>
      </c>
      <c r="AB182" s="1">
        <f>AVERAGE(AA178:AA182)</f>
        <v>6.5759999999999987</v>
      </c>
      <c r="AC182" s="1"/>
      <c r="AD182" s="1"/>
      <c r="AE182" s="1">
        <v>3.75</v>
      </c>
      <c r="AF182" s="1">
        <f>AVERAGE(AE178:AE182)</f>
        <v>5.88</v>
      </c>
      <c r="AH182" s="57"/>
    </row>
    <row r="183" spans="1:34" ht="15" customHeight="1">
      <c r="A183" s="1" t="s">
        <v>109</v>
      </c>
      <c r="B183" s="1" t="s">
        <v>104</v>
      </c>
      <c r="C183" s="1">
        <v>1</v>
      </c>
      <c r="D183" s="1">
        <v>1</v>
      </c>
      <c r="E183" s="1"/>
      <c r="F183" s="1"/>
      <c r="G183" s="1">
        <v>0.09</v>
      </c>
      <c r="H183" s="1"/>
      <c r="I183" s="1">
        <v>0.34</v>
      </c>
      <c r="J183" s="1"/>
      <c r="K183" s="1"/>
      <c r="L183" s="1">
        <v>0.1</v>
      </c>
      <c r="M183" s="1"/>
      <c r="N183" s="1"/>
      <c r="O183" s="1"/>
      <c r="P183" s="1">
        <v>12.78</v>
      </c>
      <c r="Q183" s="1">
        <v>0.49</v>
      </c>
      <c r="R183" s="1"/>
      <c r="S183" s="1">
        <v>2.84</v>
      </c>
      <c r="T183" s="1"/>
      <c r="U183" s="1">
        <v>9.4</v>
      </c>
      <c r="V183" s="1">
        <v>13.43</v>
      </c>
      <c r="W183" s="1">
        <f t="shared" si="9"/>
        <v>39.47</v>
      </c>
      <c r="X183" s="1"/>
      <c r="Y183" s="1"/>
      <c r="Z183" s="1">
        <v>8.1999999999999993</v>
      </c>
      <c r="AA183" s="1">
        <v>5.35</v>
      </c>
      <c r="AB183" s="1"/>
      <c r="AC183" s="1"/>
      <c r="AD183" s="1"/>
      <c r="AE183" s="1">
        <v>2.16</v>
      </c>
      <c r="AF183" s="1"/>
      <c r="AH183" s="57"/>
    </row>
    <row r="184" spans="1:34" ht="15" customHeight="1">
      <c r="A184" s="1"/>
      <c r="B184" s="1"/>
      <c r="C184" s="1"/>
      <c r="D184" s="1">
        <v>2</v>
      </c>
      <c r="E184" s="1"/>
      <c r="F184" s="1"/>
      <c r="G184" s="1">
        <v>0.23</v>
      </c>
      <c r="H184" s="1"/>
      <c r="I184" s="1">
        <v>0.48</v>
      </c>
      <c r="J184" s="1"/>
      <c r="K184" s="1"/>
      <c r="L184" s="1">
        <v>0.04</v>
      </c>
      <c r="M184" s="1"/>
      <c r="N184" s="1"/>
      <c r="O184" s="1"/>
      <c r="P184" s="1">
        <v>5.76</v>
      </c>
      <c r="Q184" s="1">
        <v>0.35</v>
      </c>
      <c r="R184" s="1"/>
      <c r="S184" s="1">
        <v>2.79</v>
      </c>
      <c r="T184" s="1"/>
      <c r="U184" s="1">
        <v>8.17</v>
      </c>
      <c r="V184" s="1">
        <v>10.79</v>
      </c>
      <c r="W184" s="1">
        <f t="shared" si="9"/>
        <v>28.61</v>
      </c>
      <c r="X184" s="1"/>
      <c r="Y184" s="1"/>
      <c r="Z184" s="1">
        <v>40.1</v>
      </c>
      <c r="AA184" s="1">
        <v>18.39</v>
      </c>
      <c r="AB184" s="1"/>
      <c r="AC184" s="1"/>
      <c r="AD184" s="1"/>
      <c r="AE184" s="1">
        <v>3.58</v>
      </c>
      <c r="AF184" s="1"/>
      <c r="AH184" s="57"/>
    </row>
    <row r="185" spans="1:34" ht="15" customHeight="1">
      <c r="A185" s="1"/>
      <c r="B185" s="1"/>
      <c r="C185" s="1"/>
      <c r="D185" s="1">
        <v>3</v>
      </c>
      <c r="E185" s="1"/>
      <c r="F185" s="1"/>
      <c r="G185" s="1">
        <v>1.04</v>
      </c>
      <c r="H185" s="1"/>
      <c r="I185" s="1">
        <v>2.71</v>
      </c>
      <c r="J185" s="1"/>
      <c r="K185" s="1"/>
      <c r="L185" s="1">
        <v>0.15</v>
      </c>
      <c r="M185" s="1"/>
      <c r="N185" s="1"/>
      <c r="O185" s="1"/>
      <c r="P185" s="1">
        <v>6.41</v>
      </c>
      <c r="Q185" s="1"/>
      <c r="R185" s="1"/>
      <c r="S185" s="1">
        <v>1.77</v>
      </c>
      <c r="T185" s="1"/>
      <c r="U185" s="1">
        <v>3.36</v>
      </c>
      <c r="V185" s="1">
        <v>8.67</v>
      </c>
      <c r="W185" s="1">
        <f t="shared" si="9"/>
        <v>24.11</v>
      </c>
      <c r="X185" s="1"/>
      <c r="Y185" s="1"/>
      <c r="Z185" s="1">
        <v>15.6</v>
      </c>
      <c r="AA185" s="1">
        <v>12.64</v>
      </c>
      <c r="AB185" s="1"/>
      <c r="AC185" s="1"/>
      <c r="AD185" s="1"/>
      <c r="AE185" s="1">
        <v>3.82</v>
      </c>
      <c r="AF185" s="1"/>
      <c r="AH185" s="57"/>
    </row>
    <row r="186" spans="1:34" ht="15" customHeight="1">
      <c r="A186" s="1"/>
      <c r="B186" s="1"/>
      <c r="C186" s="1"/>
      <c r="D186" s="1">
        <v>4</v>
      </c>
      <c r="E186" s="1"/>
      <c r="F186" s="1"/>
      <c r="G186" s="1">
        <v>0.8</v>
      </c>
      <c r="H186" s="1"/>
      <c r="I186" s="1">
        <v>1.59</v>
      </c>
      <c r="J186" s="1"/>
      <c r="K186" s="1"/>
      <c r="L186" s="1"/>
      <c r="M186" s="1"/>
      <c r="N186" s="1"/>
      <c r="O186" s="1"/>
      <c r="P186" s="1">
        <v>7.64</v>
      </c>
      <c r="Q186" s="1">
        <v>0.24</v>
      </c>
      <c r="R186" s="1"/>
      <c r="S186" s="1">
        <v>2.84</v>
      </c>
      <c r="T186" s="1">
        <v>0.21</v>
      </c>
      <c r="U186" s="1">
        <v>2.48</v>
      </c>
      <c r="V186" s="1">
        <v>10.85</v>
      </c>
      <c r="W186" s="1">
        <f t="shared" si="9"/>
        <v>26.65</v>
      </c>
      <c r="X186" s="1"/>
      <c r="Y186" s="1"/>
      <c r="Z186" s="1">
        <v>20.7</v>
      </c>
      <c r="AA186" s="1">
        <v>14.1</v>
      </c>
      <c r="AB186" s="1"/>
      <c r="AC186" s="1"/>
      <c r="AD186" s="1"/>
      <c r="AE186" s="1">
        <v>2.15</v>
      </c>
      <c r="AF186" s="1"/>
      <c r="AH186" s="57"/>
    </row>
    <row r="187" spans="1:34" ht="15" customHeight="1">
      <c r="A187" s="1"/>
      <c r="B187" s="1"/>
      <c r="C187" s="1"/>
      <c r="D187" s="1">
        <v>5</v>
      </c>
      <c r="E187" s="1"/>
      <c r="F187" s="1"/>
      <c r="G187" s="1">
        <v>0.52</v>
      </c>
      <c r="H187" s="1"/>
      <c r="I187" s="1">
        <v>2.73</v>
      </c>
      <c r="J187" s="1"/>
      <c r="K187" s="1"/>
      <c r="L187" s="1"/>
      <c r="M187" s="1"/>
      <c r="N187" s="1"/>
      <c r="O187" s="1"/>
      <c r="P187" s="1">
        <v>3.88</v>
      </c>
      <c r="Q187" s="1">
        <v>0.4</v>
      </c>
      <c r="R187" s="1"/>
      <c r="S187" s="1">
        <v>6.29</v>
      </c>
      <c r="T187" s="1"/>
      <c r="U187" s="1">
        <v>3.86</v>
      </c>
      <c r="V187" s="1">
        <v>10.26</v>
      </c>
      <c r="W187" s="1">
        <f t="shared" si="9"/>
        <v>27.939999999999998</v>
      </c>
      <c r="X187" s="1">
        <f>AVERAGE(W183:W187)</f>
        <v>29.356000000000002</v>
      </c>
      <c r="Y187" s="1"/>
      <c r="Z187" s="1">
        <v>29.1</v>
      </c>
      <c r="AA187" s="1">
        <v>19.93</v>
      </c>
      <c r="AB187" s="1">
        <f>AVERAGE(AA183:AA187)</f>
        <v>14.081999999999999</v>
      </c>
      <c r="AC187" s="1"/>
      <c r="AD187" s="1"/>
      <c r="AE187" s="1">
        <v>0.81</v>
      </c>
      <c r="AF187" s="1">
        <f>AVERAGE(AE183:AE187)</f>
        <v>2.5040000000000004</v>
      </c>
      <c r="AH187" s="57"/>
    </row>
    <row r="188" spans="1:34" ht="15" customHeight="1">
      <c r="A188" s="1"/>
      <c r="B188" s="1"/>
      <c r="C188" s="1">
        <v>2</v>
      </c>
      <c r="D188" s="1">
        <v>1</v>
      </c>
      <c r="E188" s="1"/>
      <c r="F188" s="1"/>
      <c r="G188" s="1">
        <v>1</v>
      </c>
      <c r="H188" s="1"/>
      <c r="I188" s="1">
        <v>0.37</v>
      </c>
      <c r="J188" s="1"/>
      <c r="K188" s="1"/>
      <c r="L188" s="1">
        <v>0.08</v>
      </c>
      <c r="M188" s="1"/>
      <c r="N188" s="1"/>
      <c r="O188" s="1"/>
      <c r="P188" s="1">
        <v>4.25</v>
      </c>
      <c r="Q188" s="1"/>
      <c r="R188" s="1"/>
      <c r="S188" s="1">
        <v>7.81</v>
      </c>
      <c r="T188" s="1"/>
      <c r="U188" s="1">
        <v>9.1199999999999992</v>
      </c>
      <c r="V188" s="1">
        <v>14.99</v>
      </c>
      <c r="W188" s="1">
        <f t="shared" si="9"/>
        <v>37.619999999999997</v>
      </c>
      <c r="X188" s="1"/>
      <c r="Y188" s="1"/>
      <c r="Z188" s="1">
        <v>16.3</v>
      </c>
      <c r="AA188" s="1">
        <v>12.34</v>
      </c>
      <c r="AB188" s="1"/>
      <c r="AC188" s="1"/>
      <c r="AD188" s="1"/>
      <c r="AE188" s="1">
        <v>2.71</v>
      </c>
      <c r="AF188" s="1"/>
      <c r="AH188" s="57"/>
    </row>
    <row r="189" spans="1:34" ht="15" customHeight="1">
      <c r="A189" s="1"/>
      <c r="B189" s="1"/>
      <c r="C189" s="1"/>
      <c r="D189" s="1">
        <v>2</v>
      </c>
      <c r="E189" s="1"/>
      <c r="F189" s="1"/>
      <c r="G189" s="1">
        <v>1.02</v>
      </c>
      <c r="H189" s="1"/>
      <c r="I189" s="1">
        <v>0.66</v>
      </c>
      <c r="J189" s="1"/>
      <c r="K189" s="1"/>
      <c r="L189" s="1">
        <v>0.17</v>
      </c>
      <c r="M189" s="1">
        <v>0.36</v>
      </c>
      <c r="N189" s="1"/>
      <c r="O189" s="1"/>
      <c r="P189" s="1">
        <v>2.84</v>
      </c>
      <c r="Q189" s="1">
        <v>1.22</v>
      </c>
      <c r="R189" s="1"/>
      <c r="S189" s="1">
        <v>6.47</v>
      </c>
      <c r="T189" s="1"/>
      <c r="U189" s="1">
        <v>7.63</v>
      </c>
      <c r="V189" s="1">
        <v>8.5399999999999991</v>
      </c>
      <c r="W189" s="1">
        <f t="shared" si="9"/>
        <v>28.909999999999997</v>
      </c>
      <c r="X189" s="1"/>
      <c r="Y189" s="1"/>
      <c r="Z189" s="1">
        <v>15.9</v>
      </c>
      <c r="AA189" s="1">
        <v>8.4600000000000009</v>
      </c>
      <c r="AB189" s="1"/>
      <c r="AC189" s="1"/>
      <c r="AD189" s="1"/>
      <c r="AE189" s="1">
        <v>1.89</v>
      </c>
      <c r="AF189" s="1"/>
      <c r="AH189" s="57"/>
    </row>
    <row r="190" spans="1:34" ht="15" customHeight="1">
      <c r="A190" s="1"/>
      <c r="B190" s="1"/>
      <c r="C190" s="1"/>
      <c r="D190" s="1">
        <v>3</v>
      </c>
      <c r="E190" s="1">
        <v>0.03</v>
      </c>
      <c r="F190" s="1"/>
      <c r="G190" s="1"/>
      <c r="H190" s="1"/>
      <c r="I190" s="1">
        <v>0.32</v>
      </c>
      <c r="J190" s="1"/>
      <c r="K190" s="1"/>
      <c r="L190" s="1">
        <v>0.09</v>
      </c>
      <c r="M190" s="1"/>
      <c r="N190" s="1"/>
      <c r="O190" s="1">
        <v>0.01</v>
      </c>
      <c r="P190" s="1">
        <v>3.36</v>
      </c>
      <c r="Q190" s="1">
        <v>0.56999999999999995</v>
      </c>
      <c r="R190" s="1"/>
      <c r="S190" s="1">
        <v>7.27</v>
      </c>
      <c r="T190" s="1"/>
      <c r="U190" s="1">
        <v>5.94</v>
      </c>
      <c r="V190" s="1">
        <v>9.9</v>
      </c>
      <c r="W190" s="1">
        <f t="shared" si="9"/>
        <v>27.490000000000002</v>
      </c>
      <c r="X190" s="1"/>
      <c r="Y190" s="1"/>
      <c r="Z190" s="1">
        <v>13</v>
      </c>
      <c r="AA190" s="1">
        <v>10.25</v>
      </c>
      <c r="AB190" s="1"/>
      <c r="AC190" s="1"/>
      <c r="AD190" s="1"/>
      <c r="AE190" s="1">
        <v>3.66</v>
      </c>
      <c r="AF190" s="1"/>
      <c r="AH190" s="57"/>
    </row>
    <row r="191" spans="1:34" ht="15" customHeight="1">
      <c r="A191" s="1"/>
      <c r="B191" s="1"/>
      <c r="C191" s="1"/>
      <c r="D191" s="1">
        <v>4</v>
      </c>
      <c r="E191" s="1"/>
      <c r="F191" s="1"/>
      <c r="G191" s="1">
        <v>0.18</v>
      </c>
      <c r="H191" s="1"/>
      <c r="I191" s="1">
        <v>0.72</v>
      </c>
      <c r="J191" s="1"/>
      <c r="K191" s="1"/>
      <c r="L191" s="1">
        <v>0.04</v>
      </c>
      <c r="M191" s="1"/>
      <c r="N191" s="1"/>
      <c r="O191" s="1"/>
      <c r="P191" s="1">
        <v>10.19</v>
      </c>
      <c r="Q191" s="1">
        <v>0.28999999999999998</v>
      </c>
      <c r="R191" s="1"/>
      <c r="S191" s="1">
        <v>4.7300000000000004</v>
      </c>
      <c r="T191" s="1"/>
      <c r="U191" s="1">
        <v>8.8000000000000007</v>
      </c>
      <c r="V191" s="1">
        <v>14.86</v>
      </c>
      <c r="W191" s="1">
        <f t="shared" si="9"/>
        <v>39.81</v>
      </c>
      <c r="X191" s="1"/>
      <c r="Y191" s="1"/>
      <c r="Z191" s="1">
        <v>33.5</v>
      </c>
      <c r="AA191" s="1">
        <v>20.48</v>
      </c>
      <c r="AB191" s="1"/>
      <c r="AC191" s="1"/>
      <c r="AD191" s="1"/>
      <c r="AE191" s="1">
        <v>2.14</v>
      </c>
      <c r="AF191" s="1"/>
      <c r="AH191" s="57"/>
    </row>
    <row r="192" spans="1:34" ht="15" customHeight="1">
      <c r="A192" s="1"/>
      <c r="B192" s="1"/>
      <c r="C192" s="1"/>
      <c r="D192" s="1">
        <v>5</v>
      </c>
      <c r="E192" s="1"/>
      <c r="F192" s="1"/>
      <c r="G192" s="1">
        <v>0.22</v>
      </c>
      <c r="H192" s="1"/>
      <c r="I192" s="1">
        <v>0.3</v>
      </c>
      <c r="J192" s="1"/>
      <c r="K192" s="1"/>
      <c r="L192" s="1">
        <v>0.13</v>
      </c>
      <c r="M192" s="1"/>
      <c r="N192" s="1"/>
      <c r="O192" s="1">
        <v>0.15</v>
      </c>
      <c r="P192" s="1">
        <v>2.65</v>
      </c>
      <c r="Q192" s="1">
        <v>1.45</v>
      </c>
      <c r="R192" s="1"/>
      <c r="S192" s="1">
        <v>15.58</v>
      </c>
      <c r="T192" s="1">
        <v>0.31</v>
      </c>
      <c r="U192" s="1">
        <v>5.85</v>
      </c>
      <c r="V192" s="1">
        <v>7.5</v>
      </c>
      <c r="W192" s="1">
        <f t="shared" si="9"/>
        <v>34.14</v>
      </c>
      <c r="X192" s="1">
        <f>AVERAGE(W188:W192)</f>
        <v>33.594000000000008</v>
      </c>
      <c r="Y192" s="1"/>
      <c r="Z192" s="1">
        <v>34</v>
      </c>
      <c r="AA192" s="1">
        <v>11.81</v>
      </c>
      <c r="AB192" s="1">
        <f>AVERAGE(AA188:AA192)</f>
        <v>12.668000000000001</v>
      </c>
      <c r="AC192" s="1"/>
      <c r="AD192" s="1"/>
      <c r="AE192" s="1">
        <v>8.33</v>
      </c>
      <c r="AF192" s="1">
        <f>AVERAGE(AE188:AE192)</f>
        <v>3.746</v>
      </c>
      <c r="AH192" s="57"/>
    </row>
    <row r="193" spans="1:34" ht="15" customHeight="1">
      <c r="A193" s="1"/>
      <c r="B193" s="1"/>
      <c r="C193" s="1">
        <v>3</v>
      </c>
      <c r="D193" s="1">
        <v>1</v>
      </c>
      <c r="E193" s="1"/>
      <c r="F193" s="1"/>
      <c r="G193" s="1">
        <v>1.03</v>
      </c>
      <c r="H193" s="1"/>
      <c r="I193" s="1">
        <v>0.59</v>
      </c>
      <c r="J193" s="1"/>
      <c r="K193" s="1"/>
      <c r="L193" s="1">
        <v>0.09</v>
      </c>
      <c r="M193" s="1"/>
      <c r="N193" s="1"/>
      <c r="O193" s="1"/>
      <c r="P193" s="1">
        <v>16.89</v>
      </c>
      <c r="Q193" s="1">
        <v>0.12</v>
      </c>
      <c r="R193" s="1"/>
      <c r="S193" s="1">
        <v>3.92</v>
      </c>
      <c r="T193" s="1"/>
      <c r="U193" s="1">
        <v>4.63</v>
      </c>
      <c r="V193" s="1">
        <v>10.18</v>
      </c>
      <c r="W193" s="1">
        <f t="shared" si="9"/>
        <v>37.450000000000003</v>
      </c>
      <c r="X193" s="1"/>
      <c r="Y193" s="1"/>
      <c r="Z193" s="1">
        <v>15.5</v>
      </c>
      <c r="AA193" s="1">
        <v>12.98</v>
      </c>
      <c r="AB193" s="1"/>
      <c r="AC193" s="1"/>
      <c r="AD193" s="1"/>
      <c r="AE193" s="1">
        <v>3.33</v>
      </c>
      <c r="AF193" s="1"/>
      <c r="AH193" s="57"/>
    </row>
    <row r="194" spans="1:34" ht="15" customHeight="1">
      <c r="A194" s="1"/>
      <c r="B194" s="1"/>
      <c r="C194" s="1"/>
      <c r="D194" s="1">
        <v>2</v>
      </c>
      <c r="E194" s="1"/>
      <c r="F194" s="1"/>
      <c r="G194" s="1">
        <v>2.04</v>
      </c>
      <c r="H194" s="1"/>
      <c r="I194" s="1">
        <v>0.06</v>
      </c>
      <c r="J194" s="1"/>
      <c r="K194" s="1"/>
      <c r="L194" s="1"/>
      <c r="M194" s="1"/>
      <c r="N194" s="1"/>
      <c r="O194" s="1"/>
      <c r="P194" s="1">
        <v>7.66</v>
      </c>
      <c r="Q194" s="1"/>
      <c r="R194" s="1"/>
      <c r="S194" s="1">
        <v>4.9400000000000004</v>
      </c>
      <c r="T194" s="1"/>
      <c r="U194" s="1">
        <v>2.17</v>
      </c>
      <c r="V194" s="1">
        <v>9.61</v>
      </c>
      <c r="W194" s="1">
        <f t="shared" si="9"/>
        <v>26.479999999999997</v>
      </c>
      <c r="X194" s="1"/>
      <c r="Y194" s="1"/>
      <c r="Z194" s="1">
        <v>27.2</v>
      </c>
      <c r="AA194" s="1">
        <v>18.45</v>
      </c>
      <c r="AB194" s="1"/>
      <c r="AC194" s="1"/>
      <c r="AD194" s="1"/>
      <c r="AE194" s="1">
        <v>8.84</v>
      </c>
      <c r="AF194" s="1"/>
      <c r="AH194" s="57"/>
    </row>
    <row r="195" spans="1:34" ht="15" customHeight="1">
      <c r="A195" s="1"/>
      <c r="B195" s="1"/>
      <c r="C195" s="1"/>
      <c r="D195" s="1">
        <v>3</v>
      </c>
      <c r="E195" s="1"/>
      <c r="F195" s="1"/>
      <c r="G195" s="1">
        <v>1.81</v>
      </c>
      <c r="H195" s="1"/>
      <c r="I195" s="1">
        <v>0.5</v>
      </c>
      <c r="J195" s="1"/>
      <c r="K195" s="1"/>
      <c r="L195" s="1"/>
      <c r="M195" s="1"/>
      <c r="N195" s="1"/>
      <c r="O195" s="1"/>
      <c r="P195" s="1">
        <v>14.21</v>
      </c>
      <c r="Q195" s="1"/>
      <c r="R195" s="1"/>
      <c r="S195" s="1">
        <v>3.69</v>
      </c>
      <c r="T195" s="1"/>
      <c r="U195" s="1">
        <v>1.23</v>
      </c>
      <c r="V195" s="1">
        <v>6.02</v>
      </c>
      <c r="W195" s="1">
        <f t="shared" si="9"/>
        <v>27.46</v>
      </c>
      <c r="X195" s="1"/>
      <c r="Y195" s="1"/>
      <c r="Z195" s="1">
        <v>31</v>
      </c>
      <c r="AA195" s="1">
        <v>24.14</v>
      </c>
      <c r="AB195" s="1"/>
      <c r="AC195" s="1"/>
      <c r="AD195" s="1"/>
      <c r="AE195" s="1">
        <v>8.4</v>
      </c>
      <c r="AF195" s="1"/>
      <c r="AH195" s="57"/>
    </row>
    <row r="196" spans="1:34" ht="15" customHeight="1">
      <c r="A196" s="1"/>
      <c r="B196" s="1"/>
      <c r="C196" s="1"/>
      <c r="D196" s="1">
        <v>4</v>
      </c>
      <c r="E196" s="1"/>
      <c r="F196" s="1">
        <v>0.21</v>
      </c>
      <c r="G196" s="1">
        <v>4.0999999999999996</v>
      </c>
      <c r="H196" s="1"/>
      <c r="I196" s="1">
        <v>1.76</v>
      </c>
      <c r="J196" s="1"/>
      <c r="K196" s="1"/>
      <c r="L196" s="1">
        <v>0.02</v>
      </c>
      <c r="M196" s="1"/>
      <c r="N196" s="1"/>
      <c r="O196" s="1"/>
      <c r="P196" s="1">
        <v>16.63</v>
      </c>
      <c r="Q196" s="1">
        <v>0.14000000000000001</v>
      </c>
      <c r="R196" s="1"/>
      <c r="S196" s="1">
        <v>2.52</v>
      </c>
      <c r="T196" s="1"/>
      <c r="U196" s="1">
        <v>3.52</v>
      </c>
      <c r="V196" s="1">
        <v>5.9</v>
      </c>
      <c r="W196" s="1">
        <f t="shared" si="9"/>
        <v>34.799999999999997</v>
      </c>
      <c r="X196" s="1"/>
      <c r="Y196" s="1"/>
      <c r="Z196" s="1">
        <v>38.1</v>
      </c>
      <c r="AA196" s="1">
        <v>23.18</v>
      </c>
      <c r="AB196" s="1"/>
      <c r="AC196" s="1"/>
      <c r="AD196" s="1"/>
      <c r="AE196" s="1">
        <v>4.4000000000000004</v>
      </c>
      <c r="AF196" s="1"/>
      <c r="AH196" s="57"/>
    </row>
    <row r="197" spans="1:34" ht="15" customHeight="1">
      <c r="A197" s="1"/>
      <c r="B197" s="1"/>
      <c r="C197" s="1"/>
      <c r="D197" s="1">
        <v>5</v>
      </c>
      <c r="E197" s="1"/>
      <c r="F197" s="1"/>
      <c r="G197" s="1">
        <v>1.44</v>
      </c>
      <c r="H197" s="1"/>
      <c r="I197" s="1">
        <v>0.19</v>
      </c>
      <c r="J197" s="1"/>
      <c r="K197" s="1"/>
      <c r="L197" s="1">
        <v>0.05</v>
      </c>
      <c r="M197" s="1"/>
      <c r="N197" s="1"/>
      <c r="O197" s="1"/>
      <c r="P197" s="1">
        <v>12.1</v>
      </c>
      <c r="Q197" s="1">
        <v>0.12</v>
      </c>
      <c r="R197" s="1"/>
      <c r="S197" s="1">
        <v>4.3099999999999996</v>
      </c>
      <c r="T197" s="1">
        <v>0.75</v>
      </c>
      <c r="U197" s="1">
        <v>2.73</v>
      </c>
      <c r="V197" s="1">
        <v>3.31</v>
      </c>
      <c r="W197" s="1">
        <f t="shared" si="9"/>
        <v>24.999999999999996</v>
      </c>
      <c r="X197" s="1">
        <f>AVERAGE(W193:W197)</f>
        <v>30.238</v>
      </c>
      <c r="Y197" s="1"/>
      <c r="Z197" s="1">
        <v>34.299999999999997</v>
      </c>
      <c r="AA197" s="1">
        <v>23.26</v>
      </c>
      <c r="AB197" s="1">
        <f>AVERAGE(AA193:AA197)</f>
        <v>20.402000000000001</v>
      </c>
      <c r="AC197" s="1"/>
      <c r="AD197" s="1"/>
      <c r="AE197" s="1">
        <v>5.86</v>
      </c>
      <c r="AF197" s="1">
        <f>AVERAGE(AE193:AE197)</f>
        <v>6.1659999999999995</v>
      </c>
      <c r="AH197" s="57"/>
    </row>
    <row r="198" spans="1:34" ht="15" customHeight="1">
      <c r="A198" s="1"/>
      <c r="B198" s="1"/>
      <c r="C198" s="1">
        <v>4</v>
      </c>
      <c r="D198" s="1">
        <v>1</v>
      </c>
      <c r="E198" s="1"/>
      <c r="F198" s="1"/>
      <c r="G198" s="1">
        <v>0.19</v>
      </c>
      <c r="H198" s="1"/>
      <c r="I198" s="1">
        <v>0.73</v>
      </c>
      <c r="J198" s="1"/>
      <c r="K198" s="1"/>
      <c r="L198" s="1">
        <v>0.34</v>
      </c>
      <c r="M198" s="1">
        <v>0.39</v>
      </c>
      <c r="N198" s="1"/>
      <c r="O198" s="1"/>
      <c r="P198" s="1">
        <v>4.51</v>
      </c>
      <c r="Q198" s="1">
        <v>0.83</v>
      </c>
      <c r="R198" s="1"/>
      <c r="S198" s="1">
        <v>10.1</v>
      </c>
      <c r="T198" s="1"/>
      <c r="U198" s="1">
        <v>3.07</v>
      </c>
      <c r="V198" s="1">
        <v>12.61</v>
      </c>
      <c r="W198" s="1">
        <f t="shared" si="9"/>
        <v>32.769999999999996</v>
      </c>
      <c r="X198" s="1"/>
      <c r="Y198" s="1"/>
      <c r="Z198" s="1">
        <v>27.7</v>
      </c>
      <c r="AA198" s="1">
        <v>9.5399999999999991</v>
      </c>
      <c r="AB198" s="1"/>
      <c r="AC198" s="1"/>
      <c r="AD198" s="1"/>
      <c r="AE198" s="1">
        <v>4.01</v>
      </c>
      <c r="AF198" s="1"/>
      <c r="AH198" s="57"/>
    </row>
    <row r="199" spans="1:34" ht="15" customHeight="1">
      <c r="A199" s="1"/>
      <c r="B199" s="1"/>
      <c r="C199" s="1"/>
      <c r="D199" s="1">
        <v>2</v>
      </c>
      <c r="E199" s="1">
        <v>0.11</v>
      </c>
      <c r="F199" s="1"/>
      <c r="G199" s="1"/>
      <c r="H199" s="1"/>
      <c r="I199" s="1">
        <v>1.43</v>
      </c>
      <c r="J199" s="1"/>
      <c r="K199" s="1"/>
      <c r="L199" s="1">
        <v>0.61</v>
      </c>
      <c r="M199" s="1"/>
      <c r="N199" s="1"/>
      <c r="O199" s="1"/>
      <c r="P199" s="1">
        <v>4.2</v>
      </c>
      <c r="Q199" s="1">
        <v>0.04</v>
      </c>
      <c r="R199" s="1"/>
      <c r="S199" s="1">
        <v>3.82</v>
      </c>
      <c r="T199" s="1">
        <v>0.19</v>
      </c>
      <c r="U199" s="1">
        <v>4.78</v>
      </c>
      <c r="V199" s="1">
        <v>12.06</v>
      </c>
      <c r="W199" s="1">
        <f t="shared" si="9"/>
        <v>27.240000000000002</v>
      </c>
      <c r="X199" s="1"/>
      <c r="Y199" s="1"/>
      <c r="Z199" s="1">
        <v>20.2</v>
      </c>
      <c r="AA199" s="1">
        <v>14.69</v>
      </c>
      <c r="AB199" s="1"/>
      <c r="AC199" s="1"/>
      <c r="AD199" s="1"/>
      <c r="AE199" s="1">
        <v>4.45</v>
      </c>
      <c r="AF199" s="1"/>
      <c r="AH199" s="57"/>
    </row>
    <row r="200" spans="1:34" ht="15" customHeight="1">
      <c r="A200" s="1"/>
      <c r="B200" s="1"/>
      <c r="C200" s="1"/>
      <c r="D200" s="1">
        <v>3</v>
      </c>
      <c r="E200" s="1">
        <v>0.08</v>
      </c>
      <c r="F200" s="1">
        <v>1.19</v>
      </c>
      <c r="G200" s="1">
        <v>1.39</v>
      </c>
      <c r="H200" s="1"/>
      <c r="I200" s="1">
        <v>4.37</v>
      </c>
      <c r="J200" s="1"/>
      <c r="K200" s="1"/>
      <c r="L200" s="1"/>
      <c r="M200" s="1"/>
      <c r="N200" s="1"/>
      <c r="O200" s="1"/>
      <c r="P200" s="1">
        <v>6.32</v>
      </c>
      <c r="Q200" s="1">
        <v>0.37</v>
      </c>
      <c r="R200" s="1"/>
      <c r="S200" s="1">
        <v>12.1</v>
      </c>
      <c r="T200" s="1"/>
      <c r="U200" s="1">
        <v>6.63</v>
      </c>
      <c r="V200" s="1">
        <v>13.69</v>
      </c>
      <c r="W200" s="1">
        <f t="shared" si="9"/>
        <v>46.14</v>
      </c>
      <c r="X200" s="1"/>
      <c r="Y200" s="1"/>
      <c r="Z200" s="1">
        <v>19.8</v>
      </c>
      <c r="AA200" s="1">
        <v>10.08</v>
      </c>
      <c r="AB200" s="1"/>
      <c r="AC200" s="1"/>
      <c r="AD200" s="1"/>
      <c r="AE200" s="1">
        <v>3.34</v>
      </c>
      <c r="AF200" s="1"/>
      <c r="AH200" s="57"/>
    </row>
    <row r="201" spans="1:34" ht="15" customHeight="1">
      <c r="A201" s="1"/>
      <c r="B201" s="1"/>
      <c r="C201" s="1"/>
      <c r="D201" s="1">
        <v>4</v>
      </c>
      <c r="E201" s="1">
        <v>0.05</v>
      </c>
      <c r="F201" s="1">
        <v>1.93</v>
      </c>
      <c r="G201" s="1">
        <v>1.32</v>
      </c>
      <c r="H201" s="1"/>
      <c r="I201" s="1">
        <v>3.2</v>
      </c>
      <c r="J201" s="1"/>
      <c r="K201" s="1"/>
      <c r="L201" s="1"/>
      <c r="M201" s="1"/>
      <c r="N201" s="1"/>
      <c r="O201" s="1"/>
      <c r="P201" s="1">
        <v>7.39</v>
      </c>
      <c r="Q201" s="1"/>
      <c r="R201" s="1"/>
      <c r="S201" s="1">
        <v>2.56</v>
      </c>
      <c r="T201" s="1"/>
      <c r="U201" s="1">
        <v>5.21</v>
      </c>
      <c r="V201" s="1">
        <v>8.48</v>
      </c>
      <c r="W201" s="1">
        <f t="shared" si="9"/>
        <v>30.14</v>
      </c>
      <c r="X201" s="1"/>
      <c r="Y201" s="1"/>
      <c r="Z201" s="1">
        <v>17.7</v>
      </c>
      <c r="AA201" s="1">
        <v>13.65</v>
      </c>
      <c r="AB201" s="1"/>
      <c r="AC201" s="1"/>
      <c r="AD201" s="1"/>
      <c r="AE201" s="1">
        <v>5.12</v>
      </c>
      <c r="AF201" s="1"/>
      <c r="AH201" s="57"/>
    </row>
    <row r="202" spans="1:34" ht="15" customHeight="1">
      <c r="A202" s="1"/>
      <c r="B202" s="1"/>
      <c r="C202" s="1"/>
      <c r="D202" s="1">
        <v>5</v>
      </c>
      <c r="E202" s="1"/>
      <c r="F202" s="1">
        <v>0.43</v>
      </c>
      <c r="G202" s="1">
        <v>1.0900000000000001</v>
      </c>
      <c r="H202" s="1"/>
      <c r="I202" s="1">
        <v>1.62</v>
      </c>
      <c r="J202" s="1"/>
      <c r="K202" s="1"/>
      <c r="L202" s="1">
        <v>0.27</v>
      </c>
      <c r="M202" s="1"/>
      <c r="N202" s="1"/>
      <c r="O202" s="1"/>
      <c r="P202" s="1">
        <v>12.89</v>
      </c>
      <c r="Q202" s="1">
        <v>1.26</v>
      </c>
      <c r="R202" s="1"/>
      <c r="S202" s="1">
        <v>7.57</v>
      </c>
      <c r="T202" s="1">
        <v>0.18</v>
      </c>
      <c r="U202" s="1">
        <v>8.1300000000000008</v>
      </c>
      <c r="V202" s="1">
        <v>13.35</v>
      </c>
      <c r="W202" s="1">
        <f t="shared" si="9"/>
        <v>46.790000000000006</v>
      </c>
      <c r="X202" s="1">
        <f>AVERAGE(W198:W202)</f>
        <v>36.616000000000007</v>
      </c>
      <c r="Y202" s="1"/>
      <c r="Z202" s="1">
        <v>23.4</v>
      </c>
      <c r="AA202" s="1">
        <v>13.25</v>
      </c>
      <c r="AB202" s="1">
        <f>AVERAGE(AA198:AA202)</f>
        <v>12.241999999999999</v>
      </c>
      <c r="AC202" s="1"/>
      <c r="AD202" s="1"/>
      <c r="AE202" s="1">
        <v>4.8099999999999996</v>
      </c>
      <c r="AF202" s="1">
        <f>AVERAGE(AE198:AE202)</f>
        <v>4.3460000000000001</v>
      </c>
      <c r="AH202" s="57"/>
    </row>
    <row r="203" spans="1:34" ht="15" customHeight="1">
      <c r="A203" s="1" t="s">
        <v>109</v>
      </c>
      <c r="B203" s="1" t="s">
        <v>105</v>
      </c>
      <c r="C203" s="1">
        <v>1</v>
      </c>
      <c r="D203" s="1">
        <v>1</v>
      </c>
      <c r="E203" s="1"/>
      <c r="F203" s="1"/>
      <c r="G203" s="1"/>
      <c r="H203" s="1"/>
      <c r="I203" s="1">
        <v>1.76</v>
      </c>
      <c r="J203" s="1"/>
      <c r="K203" s="1"/>
      <c r="L203" s="1"/>
      <c r="M203" s="1"/>
      <c r="N203" s="1"/>
      <c r="O203" s="1"/>
      <c r="P203" s="1">
        <v>32.020000000000003</v>
      </c>
      <c r="Q203" s="1">
        <v>0.12</v>
      </c>
      <c r="R203" s="1"/>
      <c r="S203" s="1">
        <v>2.6</v>
      </c>
      <c r="T203" s="1"/>
      <c r="U203" s="1">
        <v>0.2</v>
      </c>
      <c r="V203" s="1">
        <v>5.67</v>
      </c>
      <c r="W203" s="1">
        <f t="shared" si="9"/>
        <v>42.370000000000005</v>
      </c>
      <c r="X203" s="1"/>
      <c r="Y203" s="1"/>
      <c r="Z203" s="1">
        <v>11.2</v>
      </c>
      <c r="AA203" s="1">
        <v>9.19</v>
      </c>
      <c r="AB203" s="1"/>
      <c r="AC203" s="1"/>
      <c r="AD203" s="1"/>
      <c r="AE203" s="1">
        <v>3.83</v>
      </c>
      <c r="AF203" s="1"/>
      <c r="AH203" s="57"/>
    </row>
    <row r="204" spans="1:34" ht="15" customHeight="1">
      <c r="A204" s="1"/>
      <c r="B204" s="1"/>
      <c r="C204" s="1"/>
      <c r="D204" s="1">
        <v>2</v>
      </c>
      <c r="E204" s="1"/>
      <c r="F204" s="1"/>
      <c r="G204" s="1"/>
      <c r="H204" s="1"/>
      <c r="I204" s="1">
        <v>0.93</v>
      </c>
      <c r="J204" s="1"/>
      <c r="K204" s="1"/>
      <c r="L204" s="1"/>
      <c r="M204" s="1"/>
      <c r="N204" s="1"/>
      <c r="O204" s="1"/>
      <c r="P204" s="1">
        <v>14.85</v>
      </c>
      <c r="Q204" s="1">
        <v>0.19</v>
      </c>
      <c r="R204" s="1"/>
      <c r="S204" s="1">
        <v>1.9</v>
      </c>
      <c r="T204" s="1"/>
      <c r="U204" s="1"/>
      <c r="V204" s="1">
        <v>1.28</v>
      </c>
      <c r="W204" s="1">
        <f t="shared" si="9"/>
        <v>19.149999999999999</v>
      </c>
      <c r="X204" s="1"/>
      <c r="Y204" s="1"/>
      <c r="Z204" s="1">
        <v>37</v>
      </c>
      <c r="AA204" s="61">
        <v>18.77</v>
      </c>
      <c r="AB204" s="1"/>
      <c r="AC204" s="1"/>
      <c r="AD204" s="1"/>
      <c r="AE204" s="1">
        <v>1.23</v>
      </c>
      <c r="AF204" s="1"/>
      <c r="AH204" s="57"/>
    </row>
    <row r="205" spans="1:34" ht="15" customHeight="1">
      <c r="A205" s="1"/>
      <c r="B205" s="1"/>
      <c r="C205" s="1"/>
      <c r="D205" s="1">
        <v>3</v>
      </c>
      <c r="E205" s="1"/>
      <c r="F205" s="1"/>
      <c r="G205" s="1"/>
      <c r="H205" s="1"/>
      <c r="I205" s="1">
        <v>1.89</v>
      </c>
      <c r="J205" s="1"/>
      <c r="K205" s="1"/>
      <c r="L205" s="1"/>
      <c r="M205" s="1"/>
      <c r="N205" s="1"/>
      <c r="O205" s="1"/>
      <c r="P205" s="1">
        <v>35.229999999999997</v>
      </c>
      <c r="Q205" s="1"/>
      <c r="R205" s="1"/>
      <c r="S205" s="1">
        <v>2.3199999999999998</v>
      </c>
      <c r="T205" s="1"/>
      <c r="U205" s="1">
        <v>0.76</v>
      </c>
      <c r="V205" s="1">
        <v>2.81</v>
      </c>
      <c r="W205" s="1">
        <f t="shared" si="9"/>
        <v>43.01</v>
      </c>
      <c r="X205" s="1"/>
      <c r="Y205" s="1"/>
      <c r="Z205" s="1">
        <v>13.1</v>
      </c>
      <c r="AA205" s="1">
        <v>7.36</v>
      </c>
      <c r="AB205" s="1"/>
      <c r="AC205" s="1"/>
      <c r="AD205" s="1"/>
      <c r="AE205" s="1">
        <v>2.25</v>
      </c>
      <c r="AF205" s="1"/>
      <c r="AH205" s="57"/>
    </row>
    <row r="206" spans="1:34" ht="15" customHeight="1">
      <c r="A206" s="1"/>
      <c r="B206" s="1"/>
      <c r="C206" s="1"/>
      <c r="D206" s="1">
        <v>4</v>
      </c>
      <c r="E206" s="1"/>
      <c r="F206" s="1"/>
      <c r="G206" s="1"/>
      <c r="H206" s="1"/>
      <c r="I206" s="1">
        <v>1.1599999999999999</v>
      </c>
      <c r="J206" s="1"/>
      <c r="K206" s="1"/>
      <c r="L206" s="1"/>
      <c r="M206" s="1"/>
      <c r="N206" s="1"/>
      <c r="O206" s="1"/>
      <c r="P206" s="1">
        <v>19.03</v>
      </c>
      <c r="Q206" s="1">
        <v>1.25</v>
      </c>
      <c r="R206" s="1"/>
      <c r="S206" s="1">
        <v>1.73</v>
      </c>
      <c r="T206" s="1"/>
      <c r="U206" s="1">
        <v>2.62</v>
      </c>
      <c r="V206" s="1">
        <v>8.16</v>
      </c>
      <c r="W206" s="1">
        <f t="shared" si="9"/>
        <v>33.950000000000003</v>
      </c>
      <c r="X206" s="1"/>
      <c r="Y206" s="1"/>
      <c r="Z206" s="1">
        <v>25.8</v>
      </c>
      <c r="AA206" s="1">
        <v>13.13</v>
      </c>
      <c r="AB206" s="1"/>
      <c r="AC206" s="1"/>
      <c r="AD206" s="1"/>
      <c r="AE206" s="1">
        <v>2.25</v>
      </c>
      <c r="AF206" s="1"/>
      <c r="AH206" s="57"/>
    </row>
    <row r="207" spans="1:34" ht="15" customHeight="1">
      <c r="A207" s="1"/>
      <c r="B207" s="1"/>
      <c r="C207" s="1"/>
      <c r="D207" s="1">
        <v>5</v>
      </c>
      <c r="E207" s="1"/>
      <c r="F207" s="1"/>
      <c r="G207" s="1"/>
      <c r="H207" s="1"/>
      <c r="I207" s="1">
        <v>3.2</v>
      </c>
      <c r="J207" s="1"/>
      <c r="K207" s="1"/>
      <c r="L207" s="1"/>
      <c r="M207" s="1"/>
      <c r="N207" s="1"/>
      <c r="O207" s="1"/>
      <c r="P207" s="1">
        <v>13.37</v>
      </c>
      <c r="Q207" s="1"/>
      <c r="R207" s="1"/>
      <c r="S207" s="1">
        <v>3.64</v>
      </c>
      <c r="T207" s="1"/>
      <c r="U207" s="1"/>
      <c r="V207" s="1">
        <v>3.24</v>
      </c>
      <c r="W207" s="1">
        <f t="shared" si="9"/>
        <v>23.450000000000003</v>
      </c>
      <c r="X207" s="1">
        <f>AVERAGE(W203:W207)</f>
        <v>32.386000000000003</v>
      </c>
      <c r="Y207" s="1"/>
      <c r="Z207" s="1">
        <v>25.4</v>
      </c>
      <c r="AA207" s="1">
        <v>18.600000000000001</v>
      </c>
      <c r="AB207" s="1">
        <f>AVERAGE(AA203:AA207)</f>
        <v>13.410000000000002</v>
      </c>
      <c r="AC207" s="1"/>
      <c r="AD207" s="1"/>
      <c r="AE207" s="1">
        <v>5.09</v>
      </c>
      <c r="AF207" s="1">
        <f>AVERAGE(AE203:AE207)</f>
        <v>2.93</v>
      </c>
      <c r="AH207" s="57"/>
    </row>
    <row r="208" spans="1:34" ht="15" customHeight="1">
      <c r="A208" s="1"/>
      <c r="B208" s="1"/>
      <c r="C208" s="1">
        <v>2</v>
      </c>
      <c r="D208" s="1">
        <v>1</v>
      </c>
      <c r="E208" s="1"/>
      <c r="F208" s="1"/>
      <c r="G208" s="1"/>
      <c r="H208" s="1"/>
      <c r="I208" s="1">
        <v>0.67</v>
      </c>
      <c r="J208" s="1"/>
      <c r="K208" s="1"/>
      <c r="L208" s="1"/>
      <c r="M208" s="1"/>
      <c r="N208" s="1"/>
      <c r="O208" s="1"/>
      <c r="P208" s="1">
        <v>36</v>
      </c>
      <c r="Q208" s="1"/>
      <c r="R208" s="1"/>
      <c r="S208" s="1">
        <v>3.36</v>
      </c>
      <c r="T208" s="1"/>
      <c r="U208" s="1"/>
      <c r="V208" s="1">
        <v>2.39</v>
      </c>
      <c r="W208" s="1">
        <f t="shared" si="9"/>
        <v>42.42</v>
      </c>
      <c r="X208" s="1"/>
      <c r="Y208" s="1"/>
      <c r="Z208" s="8">
        <f>AVERAGE(Z210:Z212)</f>
        <v>25.366666666666664</v>
      </c>
      <c r="AA208" s="8">
        <f>AVERAGEA(AA211:AA212)</f>
        <v>3.27</v>
      </c>
      <c r="AB208" s="1"/>
      <c r="AC208" s="1"/>
      <c r="AD208" s="1"/>
      <c r="AE208" s="1">
        <v>3.61</v>
      </c>
      <c r="AF208" s="1"/>
      <c r="AH208" s="57"/>
    </row>
    <row r="209" spans="1:34" ht="15" customHeight="1">
      <c r="A209" s="1"/>
      <c r="B209" s="1"/>
      <c r="C209" s="1"/>
      <c r="D209" s="1">
        <v>2</v>
      </c>
      <c r="E209" s="1"/>
      <c r="F209" s="1"/>
      <c r="G209" s="1"/>
      <c r="H209" s="1"/>
      <c r="I209" s="1">
        <v>1.2</v>
      </c>
      <c r="J209" s="1"/>
      <c r="K209" s="1"/>
      <c r="L209" s="1"/>
      <c r="M209" s="1"/>
      <c r="N209" s="1"/>
      <c r="O209" s="1"/>
      <c r="P209" s="1">
        <v>37.770000000000003</v>
      </c>
      <c r="Q209" s="1">
        <v>0.39</v>
      </c>
      <c r="R209" s="1"/>
      <c r="S209" s="1">
        <v>1.35</v>
      </c>
      <c r="T209" s="1">
        <v>1.05</v>
      </c>
      <c r="U209" s="1"/>
      <c r="V209" s="1">
        <v>1.89</v>
      </c>
      <c r="W209" s="1">
        <f t="shared" si="9"/>
        <v>43.650000000000006</v>
      </c>
      <c r="X209" s="1"/>
      <c r="Y209" s="1"/>
      <c r="Z209" s="8">
        <f>AVERAGE(Z210:Z212)</f>
        <v>25.366666666666664</v>
      </c>
      <c r="AA209" s="8">
        <f>AVERAGEA(AA211:AA212)</f>
        <v>3.27</v>
      </c>
      <c r="AB209" s="1"/>
      <c r="AC209" s="1"/>
      <c r="AD209" s="1"/>
      <c r="AE209" s="1">
        <v>3.18</v>
      </c>
      <c r="AF209" s="1"/>
      <c r="AH209" s="57"/>
    </row>
    <row r="210" spans="1:34" ht="15" customHeight="1">
      <c r="A210" s="1"/>
      <c r="B210" s="1"/>
      <c r="C210" s="1"/>
      <c r="D210" s="1">
        <v>3</v>
      </c>
      <c r="E210" s="1"/>
      <c r="F210" s="1"/>
      <c r="G210" s="1"/>
      <c r="H210" s="1"/>
      <c r="I210" s="1">
        <v>0.82</v>
      </c>
      <c r="J210" s="1"/>
      <c r="K210" s="1"/>
      <c r="L210" s="1"/>
      <c r="M210" s="1"/>
      <c r="N210" s="1"/>
      <c r="O210" s="1"/>
      <c r="P210" s="1">
        <v>51.44</v>
      </c>
      <c r="Q210" s="1"/>
      <c r="R210" s="1"/>
      <c r="S210" s="1">
        <v>0.36</v>
      </c>
      <c r="T210" s="1"/>
      <c r="U210" s="1"/>
      <c r="V210" s="1">
        <v>1.53</v>
      </c>
      <c r="W210" s="1">
        <f t="shared" si="9"/>
        <v>54.15</v>
      </c>
      <c r="X210" s="1"/>
      <c r="Y210" s="1"/>
      <c r="Z210" s="1">
        <v>11.8</v>
      </c>
      <c r="AA210" s="8">
        <f>AVERAGEA(AA211:AA212)</f>
        <v>3.27</v>
      </c>
      <c r="AB210" s="1"/>
      <c r="AC210" s="1"/>
      <c r="AD210" s="1"/>
      <c r="AE210" s="1">
        <v>3.38</v>
      </c>
      <c r="AF210" s="1"/>
      <c r="AH210" s="57"/>
    </row>
    <row r="211" spans="1:34" ht="15" customHeight="1">
      <c r="A211" s="1"/>
      <c r="B211" s="1"/>
      <c r="C211" s="1"/>
      <c r="D211" s="1">
        <v>4</v>
      </c>
      <c r="E211" s="1">
        <v>0.05</v>
      </c>
      <c r="F211" s="1"/>
      <c r="G211" s="1"/>
      <c r="H211" s="1"/>
      <c r="I211" s="1">
        <v>2.71</v>
      </c>
      <c r="J211" s="1"/>
      <c r="K211" s="1"/>
      <c r="L211" s="1"/>
      <c r="M211" s="1"/>
      <c r="N211" s="1"/>
      <c r="O211" s="1"/>
      <c r="P211" s="1">
        <v>38.01</v>
      </c>
      <c r="Q211" s="1">
        <v>0.35</v>
      </c>
      <c r="R211" s="1"/>
      <c r="S211" s="1">
        <v>1.18</v>
      </c>
      <c r="T211" s="1"/>
      <c r="U211" s="1">
        <v>0.25</v>
      </c>
      <c r="V211" s="1">
        <v>2.31</v>
      </c>
      <c r="W211" s="1">
        <f t="shared" si="9"/>
        <v>44.86</v>
      </c>
      <c r="X211" s="1"/>
      <c r="Y211" s="1"/>
      <c r="Z211" s="1">
        <v>41.7</v>
      </c>
      <c r="AA211" s="1">
        <v>0.06</v>
      </c>
      <c r="AB211" s="1"/>
      <c r="AC211" s="1"/>
      <c r="AD211" s="1"/>
      <c r="AE211" s="1">
        <v>4.32</v>
      </c>
      <c r="AF211" s="1"/>
      <c r="AH211" s="57"/>
    </row>
    <row r="212" spans="1:34" ht="15" customHeight="1">
      <c r="A212" s="1"/>
      <c r="B212" s="1"/>
      <c r="C212" s="1"/>
      <c r="D212" s="1">
        <v>5</v>
      </c>
      <c r="E212" s="1"/>
      <c r="F212" s="1"/>
      <c r="G212" s="1"/>
      <c r="H212" s="1"/>
      <c r="I212" s="1">
        <v>2.92</v>
      </c>
      <c r="J212" s="1"/>
      <c r="K212" s="1"/>
      <c r="L212" s="1"/>
      <c r="M212" s="1"/>
      <c r="N212" s="1"/>
      <c r="O212" s="1"/>
      <c r="P212" s="1">
        <v>38.020000000000003</v>
      </c>
      <c r="Q212" s="1"/>
      <c r="R212" s="1"/>
      <c r="S212" s="1"/>
      <c r="T212" s="1">
        <v>0.4</v>
      </c>
      <c r="U212" s="1"/>
      <c r="V212" s="1">
        <v>2.2400000000000002</v>
      </c>
      <c r="W212" s="1">
        <f t="shared" si="9"/>
        <v>43.580000000000005</v>
      </c>
      <c r="X212" s="1">
        <f>AVERAGE(W208:W212)</f>
        <v>45.731999999999999</v>
      </c>
      <c r="Y212" s="1"/>
      <c r="Z212" s="1">
        <v>22.6</v>
      </c>
      <c r="AA212" s="1">
        <v>6.48</v>
      </c>
      <c r="AB212" s="1">
        <f>AVERAGE(AA208:AA212)</f>
        <v>3.2700000000000005</v>
      </c>
      <c r="AC212" s="1"/>
      <c r="AD212" s="1"/>
      <c r="AE212" s="1">
        <v>4.53</v>
      </c>
      <c r="AF212" s="1">
        <f>AVERAGE(AE208:AE212)</f>
        <v>3.8039999999999998</v>
      </c>
      <c r="AH212" s="57"/>
    </row>
    <row r="213" spans="1:34" ht="15" customHeight="1">
      <c r="A213" s="1"/>
      <c r="B213" s="1"/>
      <c r="C213" s="1">
        <v>3</v>
      </c>
      <c r="D213" s="1">
        <v>1</v>
      </c>
      <c r="E213" s="1"/>
      <c r="F213" s="1"/>
      <c r="G213" s="1"/>
      <c r="H213" s="1"/>
      <c r="I213" s="1">
        <v>2.23</v>
      </c>
      <c r="J213" s="1"/>
      <c r="K213" s="1"/>
      <c r="L213" s="1"/>
      <c r="M213" s="1"/>
      <c r="N213" s="1"/>
      <c r="O213" s="1"/>
      <c r="P213" s="1">
        <v>31.42</v>
      </c>
      <c r="Q213" s="1"/>
      <c r="R213" s="1"/>
      <c r="S213" s="1">
        <v>0.56000000000000005</v>
      </c>
      <c r="T213" s="1"/>
      <c r="U213" s="1"/>
      <c r="V213" s="1">
        <v>6.48</v>
      </c>
      <c r="W213" s="1">
        <f t="shared" si="9"/>
        <v>40.69</v>
      </c>
      <c r="X213" s="1"/>
      <c r="Y213" s="1"/>
      <c r="Z213" s="1">
        <v>20.5</v>
      </c>
      <c r="AA213" s="1">
        <v>17.28</v>
      </c>
      <c r="AB213" s="1"/>
      <c r="AC213" s="1"/>
      <c r="AD213" s="1"/>
      <c r="AE213" s="1">
        <v>5.0999999999999996</v>
      </c>
      <c r="AF213" s="1"/>
      <c r="AH213" s="57"/>
    </row>
    <row r="214" spans="1:34" ht="15" customHeight="1">
      <c r="A214" s="1"/>
      <c r="B214" s="1"/>
      <c r="C214" s="1"/>
      <c r="D214" s="1">
        <v>2</v>
      </c>
      <c r="E214" s="1"/>
      <c r="F214" s="1"/>
      <c r="G214" s="1"/>
      <c r="H214" s="1"/>
      <c r="I214" s="1">
        <v>0.38</v>
      </c>
      <c r="J214" s="1"/>
      <c r="K214" s="1"/>
      <c r="L214" s="1"/>
      <c r="M214" s="1"/>
      <c r="N214" s="1"/>
      <c r="O214" s="1"/>
      <c r="P214" s="1">
        <v>18.87</v>
      </c>
      <c r="Q214" s="1">
        <v>0.21</v>
      </c>
      <c r="R214" s="1"/>
      <c r="S214" s="1">
        <v>4.05</v>
      </c>
      <c r="T214" s="1"/>
      <c r="U214" s="1"/>
      <c r="V214" s="1">
        <v>11.46</v>
      </c>
      <c r="W214" s="1">
        <f t="shared" si="9"/>
        <v>34.97</v>
      </c>
      <c r="X214" s="1"/>
      <c r="Y214" s="1"/>
      <c r="Z214" s="1">
        <v>17.2</v>
      </c>
      <c r="AA214" s="1">
        <v>11.44</v>
      </c>
      <c r="AB214" s="1"/>
      <c r="AC214" s="1"/>
      <c r="AD214" s="1"/>
      <c r="AE214" s="1">
        <v>4.33</v>
      </c>
      <c r="AF214" s="1"/>
      <c r="AH214" s="57"/>
    </row>
    <row r="215" spans="1:34" ht="15" customHeight="1">
      <c r="A215" s="1"/>
      <c r="B215" s="1"/>
      <c r="C215" s="1"/>
      <c r="D215" s="1">
        <v>3</v>
      </c>
      <c r="E215" s="1">
        <v>0.05</v>
      </c>
      <c r="F215" s="1"/>
      <c r="G215" s="1"/>
      <c r="H215" s="1"/>
      <c r="I215" s="1">
        <v>1.18</v>
      </c>
      <c r="J215" s="1"/>
      <c r="K215" s="1">
        <v>0.32</v>
      </c>
      <c r="L215" s="1"/>
      <c r="M215" s="1">
        <v>0.24</v>
      </c>
      <c r="N215" s="1"/>
      <c r="O215" s="1"/>
      <c r="P215" s="1">
        <v>31.74</v>
      </c>
      <c r="Q215" s="1">
        <v>0.34</v>
      </c>
      <c r="R215" s="1"/>
      <c r="S215" s="1">
        <v>0.9</v>
      </c>
      <c r="T215" s="1"/>
      <c r="U215" s="1">
        <v>1.02</v>
      </c>
      <c r="V215" s="1">
        <v>3.41</v>
      </c>
      <c r="W215" s="1">
        <f t="shared" si="9"/>
        <v>39.200000000000003</v>
      </c>
      <c r="X215" s="1"/>
      <c r="Y215" s="1"/>
      <c r="Z215" s="1">
        <v>15.9</v>
      </c>
      <c r="AA215" s="1">
        <v>8.99</v>
      </c>
      <c r="AB215" s="1"/>
      <c r="AC215" s="1"/>
      <c r="AD215" s="1"/>
      <c r="AE215" s="1">
        <v>3.09</v>
      </c>
      <c r="AF215" s="1"/>
      <c r="AH215" s="57"/>
    </row>
    <row r="216" spans="1:34" ht="15" customHeight="1">
      <c r="A216" s="1"/>
      <c r="B216" s="1"/>
      <c r="C216" s="1"/>
      <c r="D216" s="1">
        <v>4</v>
      </c>
      <c r="E216" s="1"/>
      <c r="F216" s="1"/>
      <c r="G216" s="1"/>
      <c r="H216" s="1"/>
      <c r="I216" s="1">
        <v>1.44</v>
      </c>
      <c r="J216" s="1"/>
      <c r="K216" s="1"/>
      <c r="L216" s="1"/>
      <c r="M216" s="1"/>
      <c r="N216" s="1"/>
      <c r="O216" s="1"/>
      <c r="P216" s="1">
        <v>31.46</v>
      </c>
      <c r="Q216" s="1">
        <v>1.72</v>
      </c>
      <c r="R216" s="1"/>
      <c r="S216" s="1">
        <v>1.27</v>
      </c>
      <c r="T216" s="1">
        <v>0.54</v>
      </c>
      <c r="U216" s="1">
        <v>0.91</v>
      </c>
      <c r="V216" s="1">
        <v>1.73</v>
      </c>
      <c r="W216" s="1">
        <f t="shared" si="9"/>
        <v>39.069999999999993</v>
      </c>
      <c r="X216" s="1"/>
      <c r="Y216" s="1"/>
      <c r="Z216" s="1">
        <v>22.1</v>
      </c>
      <c r="AA216" s="1">
        <v>13.27</v>
      </c>
      <c r="AB216" s="1"/>
      <c r="AC216" s="1"/>
      <c r="AD216" s="1"/>
      <c r="AE216" s="1">
        <v>3.51</v>
      </c>
      <c r="AF216" s="1"/>
      <c r="AH216" s="57"/>
    </row>
    <row r="217" spans="1:34" ht="15" customHeight="1">
      <c r="A217" s="1"/>
      <c r="B217" s="1"/>
      <c r="C217" s="1"/>
      <c r="D217" s="1">
        <v>5</v>
      </c>
      <c r="E217" s="1"/>
      <c r="F217" s="1"/>
      <c r="G217" s="1"/>
      <c r="H217" s="1"/>
      <c r="I217" s="1">
        <v>1.98</v>
      </c>
      <c r="J217" s="1"/>
      <c r="K217" s="1"/>
      <c r="L217" s="1"/>
      <c r="M217" s="1"/>
      <c r="N217" s="1"/>
      <c r="O217" s="1"/>
      <c r="P217" s="1">
        <v>32.36</v>
      </c>
      <c r="Q217" s="1">
        <v>0.53</v>
      </c>
      <c r="R217" s="1"/>
      <c r="S217" s="1">
        <v>0.19</v>
      </c>
      <c r="T217" s="1"/>
      <c r="U217" s="1"/>
      <c r="V217" s="1">
        <v>6.78</v>
      </c>
      <c r="W217" s="1">
        <f t="shared" si="9"/>
        <v>41.839999999999996</v>
      </c>
      <c r="X217" s="1">
        <f>AVERAGE(W213:W217)</f>
        <v>39.154000000000003</v>
      </c>
      <c r="Y217" s="1"/>
      <c r="Z217" s="1">
        <v>21.9</v>
      </c>
      <c r="AA217" s="1">
        <v>14.45</v>
      </c>
      <c r="AB217" s="1">
        <f>AVERAGE(AA213:AA217)</f>
        <v>13.086000000000002</v>
      </c>
      <c r="AC217" s="1"/>
      <c r="AD217" s="1"/>
      <c r="AE217" s="1">
        <v>3.2</v>
      </c>
      <c r="AF217" s="1">
        <f>AVERAGE(AE213:AE217)</f>
        <v>3.8460000000000001</v>
      </c>
      <c r="AH217" s="57"/>
    </row>
    <row r="218" spans="1:34" ht="15" customHeight="1">
      <c r="A218" s="1"/>
      <c r="B218" s="1"/>
      <c r="C218" s="1">
        <v>4</v>
      </c>
      <c r="D218" s="1">
        <v>1</v>
      </c>
      <c r="E218" s="1"/>
      <c r="F218" s="1"/>
      <c r="G218" s="1"/>
      <c r="H218" s="1"/>
      <c r="I218" s="1">
        <v>3.17</v>
      </c>
      <c r="J218" s="1"/>
      <c r="K218" s="1"/>
      <c r="L218" s="1"/>
      <c r="M218" s="1"/>
      <c r="N218" s="1"/>
      <c r="O218" s="1"/>
      <c r="P218" s="1">
        <v>24.46</v>
      </c>
      <c r="Q218" s="1"/>
      <c r="R218" s="1"/>
      <c r="S218" s="1">
        <v>2.4900000000000002</v>
      </c>
      <c r="T218" s="1"/>
      <c r="U218" s="1">
        <v>0.43</v>
      </c>
      <c r="V218" s="1">
        <v>1.64</v>
      </c>
      <c r="W218" s="1">
        <f t="shared" si="9"/>
        <v>32.190000000000005</v>
      </c>
      <c r="X218" s="1"/>
      <c r="Y218" s="1"/>
      <c r="Z218" s="1">
        <v>15.4</v>
      </c>
      <c r="AA218" s="1">
        <v>8.35</v>
      </c>
      <c r="AB218" s="1"/>
      <c r="AC218" s="1"/>
      <c r="AD218" s="1"/>
      <c r="AE218" s="1">
        <v>3.24</v>
      </c>
      <c r="AF218" s="1"/>
      <c r="AH218" s="57"/>
    </row>
    <row r="219" spans="1:34" ht="15" customHeight="1">
      <c r="A219" s="1"/>
      <c r="B219" s="1"/>
      <c r="C219" s="1"/>
      <c r="D219" s="1">
        <v>2</v>
      </c>
      <c r="E219" s="1"/>
      <c r="F219" s="1"/>
      <c r="G219" s="1"/>
      <c r="H219" s="1"/>
      <c r="I219" s="1">
        <v>6.78</v>
      </c>
      <c r="J219" s="1"/>
      <c r="K219" s="1"/>
      <c r="L219" s="1"/>
      <c r="M219" s="1"/>
      <c r="N219" s="1"/>
      <c r="O219" s="1"/>
      <c r="P219" s="1">
        <v>26.28</v>
      </c>
      <c r="Q219" s="1">
        <v>2.23</v>
      </c>
      <c r="R219" s="1"/>
      <c r="S219" s="1">
        <v>2.94</v>
      </c>
      <c r="T219" s="1">
        <v>0.21</v>
      </c>
      <c r="U219" s="1"/>
      <c r="V219" s="1">
        <v>8.0299999999999994</v>
      </c>
      <c r="W219" s="1">
        <f t="shared" si="9"/>
        <v>46.47</v>
      </c>
      <c r="X219" s="1"/>
      <c r="Y219" s="1"/>
      <c r="Z219" s="1">
        <v>33.299999999999997</v>
      </c>
      <c r="AA219" s="1">
        <v>11.05</v>
      </c>
      <c r="AB219" s="1"/>
      <c r="AC219" s="1"/>
      <c r="AD219" s="1"/>
      <c r="AE219" s="1">
        <v>3.23</v>
      </c>
      <c r="AF219" s="1"/>
      <c r="AH219" s="57"/>
    </row>
    <row r="220" spans="1:34" ht="15" customHeight="1">
      <c r="A220" s="1"/>
      <c r="B220" s="1"/>
      <c r="C220" s="1"/>
      <c r="D220" s="1">
        <v>3</v>
      </c>
      <c r="E220" s="1"/>
      <c r="F220" s="1"/>
      <c r="G220" s="1"/>
      <c r="H220" s="1"/>
      <c r="I220" s="1">
        <v>6.43</v>
      </c>
      <c r="J220" s="1"/>
      <c r="K220" s="1"/>
      <c r="L220" s="1"/>
      <c r="M220" s="1"/>
      <c r="N220" s="1"/>
      <c r="O220" s="1"/>
      <c r="P220" s="1">
        <v>14.87</v>
      </c>
      <c r="Q220" s="1"/>
      <c r="R220" s="1"/>
      <c r="S220" s="1">
        <v>2.31</v>
      </c>
      <c r="T220" s="1"/>
      <c r="U220" s="1">
        <v>0.31</v>
      </c>
      <c r="V220" s="1">
        <v>19.45</v>
      </c>
      <c r="W220" s="1">
        <f t="shared" si="9"/>
        <v>43.36999999999999</v>
      </c>
      <c r="X220" s="1"/>
      <c r="Y220" s="1"/>
      <c r="Z220" s="1">
        <v>15.3</v>
      </c>
      <c r="AA220" s="1">
        <v>9.35</v>
      </c>
      <c r="AB220" s="1"/>
      <c r="AC220" s="1"/>
      <c r="AD220" s="1"/>
      <c r="AE220" s="1">
        <v>3.73</v>
      </c>
      <c r="AF220" s="1"/>
      <c r="AH220" s="57"/>
    </row>
    <row r="221" spans="1:34" ht="15" customHeight="1">
      <c r="A221" s="1"/>
      <c r="B221" s="1"/>
      <c r="C221" s="1"/>
      <c r="D221" s="1">
        <v>4</v>
      </c>
      <c r="E221" s="1"/>
      <c r="F221" s="1"/>
      <c r="G221" s="1"/>
      <c r="H221" s="1"/>
      <c r="I221" s="1">
        <v>13.89</v>
      </c>
      <c r="J221" s="1"/>
      <c r="K221" s="1"/>
      <c r="L221" s="1"/>
      <c r="M221" s="1"/>
      <c r="N221" s="1"/>
      <c r="O221" s="1"/>
      <c r="P221" s="1">
        <v>33.67</v>
      </c>
      <c r="Q221" s="1"/>
      <c r="R221" s="1"/>
      <c r="S221" s="1">
        <v>1.38</v>
      </c>
      <c r="T221" s="1"/>
      <c r="U221" s="1"/>
      <c r="V221" s="1">
        <v>5.19</v>
      </c>
      <c r="W221" s="1">
        <f t="shared" si="9"/>
        <v>54.13</v>
      </c>
      <c r="X221" s="1"/>
      <c r="Y221" s="1"/>
      <c r="Z221" s="1">
        <v>13.9</v>
      </c>
      <c r="AA221" s="1">
        <v>6.94</v>
      </c>
      <c r="AB221" s="1"/>
      <c r="AC221" s="1"/>
      <c r="AD221" s="1"/>
      <c r="AE221" s="1">
        <v>2.83</v>
      </c>
      <c r="AF221" s="1"/>
      <c r="AH221" s="57"/>
    </row>
    <row r="222" spans="1:34" ht="15" customHeight="1">
      <c r="A222" s="1"/>
      <c r="B222" s="1"/>
      <c r="C222" s="1"/>
      <c r="D222" s="1">
        <v>5</v>
      </c>
      <c r="E222" s="1"/>
      <c r="F222" s="1"/>
      <c r="G222" s="1"/>
      <c r="H222" s="1"/>
      <c r="I222" s="1">
        <v>5.84</v>
      </c>
      <c r="J222" s="1"/>
      <c r="K222" s="1"/>
      <c r="L222" s="1"/>
      <c r="M222" s="1">
        <v>0.72</v>
      </c>
      <c r="N222" s="1"/>
      <c r="O222" s="1"/>
      <c r="P222" s="1">
        <v>19.63</v>
      </c>
      <c r="Q222" s="1">
        <v>0.03</v>
      </c>
      <c r="R222" s="1"/>
      <c r="S222" s="1">
        <v>2.64</v>
      </c>
      <c r="T222" s="1"/>
      <c r="U222" s="1">
        <v>1.79</v>
      </c>
      <c r="V222" s="1">
        <v>4.47</v>
      </c>
      <c r="W222" s="1">
        <f t="shared" si="9"/>
        <v>35.119999999999997</v>
      </c>
      <c r="X222" s="1">
        <f>AVERAGE(W218:W222)</f>
        <v>42.256</v>
      </c>
      <c r="Y222" s="1"/>
      <c r="Z222" s="1">
        <v>18.7</v>
      </c>
      <c r="AA222" s="1">
        <v>7.45</v>
      </c>
      <c r="AB222" s="1">
        <f>AVERAGE(AA218:AA222)</f>
        <v>8.6280000000000001</v>
      </c>
      <c r="AC222" s="1"/>
      <c r="AD222" s="1"/>
      <c r="AE222" s="1">
        <v>4.51</v>
      </c>
      <c r="AF222" s="1">
        <f>AVERAGE(AE218:AE222)</f>
        <v>3.508</v>
      </c>
      <c r="AH222" s="57"/>
    </row>
    <row r="223" spans="1:34" ht="15.75" customHeight="1">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H223" s="57"/>
    </row>
    <row r="224" spans="1:34" ht="15.75" customHeight="1">
      <c r="A224" s="6"/>
      <c r="B224" s="6"/>
      <c r="C224" s="6"/>
      <c r="D224" s="6"/>
      <c r="E224" s="6"/>
      <c r="F224" s="6"/>
      <c r="G224" s="6"/>
      <c r="H224" s="6"/>
      <c r="I224" s="6"/>
      <c r="J224" s="6"/>
      <c r="K224" s="6"/>
      <c r="L224" s="6"/>
      <c r="M224" s="6"/>
      <c r="N224" s="6"/>
      <c r="O224" s="6"/>
      <c r="P224" s="6"/>
      <c r="Q224" s="6"/>
      <c r="R224" s="6"/>
      <c r="S224" s="6"/>
      <c r="T224" s="6"/>
      <c r="U224" s="6"/>
      <c r="V224" s="6"/>
      <c r="W224" s="57">
        <f>MAX(W3:W222)</f>
        <v>105</v>
      </c>
      <c r="X224" s="6"/>
      <c r="Y224" s="6"/>
      <c r="Z224" s="6"/>
      <c r="AA224" s="57">
        <f>MAX(AA3:AA222)</f>
        <v>24.14</v>
      </c>
      <c r="AB224" s="6"/>
      <c r="AC224" s="6"/>
      <c r="AD224" s="6"/>
      <c r="AE224" s="57">
        <f>MAX(AE3:AE222)</f>
        <v>21.42</v>
      </c>
      <c r="AF224" s="6"/>
      <c r="AH224" s="57"/>
    </row>
    <row r="225" spans="1:34" ht="15.75" customHeight="1">
      <c r="A225" s="6"/>
      <c r="B225" s="6"/>
      <c r="C225" s="6"/>
      <c r="D225" s="6"/>
      <c r="E225" s="6"/>
      <c r="F225" s="6"/>
      <c r="G225" s="6"/>
      <c r="H225" s="6"/>
      <c r="I225" s="6"/>
      <c r="J225" s="6"/>
      <c r="K225" s="6"/>
      <c r="L225" s="6"/>
      <c r="M225" s="6"/>
      <c r="N225" s="6"/>
      <c r="O225" s="6"/>
      <c r="P225" s="6"/>
      <c r="Q225" s="6"/>
      <c r="R225" s="6"/>
      <c r="S225" s="6"/>
      <c r="T225" s="6"/>
      <c r="U225" s="6"/>
      <c r="V225" s="6"/>
      <c r="W225" s="6">
        <f>MIN(W3:W222)</f>
        <v>19.149999999999999</v>
      </c>
      <c r="X225" s="6"/>
      <c r="Y225" s="6"/>
      <c r="Z225" s="6"/>
      <c r="AA225" s="6"/>
      <c r="AB225" s="6"/>
      <c r="AC225" s="6"/>
      <c r="AD225" s="6"/>
      <c r="AE225" s="6"/>
      <c r="AF225" s="6"/>
      <c r="AH225" s="57"/>
    </row>
    <row r="226" spans="1:34"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H226" s="57"/>
    </row>
    <row r="227" spans="1:34" ht="15.75" customHeight="1">
      <c r="A227" s="6"/>
      <c r="B227" s="6"/>
      <c r="C227" s="6"/>
      <c r="D227" s="6"/>
      <c r="E227" s="6"/>
      <c r="F227" s="6"/>
      <c r="G227" s="6"/>
      <c r="H227" s="6"/>
      <c r="I227" s="6"/>
      <c r="J227" s="6"/>
      <c r="K227" s="6" t="s">
        <v>137</v>
      </c>
      <c r="L227" s="6"/>
      <c r="M227" s="6"/>
      <c r="N227" s="6"/>
      <c r="O227" s="6"/>
      <c r="P227" s="6"/>
      <c r="Q227" s="6"/>
      <c r="R227" s="6"/>
      <c r="S227" s="6"/>
      <c r="T227" s="6"/>
      <c r="U227" s="6"/>
      <c r="V227" s="6"/>
      <c r="W227" s="6"/>
      <c r="X227" s="6"/>
      <c r="Y227" s="6"/>
      <c r="Z227" s="6"/>
      <c r="AA227" s="6"/>
      <c r="AB227" s="6"/>
      <c r="AC227" s="6"/>
      <c r="AD227" s="6"/>
      <c r="AE227" s="6"/>
      <c r="AF227" s="6"/>
      <c r="AH227" s="57"/>
    </row>
    <row r="228" spans="1:34" ht="15.75" customHeight="1">
      <c r="A228" s="6"/>
      <c r="B228" s="6"/>
      <c r="C228" s="6"/>
      <c r="D228" s="6"/>
      <c r="E228" s="6"/>
      <c r="F228" s="6"/>
      <c r="G228" s="6"/>
      <c r="H228" s="6"/>
      <c r="I228" s="6"/>
      <c r="J228" s="6"/>
      <c r="K228" s="6" t="s">
        <v>139</v>
      </c>
      <c r="L228" s="6"/>
      <c r="M228" s="6"/>
      <c r="N228" s="6"/>
      <c r="O228" s="6"/>
      <c r="P228" s="6"/>
      <c r="Q228" s="6"/>
      <c r="R228" s="6"/>
      <c r="S228" s="6"/>
      <c r="T228" s="6"/>
      <c r="U228" s="6"/>
      <c r="V228" s="6"/>
      <c r="W228" s="6"/>
      <c r="X228" s="6"/>
      <c r="Y228" s="6"/>
      <c r="Z228" s="6" t="s">
        <v>140</v>
      </c>
      <c r="AA228" s="6" t="s">
        <v>78</v>
      </c>
      <c r="AB228" s="6"/>
      <c r="AC228" s="6"/>
      <c r="AD228" s="6"/>
      <c r="AE228" s="6" t="s">
        <v>79</v>
      </c>
      <c r="AF228" s="6"/>
      <c r="AG228" s="6" t="s">
        <v>80</v>
      </c>
      <c r="AH228" s="57"/>
    </row>
    <row r="229" spans="1:34"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5" t="s">
        <v>137</v>
      </c>
      <c r="AB229" s="6"/>
      <c r="AC229" s="6"/>
      <c r="AD229" s="6"/>
      <c r="AE229" s="6" t="s">
        <v>141</v>
      </c>
      <c r="AF229" s="6"/>
      <c r="AG229" s="6" t="s">
        <v>142</v>
      </c>
      <c r="AH229" s="57"/>
    </row>
    <row r="230" spans="1:34"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5" t="s">
        <v>143</v>
      </c>
      <c r="AB230" s="6"/>
      <c r="AC230" s="6"/>
      <c r="AD230" s="6"/>
      <c r="AE230" s="65" t="s">
        <v>144</v>
      </c>
      <c r="AF230" s="6"/>
      <c r="AG230" s="65" t="s">
        <v>145</v>
      </c>
      <c r="AH230" s="57"/>
    </row>
    <row r="231" spans="1:34"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5" t="s">
        <v>146</v>
      </c>
      <c r="AB231" s="6"/>
      <c r="AC231" s="6"/>
      <c r="AD231" s="6"/>
      <c r="AE231" s="6"/>
      <c r="AF231" s="6"/>
      <c r="AH231" s="57"/>
    </row>
    <row r="232" spans="1:34"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5" t="s">
        <v>147</v>
      </c>
      <c r="AB232" s="6"/>
      <c r="AC232" s="6"/>
      <c r="AD232" s="6"/>
      <c r="AE232" s="6"/>
      <c r="AF232" s="6"/>
      <c r="AH232" s="57"/>
    </row>
  </sheetData>
  <mergeCells count="1">
    <mergeCell ref="E1:V1"/>
  </mergeCells>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1"/>
  <sheetViews>
    <sheetView workbookViewId="0">
      <pane ySplit="2" topLeftCell="A3" activePane="bottomLeft" state="frozen"/>
      <selection pane="bottomLeft" activeCell="B4" sqref="B4"/>
    </sheetView>
  </sheetViews>
  <sheetFormatPr defaultColWidth="17.28515625" defaultRowHeight="15" customHeight="1"/>
  <cols>
    <col min="1" max="4" width="8.7109375" customWidth="1"/>
    <col min="5" max="5" width="13.140625" customWidth="1"/>
    <col min="6" max="6" width="9.140625" customWidth="1"/>
    <col min="7" max="7" width="8.7109375" customWidth="1"/>
    <col min="8" max="8" width="16.7109375" customWidth="1"/>
    <col min="9" max="9" width="9.140625" customWidth="1"/>
    <col min="10" max="10" width="8.7109375" customWidth="1"/>
    <col min="11" max="11" width="18.85546875" customWidth="1"/>
    <col min="12" max="12" width="9.140625" customWidth="1"/>
    <col min="13" max="13" width="17.28515625" customWidth="1"/>
  </cols>
  <sheetData>
    <row r="1" spans="1:13" ht="18" customHeight="1">
      <c r="A1" s="1"/>
      <c r="B1" s="1"/>
      <c r="C1" s="1"/>
      <c r="D1" s="1"/>
      <c r="E1" s="2" t="s">
        <v>91</v>
      </c>
      <c r="F1" s="1"/>
      <c r="G1" s="1"/>
      <c r="H1" s="2" t="s">
        <v>92</v>
      </c>
      <c r="I1" s="1"/>
      <c r="J1" s="1"/>
      <c r="K1" s="2" t="s">
        <v>93</v>
      </c>
      <c r="L1" s="1"/>
    </row>
    <row r="2" spans="1:13" ht="15" customHeight="1">
      <c r="A2" s="3" t="s">
        <v>3</v>
      </c>
      <c r="B2" s="3" t="s">
        <v>5</v>
      </c>
      <c r="C2" s="3" t="s">
        <v>6</v>
      </c>
      <c r="D2" s="3" t="s">
        <v>7</v>
      </c>
      <c r="E2" s="3" t="s">
        <v>36</v>
      </c>
      <c r="F2" s="1" t="s">
        <v>27</v>
      </c>
      <c r="G2" s="6"/>
      <c r="H2" s="3" t="s">
        <v>36</v>
      </c>
      <c r="I2" s="1" t="s">
        <v>27</v>
      </c>
      <c r="J2" s="6"/>
      <c r="K2" s="1" t="s">
        <v>36</v>
      </c>
      <c r="L2" s="1" t="s">
        <v>27</v>
      </c>
      <c r="M2" s="1" t="s">
        <v>82</v>
      </c>
    </row>
    <row r="3" spans="1:13" ht="15" customHeight="1">
      <c r="A3" s="1" t="s">
        <v>37</v>
      </c>
      <c r="B3" s="1" t="s">
        <v>39</v>
      </c>
      <c r="C3" s="1">
        <v>1</v>
      </c>
      <c r="D3" s="1" t="s">
        <v>94</v>
      </c>
      <c r="E3" s="1">
        <v>54.36</v>
      </c>
      <c r="F3" s="1"/>
      <c r="G3" s="6"/>
      <c r="H3" s="1">
        <v>4.97</v>
      </c>
      <c r="I3" s="1"/>
      <c r="J3" s="6"/>
      <c r="K3" s="1">
        <v>5.65</v>
      </c>
      <c r="L3" s="1"/>
      <c r="M3" s="57">
        <f t="shared" ref="M3:M37" si="0">SUM(E3,H3,K3)</f>
        <v>64.98</v>
      </c>
    </row>
    <row r="4" spans="1:13" ht="15" customHeight="1">
      <c r="A4" s="1"/>
      <c r="B4" s="1"/>
      <c r="C4" s="1">
        <v>1</v>
      </c>
      <c r="D4" s="1" t="s">
        <v>95</v>
      </c>
      <c r="E4" s="1">
        <v>47.63</v>
      </c>
      <c r="F4" s="1"/>
      <c r="G4" s="6"/>
      <c r="H4" s="1">
        <v>3.88</v>
      </c>
      <c r="I4" s="1"/>
      <c r="J4" s="6"/>
      <c r="K4" s="1">
        <v>6.26</v>
      </c>
      <c r="L4" s="1"/>
      <c r="M4" s="57">
        <f t="shared" si="0"/>
        <v>57.77</v>
      </c>
    </row>
    <row r="5" spans="1:13" ht="15" customHeight="1">
      <c r="A5" s="1"/>
      <c r="B5" s="1"/>
      <c r="C5" s="1">
        <v>1</v>
      </c>
      <c r="D5" s="1" t="s">
        <v>96</v>
      </c>
      <c r="E5" s="1">
        <v>66.8</v>
      </c>
      <c r="F5" s="1"/>
      <c r="G5" s="6"/>
      <c r="H5" s="1">
        <v>6.36</v>
      </c>
      <c r="I5" s="1"/>
      <c r="J5" s="6"/>
      <c r="K5" s="1">
        <v>4.67</v>
      </c>
      <c r="L5" s="1"/>
      <c r="M5" s="57">
        <f t="shared" si="0"/>
        <v>77.83</v>
      </c>
    </row>
    <row r="6" spans="1:13" ht="15" customHeight="1">
      <c r="A6" s="1"/>
      <c r="B6" s="1"/>
      <c r="C6" s="1">
        <v>1</v>
      </c>
      <c r="D6" s="1" t="s">
        <v>39</v>
      </c>
      <c r="E6" s="1">
        <v>75.14</v>
      </c>
      <c r="F6" s="1"/>
      <c r="G6" s="6"/>
      <c r="H6" s="1">
        <v>12.73</v>
      </c>
      <c r="I6" s="1"/>
      <c r="J6" s="6"/>
      <c r="K6" s="1">
        <v>7.52</v>
      </c>
      <c r="L6" s="1"/>
      <c r="M6" s="57">
        <f t="shared" si="0"/>
        <v>95.39</v>
      </c>
    </row>
    <row r="7" spans="1:13" ht="15" customHeight="1">
      <c r="A7" s="1"/>
      <c r="B7" s="1"/>
      <c r="C7" s="1">
        <v>1</v>
      </c>
      <c r="D7" s="1" t="s">
        <v>97</v>
      </c>
      <c r="E7" s="1">
        <v>61.9</v>
      </c>
      <c r="F7" s="1">
        <f>AVERAGE(E3:E7)</f>
        <v>61.165999999999997</v>
      </c>
      <c r="G7" s="6"/>
      <c r="H7" s="1">
        <v>5.3</v>
      </c>
      <c r="I7" s="1">
        <f>AVERAGE(H3:H7)</f>
        <v>6.6480000000000006</v>
      </c>
      <c r="J7" s="6"/>
      <c r="K7" s="1">
        <v>8.77</v>
      </c>
      <c r="L7" s="1">
        <f>AVERAGE(K3:K7)</f>
        <v>6.5739999999999998</v>
      </c>
      <c r="M7" s="57">
        <f t="shared" si="0"/>
        <v>75.97</v>
      </c>
    </row>
    <row r="8" spans="1:13" ht="15" customHeight="1">
      <c r="A8" s="1"/>
      <c r="B8" s="1"/>
      <c r="C8" s="1">
        <v>2</v>
      </c>
      <c r="D8" s="1" t="s">
        <v>94</v>
      </c>
      <c r="E8" s="1">
        <v>53.17</v>
      </c>
      <c r="F8" s="1"/>
      <c r="G8" s="6"/>
      <c r="H8" s="1">
        <v>5.7</v>
      </c>
      <c r="I8" s="1"/>
      <c r="J8" s="6"/>
      <c r="K8" s="1">
        <v>5.2</v>
      </c>
      <c r="L8" s="1"/>
      <c r="M8" s="57">
        <f t="shared" si="0"/>
        <v>64.070000000000007</v>
      </c>
    </row>
    <row r="9" spans="1:13" ht="15" customHeight="1">
      <c r="A9" s="1"/>
      <c r="B9" s="1"/>
      <c r="C9" s="1">
        <v>2</v>
      </c>
      <c r="D9" s="1" t="s">
        <v>95</v>
      </c>
      <c r="E9" s="1">
        <v>53.89</v>
      </c>
      <c r="F9" s="1"/>
      <c r="G9" s="6"/>
      <c r="H9" s="1">
        <v>8.7799999999999994</v>
      </c>
      <c r="I9" s="1"/>
      <c r="J9" s="6"/>
      <c r="K9" s="1">
        <v>4.97</v>
      </c>
      <c r="L9" s="1"/>
      <c r="M9" s="57">
        <f t="shared" si="0"/>
        <v>67.64</v>
      </c>
    </row>
    <row r="10" spans="1:13" ht="15" customHeight="1">
      <c r="A10" s="1"/>
      <c r="B10" s="1"/>
      <c r="C10" s="1">
        <v>2</v>
      </c>
      <c r="D10" s="1" t="s">
        <v>96</v>
      </c>
      <c r="E10" s="1">
        <v>59.46</v>
      </c>
      <c r="F10" s="1"/>
      <c r="G10" s="6"/>
      <c r="H10" s="1">
        <v>3.1</v>
      </c>
      <c r="I10" s="1"/>
      <c r="J10" s="6"/>
      <c r="K10" s="1">
        <v>5.56</v>
      </c>
      <c r="L10" s="1"/>
      <c r="M10" s="57">
        <f t="shared" si="0"/>
        <v>68.12</v>
      </c>
    </row>
    <row r="11" spans="1:13" ht="15" customHeight="1">
      <c r="A11" s="1"/>
      <c r="B11" s="1"/>
      <c r="C11" s="1">
        <v>2</v>
      </c>
      <c r="D11" s="1" t="s">
        <v>39</v>
      </c>
      <c r="E11" s="1">
        <v>54.07</v>
      </c>
      <c r="F11" s="1"/>
      <c r="G11" s="6"/>
      <c r="H11" s="1">
        <v>4.0999999999999996</v>
      </c>
      <c r="I11" s="1"/>
      <c r="J11" s="6"/>
      <c r="K11" s="1">
        <v>6.73</v>
      </c>
      <c r="L11" s="1"/>
      <c r="M11" s="57">
        <f t="shared" si="0"/>
        <v>64.900000000000006</v>
      </c>
    </row>
    <row r="12" spans="1:13" ht="15" customHeight="1">
      <c r="A12" s="1"/>
      <c r="B12" s="1"/>
      <c r="C12" s="1">
        <v>2</v>
      </c>
      <c r="D12" s="1" t="s">
        <v>97</v>
      </c>
      <c r="E12" s="1">
        <v>54.5</v>
      </c>
      <c r="F12" s="1">
        <f>AVERAGE(E8:E12)</f>
        <v>55.018000000000008</v>
      </c>
      <c r="G12" s="6"/>
      <c r="H12" s="1">
        <v>6.39</v>
      </c>
      <c r="I12" s="1">
        <f>AVERAGE(H8:H12)</f>
        <v>5.6139999999999999</v>
      </c>
      <c r="J12" s="6"/>
      <c r="K12" s="1">
        <v>5.2</v>
      </c>
      <c r="L12" s="1">
        <f>AVERAGE(K8:K12)</f>
        <v>5.532</v>
      </c>
      <c r="M12" s="57">
        <f t="shared" si="0"/>
        <v>66.09</v>
      </c>
    </row>
    <row r="13" spans="1:13" ht="15" customHeight="1">
      <c r="A13" s="1"/>
      <c r="B13" s="1"/>
      <c r="C13" s="1">
        <v>3</v>
      </c>
      <c r="D13" s="1" t="s">
        <v>94</v>
      </c>
      <c r="E13" s="1">
        <v>59.7</v>
      </c>
      <c r="F13" s="1"/>
      <c r="G13" s="6"/>
      <c r="H13" s="1">
        <v>4.5999999999999996</v>
      </c>
      <c r="I13" s="1"/>
      <c r="J13" s="6"/>
      <c r="K13" s="1">
        <v>5.28</v>
      </c>
      <c r="L13" s="1"/>
      <c r="M13" s="57">
        <f t="shared" si="0"/>
        <v>69.58</v>
      </c>
    </row>
    <row r="14" spans="1:13" ht="15" customHeight="1">
      <c r="A14" s="1"/>
      <c r="B14" s="1"/>
      <c r="C14" s="1">
        <v>3</v>
      </c>
      <c r="D14" s="1" t="s">
        <v>95</v>
      </c>
      <c r="E14" s="1">
        <v>56.7</v>
      </c>
      <c r="F14" s="1"/>
      <c r="G14" s="6"/>
      <c r="H14" s="1">
        <v>4.1500000000000004</v>
      </c>
      <c r="I14" s="1"/>
      <c r="J14" s="6"/>
      <c r="K14" s="1">
        <v>4.17</v>
      </c>
      <c r="L14" s="1"/>
      <c r="M14" s="57">
        <f t="shared" si="0"/>
        <v>65.02</v>
      </c>
    </row>
    <row r="15" spans="1:13" ht="15" customHeight="1">
      <c r="A15" s="1"/>
      <c r="B15" s="1"/>
      <c r="C15" s="1">
        <v>3</v>
      </c>
      <c r="D15" s="1" t="s">
        <v>96</v>
      </c>
      <c r="E15" s="1">
        <v>85.8</v>
      </c>
      <c r="F15" s="1"/>
      <c r="G15" s="6"/>
      <c r="H15" s="1">
        <v>28.8</v>
      </c>
      <c r="I15" s="1"/>
      <c r="J15" s="6"/>
      <c r="K15" s="1">
        <v>5.56</v>
      </c>
      <c r="L15" s="1"/>
      <c r="M15" s="57">
        <f t="shared" si="0"/>
        <v>120.16</v>
      </c>
    </row>
    <row r="16" spans="1:13" ht="15" customHeight="1">
      <c r="A16" s="1"/>
      <c r="B16" s="1"/>
      <c r="C16" s="1">
        <v>3</v>
      </c>
      <c r="D16" s="1" t="s">
        <v>39</v>
      </c>
      <c r="E16" s="1">
        <v>56.9</v>
      </c>
      <c r="F16" s="1"/>
      <c r="G16" s="6"/>
      <c r="H16" s="1">
        <v>4.2</v>
      </c>
      <c r="I16" s="1"/>
      <c r="J16" s="6"/>
      <c r="K16" s="1">
        <v>11.27</v>
      </c>
      <c r="L16" s="1"/>
      <c r="M16" s="57">
        <f t="shared" si="0"/>
        <v>72.37</v>
      </c>
    </row>
    <row r="17" spans="1:13" ht="15" customHeight="1">
      <c r="A17" s="1"/>
      <c r="B17" s="1"/>
      <c r="C17" s="1">
        <v>3</v>
      </c>
      <c r="D17" s="1" t="s">
        <v>97</v>
      </c>
      <c r="E17" s="1">
        <v>57.9</v>
      </c>
      <c r="F17" s="1">
        <f>AVERAGE(E13:E17)</f>
        <v>63.399999999999991</v>
      </c>
      <c r="G17" s="6"/>
      <c r="H17" s="1">
        <v>7.58</v>
      </c>
      <c r="I17" s="1">
        <f>AVERAGE(H13:H17)</f>
        <v>9.8659999999999997</v>
      </c>
      <c r="J17" s="6"/>
      <c r="K17" s="1">
        <v>11.5</v>
      </c>
      <c r="L17" s="1">
        <f>AVERAGE(K13:K17)</f>
        <v>7.556</v>
      </c>
      <c r="M17" s="57">
        <f t="shared" si="0"/>
        <v>76.98</v>
      </c>
    </row>
    <row r="18" spans="1:13" ht="15" customHeight="1">
      <c r="A18" s="1"/>
      <c r="B18" s="1"/>
      <c r="C18" s="1">
        <v>4</v>
      </c>
      <c r="D18" s="1" t="s">
        <v>94</v>
      </c>
      <c r="E18" s="1">
        <v>63</v>
      </c>
      <c r="F18" s="1"/>
      <c r="G18" s="6"/>
      <c r="H18" s="1">
        <v>5.53</v>
      </c>
      <c r="I18" s="1"/>
      <c r="J18" s="6"/>
      <c r="K18" s="1">
        <v>6.33</v>
      </c>
      <c r="L18" s="1"/>
      <c r="M18" s="57">
        <f t="shared" si="0"/>
        <v>74.86</v>
      </c>
    </row>
    <row r="19" spans="1:13" ht="15" customHeight="1">
      <c r="A19" s="1"/>
      <c r="B19" s="1"/>
      <c r="C19" s="1">
        <v>4</v>
      </c>
      <c r="D19" s="1" t="s">
        <v>95</v>
      </c>
      <c r="E19" s="1">
        <v>53.1</v>
      </c>
      <c r="F19" s="1"/>
      <c r="G19" s="6"/>
      <c r="H19" s="1">
        <v>6.35</v>
      </c>
      <c r="I19" s="1"/>
      <c r="J19" s="6"/>
      <c r="K19" s="1">
        <v>4.5999999999999996</v>
      </c>
      <c r="L19" s="1"/>
      <c r="M19" s="57">
        <f t="shared" si="0"/>
        <v>64.05</v>
      </c>
    </row>
    <row r="20" spans="1:13" ht="15" customHeight="1">
      <c r="A20" s="1"/>
      <c r="B20" s="1"/>
      <c r="C20" s="1">
        <v>4</v>
      </c>
      <c r="D20" s="1" t="s">
        <v>96</v>
      </c>
      <c r="E20" s="1">
        <v>61.1</v>
      </c>
      <c r="F20" s="1"/>
      <c r="G20" s="6"/>
      <c r="H20" s="1">
        <v>9.1</v>
      </c>
      <c r="I20" s="1"/>
      <c r="J20" s="6"/>
      <c r="K20" s="1">
        <v>2.78</v>
      </c>
      <c r="L20" s="1"/>
      <c r="M20" s="57">
        <f t="shared" si="0"/>
        <v>72.98</v>
      </c>
    </row>
    <row r="21" spans="1:13" ht="15" customHeight="1">
      <c r="A21" s="1"/>
      <c r="B21" s="1"/>
      <c r="C21" s="1">
        <v>4</v>
      </c>
      <c r="D21" s="1" t="s">
        <v>39</v>
      </c>
      <c r="E21" s="1">
        <v>59.6</v>
      </c>
      <c r="F21" s="1"/>
      <c r="G21" s="6"/>
      <c r="H21" s="1">
        <v>5.86</v>
      </c>
      <c r="I21" s="1"/>
      <c r="J21" s="6"/>
      <c r="K21" s="1">
        <v>0.01</v>
      </c>
      <c r="L21" s="1"/>
      <c r="M21" s="57">
        <f t="shared" si="0"/>
        <v>65.470000000000013</v>
      </c>
    </row>
    <row r="22" spans="1:13" ht="15" customHeight="1">
      <c r="A22" s="1"/>
      <c r="B22" s="1"/>
      <c r="C22" s="1">
        <v>4</v>
      </c>
      <c r="D22" s="1" t="s">
        <v>97</v>
      </c>
      <c r="E22" s="1">
        <v>66.3</v>
      </c>
      <c r="F22" s="1">
        <f>AVERAGE(E18:E22)</f>
        <v>60.61999999999999</v>
      </c>
      <c r="G22" s="6"/>
      <c r="H22" s="1">
        <v>13.38</v>
      </c>
      <c r="I22" s="1">
        <f>AVERAGE(H18:H22)</f>
        <v>8.0440000000000005</v>
      </c>
      <c r="J22" s="6"/>
      <c r="K22" s="1">
        <v>0.21</v>
      </c>
      <c r="L22" s="1">
        <f>AVERAGE(K18:K22)</f>
        <v>2.786</v>
      </c>
      <c r="M22" s="57">
        <f t="shared" si="0"/>
        <v>79.889999999999986</v>
      </c>
    </row>
    <row r="23" spans="1:13" ht="15" customHeight="1">
      <c r="A23" s="1" t="s">
        <v>37</v>
      </c>
      <c r="B23" s="1" t="s">
        <v>77</v>
      </c>
      <c r="C23" s="1">
        <v>1</v>
      </c>
      <c r="D23" s="1" t="s">
        <v>94</v>
      </c>
      <c r="E23" s="1">
        <v>42.4</v>
      </c>
      <c r="F23" s="1"/>
      <c r="G23" s="6"/>
      <c r="H23" s="1">
        <v>26.33</v>
      </c>
      <c r="I23" s="1"/>
      <c r="J23" s="6"/>
      <c r="K23" s="1">
        <v>4.0999999999999996</v>
      </c>
      <c r="L23" s="1"/>
      <c r="M23" s="6">
        <f t="shared" si="0"/>
        <v>72.829999999999984</v>
      </c>
    </row>
    <row r="24" spans="1:13" ht="15" customHeight="1">
      <c r="A24" s="1"/>
      <c r="B24" s="1"/>
      <c r="C24" s="1">
        <v>1</v>
      </c>
      <c r="D24" s="1" t="s">
        <v>95</v>
      </c>
      <c r="E24" s="1">
        <v>86.7</v>
      </c>
      <c r="F24" s="1"/>
      <c r="G24" s="6"/>
      <c r="H24" s="8">
        <f>AVERAGE(H23,H26:H27)</f>
        <v>16.8</v>
      </c>
      <c r="I24" s="1"/>
      <c r="J24" s="6"/>
      <c r="K24" s="1">
        <v>3.24</v>
      </c>
      <c r="L24" s="1"/>
      <c r="M24" s="57">
        <f t="shared" si="0"/>
        <v>106.74</v>
      </c>
    </row>
    <row r="25" spans="1:13" ht="15" customHeight="1">
      <c r="A25" s="1"/>
      <c r="B25" s="1"/>
      <c r="C25" s="1">
        <v>1</v>
      </c>
      <c r="D25" s="1" t="s">
        <v>96</v>
      </c>
      <c r="E25" s="1">
        <v>53.7</v>
      </c>
      <c r="F25" s="1"/>
      <c r="G25" s="6"/>
      <c r="H25" s="8">
        <f>AVERAGE(H23,H26:H27)</f>
        <v>16.8</v>
      </c>
      <c r="I25" s="1"/>
      <c r="J25" s="6"/>
      <c r="K25" s="1">
        <v>3.47</v>
      </c>
      <c r="L25" s="1"/>
      <c r="M25" s="57">
        <f t="shared" si="0"/>
        <v>73.97</v>
      </c>
    </row>
    <row r="26" spans="1:13" ht="15" customHeight="1">
      <c r="A26" s="1"/>
      <c r="B26" s="1"/>
      <c r="C26" s="1">
        <v>1</v>
      </c>
      <c r="D26" s="1" t="s">
        <v>97</v>
      </c>
      <c r="E26" s="1">
        <v>86.7</v>
      </c>
      <c r="F26" s="1"/>
      <c r="G26" s="6"/>
      <c r="H26" s="1">
        <v>5.24</v>
      </c>
      <c r="I26" s="1"/>
      <c r="J26" s="6"/>
      <c r="K26" s="1">
        <v>1.53</v>
      </c>
      <c r="L26" s="1"/>
      <c r="M26" s="57">
        <f t="shared" si="0"/>
        <v>93.47</v>
      </c>
    </row>
    <row r="27" spans="1:13" ht="15" customHeight="1">
      <c r="A27" s="1"/>
      <c r="B27" s="1"/>
      <c r="C27" s="1">
        <v>1</v>
      </c>
      <c r="D27" s="1" t="s">
        <v>97</v>
      </c>
      <c r="E27" s="1">
        <v>92.8</v>
      </c>
      <c r="F27" s="1">
        <f>AVERAGE(E23:E27)</f>
        <v>72.460000000000008</v>
      </c>
      <c r="G27" s="6"/>
      <c r="H27" s="1">
        <v>18.829999999999998</v>
      </c>
      <c r="I27" s="1">
        <f>AVERAGE(H23:H27)</f>
        <v>16.799999999999997</v>
      </c>
      <c r="J27" s="6"/>
      <c r="K27" s="1">
        <v>3.69</v>
      </c>
      <c r="L27" s="1">
        <f>AVERAGE(K23:K27)</f>
        <v>3.2060000000000004</v>
      </c>
      <c r="M27" s="57">
        <f t="shared" si="0"/>
        <v>115.32</v>
      </c>
    </row>
    <row r="28" spans="1:13" ht="15" customHeight="1">
      <c r="A28" s="1"/>
      <c r="B28" s="1"/>
      <c r="C28" s="1">
        <v>2</v>
      </c>
      <c r="D28" s="1" t="s">
        <v>94</v>
      </c>
      <c r="E28" s="8">
        <f>AVERAGE(E29:E32)</f>
        <v>50.8</v>
      </c>
      <c r="F28" s="1"/>
      <c r="G28" s="6"/>
      <c r="H28" s="8">
        <f>AVERAGE($H$29:$H$30)</f>
        <v>13.990000000000002</v>
      </c>
      <c r="I28" s="1"/>
      <c r="J28" s="6"/>
      <c r="K28" s="1">
        <v>4.4800000000000004</v>
      </c>
      <c r="L28" s="1"/>
      <c r="M28" s="57">
        <f t="shared" si="0"/>
        <v>69.27</v>
      </c>
    </row>
    <row r="29" spans="1:13" ht="15" customHeight="1">
      <c r="A29" s="1"/>
      <c r="B29" s="1"/>
      <c r="C29" s="1">
        <v>2</v>
      </c>
      <c r="D29" s="1" t="s">
        <v>95</v>
      </c>
      <c r="E29" s="1">
        <v>62.8</v>
      </c>
      <c r="F29" s="1"/>
      <c r="G29" s="6"/>
      <c r="H29" s="1">
        <v>18.010000000000002</v>
      </c>
      <c r="I29" s="1"/>
      <c r="J29" s="6"/>
      <c r="K29" s="8">
        <f>AVERAGE(K28,K30:K32)</f>
        <v>3.6000000000000005</v>
      </c>
      <c r="L29" s="1"/>
      <c r="M29" s="57">
        <f t="shared" si="0"/>
        <v>84.41</v>
      </c>
    </row>
    <row r="30" spans="1:13" ht="15" customHeight="1">
      <c r="A30" s="1"/>
      <c r="B30" s="1"/>
      <c r="C30" s="1">
        <v>2</v>
      </c>
      <c r="D30" s="1" t="s">
        <v>96</v>
      </c>
      <c r="E30" s="1">
        <v>74.900000000000006</v>
      </c>
      <c r="F30" s="1"/>
      <c r="G30" s="6"/>
      <c r="H30" s="1">
        <v>9.9700000000000006</v>
      </c>
      <c r="I30" s="1"/>
      <c r="J30" s="6"/>
      <c r="K30" s="1">
        <v>2.4900000000000002</v>
      </c>
      <c r="L30" s="1"/>
      <c r="M30" s="57">
        <f t="shared" si="0"/>
        <v>87.36</v>
      </c>
    </row>
    <row r="31" spans="1:13" ht="15" customHeight="1">
      <c r="A31" s="1"/>
      <c r="B31" s="1"/>
      <c r="C31" s="1">
        <v>2</v>
      </c>
      <c r="D31" s="1" t="s">
        <v>39</v>
      </c>
      <c r="E31" s="35">
        <v>24</v>
      </c>
      <c r="F31" s="1"/>
      <c r="G31" s="6"/>
      <c r="H31" s="8">
        <f t="shared" ref="H31:H32" si="1">AVERAGE($H$29:$H$30)</f>
        <v>13.990000000000002</v>
      </c>
      <c r="I31" s="1"/>
      <c r="J31" s="6"/>
      <c r="K31" s="1">
        <v>4.79</v>
      </c>
      <c r="L31" s="1"/>
      <c r="M31" s="57">
        <f t="shared" si="0"/>
        <v>42.78</v>
      </c>
    </row>
    <row r="32" spans="1:13" ht="15" customHeight="1">
      <c r="A32" s="1"/>
      <c r="B32" s="1"/>
      <c r="C32" s="1">
        <v>2</v>
      </c>
      <c r="D32" s="1" t="s">
        <v>97</v>
      </c>
      <c r="E32" s="1">
        <v>41.5</v>
      </c>
      <c r="F32" s="1">
        <f>AVERAGE(E28:E32)</f>
        <v>50.8</v>
      </c>
      <c r="G32" s="6"/>
      <c r="H32" s="8">
        <f t="shared" si="1"/>
        <v>13.990000000000002</v>
      </c>
      <c r="I32" s="1">
        <f>AVERAGE(H28:H32)</f>
        <v>13.99</v>
      </c>
      <c r="J32" s="6"/>
      <c r="K32" s="1">
        <v>2.64</v>
      </c>
      <c r="L32" s="1">
        <f>AVERAGE(K28:K32)</f>
        <v>3.6000000000000005</v>
      </c>
      <c r="M32" s="57">
        <f t="shared" si="0"/>
        <v>58.13</v>
      </c>
    </row>
    <row r="33" spans="1:13" ht="15" customHeight="1">
      <c r="A33" s="1"/>
      <c r="B33" s="1"/>
      <c r="C33" s="1">
        <v>3</v>
      </c>
      <c r="D33" s="1" t="s">
        <v>94</v>
      </c>
      <c r="E33" s="1">
        <v>68.5</v>
      </c>
      <c r="F33" s="1"/>
      <c r="G33" s="6"/>
      <c r="H33" s="1">
        <v>22.93</v>
      </c>
      <c r="I33" s="1"/>
      <c r="J33" s="6"/>
      <c r="K33" s="1">
        <v>3.67</v>
      </c>
      <c r="L33" s="1"/>
      <c r="M33" s="57">
        <f t="shared" si="0"/>
        <v>95.100000000000009</v>
      </c>
    </row>
    <row r="34" spans="1:13" ht="15" customHeight="1">
      <c r="A34" s="1"/>
      <c r="B34" s="1"/>
      <c r="C34" s="1">
        <v>3</v>
      </c>
      <c r="D34" s="1" t="s">
        <v>95</v>
      </c>
      <c r="E34" s="1">
        <v>41.9</v>
      </c>
      <c r="F34" s="1"/>
      <c r="G34" s="6"/>
      <c r="H34" s="1">
        <v>6.85</v>
      </c>
      <c r="I34" s="1"/>
      <c r="J34" s="6"/>
      <c r="K34" s="1">
        <v>2</v>
      </c>
      <c r="L34" s="1"/>
      <c r="M34" s="57">
        <f t="shared" si="0"/>
        <v>50.75</v>
      </c>
    </row>
    <row r="35" spans="1:13" ht="15" customHeight="1">
      <c r="A35" s="1"/>
      <c r="B35" s="1"/>
      <c r="C35" s="1">
        <v>3</v>
      </c>
      <c r="D35" s="1" t="s">
        <v>96</v>
      </c>
      <c r="E35" s="1">
        <v>54.5</v>
      </c>
      <c r="F35" s="1"/>
      <c r="G35" s="6"/>
      <c r="H35" s="1">
        <v>14.77</v>
      </c>
      <c r="I35" s="1"/>
      <c r="J35" s="6"/>
      <c r="K35" s="1">
        <v>3.32</v>
      </c>
      <c r="L35" s="1"/>
      <c r="M35" s="57">
        <f t="shared" si="0"/>
        <v>72.589999999999989</v>
      </c>
    </row>
    <row r="36" spans="1:13" ht="15" customHeight="1">
      <c r="A36" s="1"/>
      <c r="B36" s="1"/>
      <c r="C36" s="1">
        <v>3</v>
      </c>
      <c r="D36" s="1" t="s">
        <v>39</v>
      </c>
      <c r="E36" s="1">
        <v>64.599999999999994</v>
      </c>
      <c r="F36" s="1"/>
      <c r="G36" s="6"/>
      <c r="H36" s="8">
        <f>AVERAGE(H33:H35,H37)</f>
        <v>15.154999999999999</v>
      </c>
      <c r="I36" s="1"/>
      <c r="J36" s="6"/>
      <c r="K36" s="1">
        <v>2.2999999999999998</v>
      </c>
      <c r="L36" s="1"/>
      <c r="M36" s="57">
        <f t="shared" si="0"/>
        <v>82.054999999999993</v>
      </c>
    </row>
    <row r="37" spans="1:13" ht="15" customHeight="1">
      <c r="A37" s="1"/>
      <c r="B37" s="1"/>
      <c r="C37" s="1">
        <v>3</v>
      </c>
      <c r="D37" s="1" t="s">
        <v>97</v>
      </c>
      <c r="E37" s="1">
        <v>64.3</v>
      </c>
      <c r="F37" s="1">
        <f>AVERAGE(E33:E37)</f>
        <v>58.760000000000005</v>
      </c>
      <c r="G37" s="6"/>
      <c r="H37" s="1">
        <v>16.07</v>
      </c>
      <c r="I37" s="1">
        <f>AVERAGE(H33:H37)</f>
        <v>15.155000000000001</v>
      </c>
      <c r="J37" s="6"/>
      <c r="K37" s="1">
        <v>2.27</v>
      </c>
      <c r="L37" s="1">
        <f>AVERAGE(K33:K37)</f>
        <v>2.7119999999999997</v>
      </c>
      <c r="M37" s="57">
        <f t="shared" si="0"/>
        <v>82.64</v>
      </c>
    </row>
    <row r="38" spans="1:13" ht="15" customHeight="1">
      <c r="A38" s="1"/>
      <c r="B38" s="1"/>
      <c r="C38" s="1">
        <v>4</v>
      </c>
      <c r="D38" s="1" t="s">
        <v>94</v>
      </c>
      <c r="E38" s="1">
        <v>57.6</v>
      </c>
      <c r="F38" s="1"/>
      <c r="G38" s="6"/>
      <c r="H38" s="8">
        <f>AVERAGE(H39:H42)</f>
        <v>20.645</v>
      </c>
      <c r="I38" s="1"/>
      <c r="J38" s="6"/>
      <c r="K38" s="10"/>
      <c r="L38" s="1"/>
      <c r="M38" s="57"/>
    </row>
    <row r="39" spans="1:13" ht="15" customHeight="1">
      <c r="A39" s="1"/>
      <c r="B39" s="1"/>
      <c r="C39" s="1">
        <v>4</v>
      </c>
      <c r="D39" s="1" t="s">
        <v>95</v>
      </c>
      <c r="E39" s="1">
        <v>50.1</v>
      </c>
      <c r="F39" s="1"/>
      <c r="G39" s="6"/>
      <c r="H39" s="1">
        <v>29.97</v>
      </c>
      <c r="I39" s="1"/>
      <c r="J39" s="6"/>
      <c r="K39" s="10"/>
      <c r="L39" s="1"/>
      <c r="M39" s="57"/>
    </row>
    <row r="40" spans="1:13" ht="15" customHeight="1">
      <c r="A40" s="1"/>
      <c r="B40" s="1"/>
      <c r="C40" s="1">
        <v>4</v>
      </c>
      <c r="D40" s="1" t="s">
        <v>96</v>
      </c>
      <c r="E40" s="1">
        <v>50.8</v>
      </c>
      <c r="F40" s="1"/>
      <c r="G40" s="6"/>
      <c r="H40" s="1">
        <v>16.8</v>
      </c>
      <c r="I40" s="1"/>
      <c r="J40" s="6"/>
      <c r="K40" s="10"/>
      <c r="L40" s="1"/>
      <c r="M40" s="57"/>
    </row>
    <row r="41" spans="1:13" ht="15" customHeight="1">
      <c r="A41" s="1"/>
      <c r="B41" s="1"/>
      <c r="C41" s="1">
        <v>4</v>
      </c>
      <c r="D41" s="1" t="s">
        <v>39</v>
      </c>
      <c r="E41" s="1">
        <v>41.3</v>
      </c>
      <c r="F41" s="1"/>
      <c r="G41" s="6"/>
      <c r="H41" s="1">
        <v>12.69</v>
      </c>
      <c r="I41" s="1"/>
      <c r="J41" s="6"/>
      <c r="K41" s="10"/>
      <c r="L41" s="1"/>
      <c r="M41" s="57"/>
    </row>
    <row r="42" spans="1:13" ht="15" customHeight="1">
      <c r="A42" s="1"/>
      <c r="B42" s="1"/>
      <c r="C42" s="1">
        <v>4</v>
      </c>
      <c r="D42" s="1" t="s">
        <v>97</v>
      </c>
      <c r="E42" s="1">
        <v>52.4</v>
      </c>
      <c r="F42" s="1">
        <f>AVERAGE(E38:E42)</f>
        <v>50.440000000000005</v>
      </c>
      <c r="G42" s="6"/>
      <c r="H42" s="1">
        <v>23.12</v>
      </c>
      <c r="I42" s="1">
        <f>AVERAGE(H38:H42)</f>
        <v>20.645</v>
      </c>
      <c r="J42" s="6"/>
      <c r="K42" s="10"/>
      <c r="L42" s="1" t="e">
        <f>AVERAGE(K38:K42)</f>
        <v>#DIV/0!</v>
      </c>
      <c r="M42" s="57"/>
    </row>
    <row r="43" spans="1:13" ht="15" customHeight="1">
      <c r="A43" s="1" t="s">
        <v>37</v>
      </c>
      <c r="B43" s="1" t="s">
        <v>85</v>
      </c>
      <c r="C43" s="1">
        <v>1</v>
      </c>
      <c r="D43" s="1" t="s">
        <v>94</v>
      </c>
      <c r="E43" s="1">
        <v>71.400000000000006</v>
      </c>
      <c r="F43" s="1"/>
      <c r="G43" s="6"/>
      <c r="H43" s="1">
        <v>8.0299999999999994</v>
      </c>
      <c r="I43" s="1"/>
      <c r="J43" s="6"/>
      <c r="K43" s="1">
        <v>1.25</v>
      </c>
      <c r="L43" s="1"/>
      <c r="M43" s="57">
        <f t="shared" ref="M43:M222" si="2">SUM(E43,H43,K43)</f>
        <v>80.680000000000007</v>
      </c>
    </row>
    <row r="44" spans="1:13" ht="15" customHeight="1">
      <c r="A44" s="1"/>
      <c r="B44" s="1"/>
      <c r="C44" s="1">
        <v>1</v>
      </c>
      <c r="D44" s="1" t="s">
        <v>95</v>
      </c>
      <c r="E44" s="1">
        <v>60.9</v>
      </c>
      <c r="F44" s="1"/>
      <c r="G44" s="6"/>
      <c r="H44" s="1">
        <v>15.55</v>
      </c>
      <c r="I44" s="1"/>
      <c r="J44" s="6"/>
      <c r="K44" s="1">
        <v>3.1</v>
      </c>
      <c r="L44" s="1"/>
      <c r="M44" s="57">
        <f t="shared" si="2"/>
        <v>79.55</v>
      </c>
    </row>
    <row r="45" spans="1:13" ht="15" customHeight="1">
      <c r="A45" s="1"/>
      <c r="B45" s="1"/>
      <c r="C45" s="1">
        <v>1</v>
      </c>
      <c r="D45" s="1" t="s">
        <v>96</v>
      </c>
      <c r="E45" s="1">
        <v>45.2</v>
      </c>
      <c r="F45" s="1"/>
      <c r="G45" s="6"/>
      <c r="H45" s="8">
        <f>AVERAGE(H43:H44,H46)</f>
        <v>13.579999999999998</v>
      </c>
      <c r="I45" s="1"/>
      <c r="J45" s="6"/>
      <c r="K45" s="1">
        <v>2.75</v>
      </c>
      <c r="L45" s="1"/>
      <c r="M45" s="57">
        <f t="shared" si="2"/>
        <v>61.53</v>
      </c>
    </row>
    <row r="46" spans="1:13" ht="15" customHeight="1">
      <c r="A46" s="1"/>
      <c r="B46" s="1"/>
      <c r="C46" s="1">
        <v>1</v>
      </c>
      <c r="D46" s="1" t="s">
        <v>39</v>
      </c>
      <c r="E46" s="1">
        <v>63.4</v>
      </c>
      <c r="F46" s="1"/>
      <c r="G46" s="6"/>
      <c r="H46" s="1">
        <v>17.16</v>
      </c>
      <c r="I46" s="1"/>
      <c r="J46" s="6"/>
      <c r="K46" s="1">
        <v>3.42</v>
      </c>
      <c r="L46" s="1"/>
      <c r="M46" s="57">
        <f t="shared" si="2"/>
        <v>83.98</v>
      </c>
    </row>
    <row r="47" spans="1:13" ht="15" customHeight="1">
      <c r="A47" s="1"/>
      <c r="B47" s="1"/>
      <c r="C47" s="1">
        <v>1</v>
      </c>
      <c r="D47" s="1" t="s">
        <v>97</v>
      </c>
      <c r="E47" s="1">
        <v>48.3</v>
      </c>
      <c r="F47" s="1">
        <f>AVERAGE(E43:E47)</f>
        <v>57.839999999999996</v>
      </c>
      <c r="G47" s="6"/>
      <c r="H47" s="8">
        <f>AVERAGE(H43:H44,H46)</f>
        <v>13.579999999999998</v>
      </c>
      <c r="I47" s="1">
        <f>AVERAGE(H43:H47)</f>
        <v>13.579999999999998</v>
      </c>
      <c r="J47" s="6"/>
      <c r="K47" s="1">
        <v>3.37</v>
      </c>
      <c r="L47" s="1">
        <f>AVERAGE(K43:K47)</f>
        <v>2.778</v>
      </c>
      <c r="M47" s="57">
        <f t="shared" si="2"/>
        <v>65.25</v>
      </c>
    </row>
    <row r="48" spans="1:13" ht="15" customHeight="1">
      <c r="A48" s="1"/>
      <c r="B48" s="1"/>
      <c r="C48" s="1">
        <v>2</v>
      </c>
      <c r="D48" s="1" t="s">
        <v>94</v>
      </c>
      <c r="E48" s="1">
        <v>54.2</v>
      </c>
      <c r="F48" s="1"/>
      <c r="G48" s="6"/>
      <c r="H48" s="1">
        <v>9.92</v>
      </c>
      <c r="I48" s="1"/>
      <c r="J48" s="6"/>
      <c r="K48" s="1">
        <v>0.84</v>
      </c>
      <c r="L48" s="1"/>
      <c r="M48" s="57">
        <f t="shared" si="2"/>
        <v>64.960000000000008</v>
      </c>
    </row>
    <row r="49" spans="1:13" ht="15" customHeight="1">
      <c r="A49" s="1"/>
      <c r="B49" s="1"/>
      <c r="C49" s="1">
        <v>2</v>
      </c>
      <c r="D49" s="1" t="s">
        <v>95</v>
      </c>
      <c r="E49" s="1">
        <v>64.2</v>
      </c>
      <c r="F49" s="1"/>
      <c r="G49" s="6"/>
      <c r="H49" s="1">
        <v>9.35</v>
      </c>
      <c r="I49" s="1"/>
      <c r="J49" s="6"/>
      <c r="K49" s="1">
        <v>1.08</v>
      </c>
      <c r="L49" s="1"/>
      <c r="M49" s="57">
        <f t="shared" si="2"/>
        <v>74.63</v>
      </c>
    </row>
    <row r="50" spans="1:13" ht="15" customHeight="1">
      <c r="A50" s="1"/>
      <c r="B50" s="1"/>
      <c r="C50" s="1">
        <v>2</v>
      </c>
      <c r="D50" s="1" t="s">
        <v>96</v>
      </c>
      <c r="E50" s="8">
        <f>AVERAGE(E48:E49,E51:E52)</f>
        <v>61.775000000000006</v>
      </c>
      <c r="F50" s="1"/>
      <c r="G50" s="6"/>
      <c r="H50" s="8">
        <f>AVERAGE(H48:H49,H51:H52)</f>
        <v>8.5824999999999996</v>
      </c>
      <c r="I50" s="1"/>
      <c r="J50" s="6"/>
      <c r="K50" s="1">
        <v>1.27</v>
      </c>
      <c r="L50" s="1"/>
      <c r="M50" s="57">
        <f t="shared" si="2"/>
        <v>71.627499999999998</v>
      </c>
    </row>
    <row r="51" spans="1:13" ht="15" customHeight="1">
      <c r="A51" s="1"/>
      <c r="B51" s="1"/>
      <c r="C51" s="1">
        <v>2</v>
      </c>
      <c r="D51" s="1" t="s">
        <v>39</v>
      </c>
      <c r="E51" s="1">
        <v>58.9</v>
      </c>
      <c r="F51" s="1"/>
      <c r="G51" s="6"/>
      <c r="H51" s="1">
        <v>0.98</v>
      </c>
      <c r="I51" s="1"/>
      <c r="J51" s="6"/>
      <c r="K51" s="1">
        <v>2.09</v>
      </c>
      <c r="L51" s="1"/>
      <c r="M51" s="57">
        <f t="shared" si="2"/>
        <v>61.97</v>
      </c>
    </row>
    <row r="52" spans="1:13" ht="15" customHeight="1">
      <c r="A52" s="1"/>
      <c r="B52" s="1"/>
      <c r="C52" s="1">
        <v>2</v>
      </c>
      <c r="D52" s="1" t="s">
        <v>97</v>
      </c>
      <c r="E52" s="1">
        <v>69.8</v>
      </c>
      <c r="F52" s="1">
        <f>AVERAGE(E48:E52)</f>
        <v>61.774999999999999</v>
      </c>
      <c r="G52" s="6"/>
      <c r="H52" s="1">
        <v>14.08</v>
      </c>
      <c r="I52" s="1">
        <f>AVERAGE(H48:H52)</f>
        <v>8.5824999999999996</v>
      </c>
      <c r="J52" s="6"/>
      <c r="K52" s="1">
        <v>4.3099999999999996</v>
      </c>
      <c r="L52" s="1">
        <f>AVERAGE(K48:K52)</f>
        <v>1.9179999999999999</v>
      </c>
      <c r="M52" s="57">
        <f t="shared" si="2"/>
        <v>88.19</v>
      </c>
    </row>
    <row r="53" spans="1:13" ht="15" customHeight="1">
      <c r="A53" s="1"/>
      <c r="B53" s="1"/>
      <c r="C53" s="1">
        <v>3</v>
      </c>
      <c r="D53" s="1" t="s">
        <v>94</v>
      </c>
      <c r="E53" s="1">
        <v>55.2</v>
      </c>
      <c r="F53" s="1"/>
      <c r="G53" s="6"/>
      <c r="H53" s="1">
        <v>14.8</v>
      </c>
      <c r="I53" s="1"/>
      <c r="J53" s="6"/>
      <c r="K53" s="1">
        <v>1.1100000000000001</v>
      </c>
      <c r="L53" s="1"/>
      <c r="M53" s="57">
        <f t="shared" si="2"/>
        <v>71.11</v>
      </c>
    </row>
    <row r="54" spans="1:13" ht="15" customHeight="1">
      <c r="A54" s="1"/>
      <c r="B54" s="1"/>
      <c r="C54" s="1">
        <v>3</v>
      </c>
      <c r="D54" s="1" t="s">
        <v>95</v>
      </c>
      <c r="E54" s="1">
        <v>57.9</v>
      </c>
      <c r="F54" s="1"/>
      <c r="G54" s="6"/>
      <c r="H54" s="8">
        <f>AVERAGE(H53,H55,H57)</f>
        <v>12.306666666666667</v>
      </c>
      <c r="I54" s="1"/>
      <c r="J54" s="6"/>
      <c r="K54" s="1">
        <v>1.7</v>
      </c>
      <c r="L54" s="1"/>
      <c r="M54" s="57">
        <f t="shared" si="2"/>
        <v>71.906666666666666</v>
      </c>
    </row>
    <row r="55" spans="1:13" ht="15" customHeight="1">
      <c r="A55" s="1"/>
      <c r="B55" s="1"/>
      <c r="C55" s="1">
        <v>3</v>
      </c>
      <c r="D55" s="1" t="s">
        <v>96</v>
      </c>
      <c r="E55" s="1">
        <v>42.2</v>
      </c>
      <c r="F55" s="1"/>
      <c r="G55" s="6"/>
      <c r="H55" s="1">
        <v>11.21</v>
      </c>
      <c r="I55" s="1"/>
      <c r="J55" s="6"/>
      <c r="K55" s="1">
        <v>1.49</v>
      </c>
      <c r="L55" s="1"/>
      <c r="M55" s="57">
        <f t="shared" si="2"/>
        <v>54.900000000000006</v>
      </c>
    </row>
    <row r="56" spans="1:13" ht="15" customHeight="1">
      <c r="A56" s="1"/>
      <c r="B56" s="1"/>
      <c r="C56" s="1">
        <v>3</v>
      </c>
      <c r="D56" s="1" t="s">
        <v>39</v>
      </c>
      <c r="E56" s="1">
        <v>42.7</v>
      </c>
      <c r="F56" s="1"/>
      <c r="G56" s="6"/>
      <c r="H56" s="8">
        <f>AVERAGE(H53,H55,H57)</f>
        <v>12.306666666666667</v>
      </c>
      <c r="I56" s="1"/>
      <c r="J56" s="6"/>
      <c r="K56" s="1">
        <v>1.33</v>
      </c>
      <c r="L56" s="1"/>
      <c r="M56" s="57">
        <f t="shared" si="2"/>
        <v>56.336666666666666</v>
      </c>
    </row>
    <row r="57" spans="1:13" ht="15" customHeight="1">
      <c r="A57" s="1"/>
      <c r="B57" s="1"/>
      <c r="C57" s="1">
        <v>3</v>
      </c>
      <c r="D57" s="1" t="s">
        <v>97</v>
      </c>
      <c r="E57" s="1">
        <v>52.5</v>
      </c>
      <c r="F57" s="1">
        <f>AVERAGE(E53:E57)</f>
        <v>50.1</v>
      </c>
      <c r="G57" s="6"/>
      <c r="H57" s="1">
        <v>10.91</v>
      </c>
      <c r="I57" s="1">
        <f>AVERAGE(H53:H57)</f>
        <v>12.306666666666667</v>
      </c>
      <c r="J57" s="6"/>
      <c r="K57" s="1">
        <v>1.24</v>
      </c>
      <c r="L57" s="1">
        <f>AVERAGE(K53:K57)</f>
        <v>1.3740000000000001</v>
      </c>
      <c r="M57" s="57">
        <f t="shared" si="2"/>
        <v>64.649999999999991</v>
      </c>
    </row>
    <row r="58" spans="1:13" ht="15" customHeight="1">
      <c r="A58" s="1"/>
      <c r="B58" s="1"/>
      <c r="C58" s="1">
        <v>4</v>
      </c>
      <c r="D58" s="1" t="s">
        <v>94</v>
      </c>
      <c r="E58" s="35">
        <v>4</v>
      </c>
      <c r="F58" s="1"/>
      <c r="G58" s="6"/>
      <c r="H58" s="8">
        <f t="shared" ref="H58:H59" si="3">AVERAGE($H$60:$H$61)</f>
        <v>10.54</v>
      </c>
      <c r="I58" s="1"/>
      <c r="J58" s="6"/>
      <c r="K58" s="1">
        <v>1.44</v>
      </c>
      <c r="L58" s="1"/>
      <c r="M58" s="57">
        <f t="shared" si="2"/>
        <v>15.979999999999999</v>
      </c>
    </row>
    <row r="59" spans="1:13" ht="15" customHeight="1">
      <c r="A59" s="1"/>
      <c r="B59" s="1"/>
      <c r="C59" s="1">
        <v>4</v>
      </c>
      <c r="D59" s="1" t="s">
        <v>95</v>
      </c>
      <c r="E59" s="35">
        <v>18.2</v>
      </c>
      <c r="F59" s="1"/>
      <c r="G59" s="6"/>
      <c r="H59" s="8">
        <f t="shared" si="3"/>
        <v>10.54</v>
      </c>
      <c r="I59" s="1"/>
      <c r="J59" s="6"/>
      <c r="K59" s="1">
        <v>1.68</v>
      </c>
      <c r="L59" s="1"/>
      <c r="M59" s="57">
        <f t="shared" si="2"/>
        <v>30.419999999999998</v>
      </c>
    </row>
    <row r="60" spans="1:13" ht="15" customHeight="1">
      <c r="A60" s="1"/>
      <c r="B60" s="1"/>
      <c r="C60" s="1">
        <v>4</v>
      </c>
      <c r="D60" s="1" t="s">
        <v>96</v>
      </c>
      <c r="E60" s="1">
        <v>72.7</v>
      </c>
      <c r="F60" s="1"/>
      <c r="G60" s="6"/>
      <c r="H60" s="1">
        <v>2.77</v>
      </c>
      <c r="I60" s="1"/>
      <c r="J60" s="6"/>
      <c r="K60" s="1">
        <v>1.21</v>
      </c>
      <c r="L60" s="1"/>
      <c r="M60" s="57">
        <f t="shared" si="2"/>
        <v>76.679999999999993</v>
      </c>
    </row>
    <row r="61" spans="1:13" ht="15" customHeight="1">
      <c r="A61" s="1"/>
      <c r="B61" s="1"/>
      <c r="C61" s="1">
        <v>4</v>
      </c>
      <c r="D61" s="1" t="s">
        <v>39</v>
      </c>
      <c r="E61" s="8">
        <f>AVERAGE(E62,E58:E60)</f>
        <v>39.674999999999997</v>
      </c>
      <c r="F61" s="1"/>
      <c r="G61" s="6"/>
      <c r="H61" s="1">
        <v>18.309999999999999</v>
      </c>
      <c r="I61" s="1"/>
      <c r="J61" s="6"/>
      <c r="K61" s="1">
        <v>1.2</v>
      </c>
      <c r="L61" s="1"/>
      <c r="M61" s="57">
        <f t="shared" si="2"/>
        <v>59.185000000000002</v>
      </c>
    </row>
    <row r="62" spans="1:13" ht="15" customHeight="1">
      <c r="A62" s="1"/>
      <c r="B62" s="1"/>
      <c r="C62" s="1">
        <v>4</v>
      </c>
      <c r="D62" s="1" t="s">
        <v>97</v>
      </c>
      <c r="E62" s="1">
        <v>63.8</v>
      </c>
      <c r="F62" s="1">
        <f>AVERAGE(E58:E62)</f>
        <v>39.674999999999997</v>
      </c>
      <c r="G62" s="6"/>
      <c r="H62" s="8">
        <f>AVERAGE($H$60:$H$61)</f>
        <v>10.54</v>
      </c>
      <c r="I62" s="1">
        <f>AVERAGE(H58:H62)</f>
        <v>10.54</v>
      </c>
      <c r="J62" s="6"/>
      <c r="K62" s="1">
        <v>1.44</v>
      </c>
      <c r="L62" s="1">
        <f>AVERAGE(K58:K62)</f>
        <v>1.3940000000000001</v>
      </c>
      <c r="M62" s="57">
        <f t="shared" si="2"/>
        <v>75.78</v>
      </c>
    </row>
    <row r="63" spans="1:13" ht="15" customHeight="1">
      <c r="A63" s="1" t="s">
        <v>37</v>
      </c>
      <c r="B63" s="1" t="s">
        <v>98</v>
      </c>
      <c r="C63" s="1">
        <v>1</v>
      </c>
      <c r="D63" s="1" t="s">
        <v>94</v>
      </c>
      <c r="E63" s="1">
        <v>62.1</v>
      </c>
      <c r="F63" s="1"/>
      <c r="G63" s="6"/>
      <c r="H63" s="1">
        <v>4.42</v>
      </c>
      <c r="I63" s="1"/>
      <c r="J63" s="6"/>
      <c r="K63" s="1">
        <v>2.83</v>
      </c>
      <c r="L63" s="1"/>
      <c r="M63" s="57">
        <f t="shared" si="2"/>
        <v>69.349999999999994</v>
      </c>
    </row>
    <row r="64" spans="1:13" ht="15" customHeight="1">
      <c r="A64" s="1"/>
      <c r="B64" s="1"/>
      <c r="C64" s="1">
        <v>1</v>
      </c>
      <c r="D64" s="1" t="s">
        <v>95</v>
      </c>
      <c r="E64" s="1">
        <v>69.8</v>
      </c>
      <c r="F64" s="1"/>
      <c r="G64" s="6"/>
      <c r="H64" s="1">
        <v>5.0199999999999996</v>
      </c>
      <c r="I64" s="1"/>
      <c r="J64" s="6"/>
      <c r="K64" s="1">
        <v>3.3</v>
      </c>
      <c r="L64" s="1"/>
      <c r="M64" s="57">
        <f t="shared" si="2"/>
        <v>78.11999999999999</v>
      </c>
    </row>
    <row r="65" spans="1:13" ht="15" customHeight="1">
      <c r="A65" s="1"/>
      <c r="B65" s="1"/>
      <c r="C65" s="1">
        <v>1</v>
      </c>
      <c r="D65" s="1" t="s">
        <v>96</v>
      </c>
      <c r="E65" s="1">
        <v>75.400000000000006</v>
      </c>
      <c r="F65" s="1"/>
      <c r="G65" s="6"/>
      <c r="H65" s="1">
        <v>10.08</v>
      </c>
      <c r="I65" s="1"/>
      <c r="J65" s="6"/>
      <c r="K65" s="1">
        <v>1.93</v>
      </c>
      <c r="L65" s="1"/>
      <c r="M65" s="57">
        <f t="shared" si="2"/>
        <v>87.410000000000011</v>
      </c>
    </row>
    <row r="66" spans="1:13" ht="15" customHeight="1">
      <c r="A66" s="1"/>
      <c r="B66" s="1"/>
      <c r="C66" s="1">
        <v>1</v>
      </c>
      <c r="D66" s="1" t="s">
        <v>39</v>
      </c>
      <c r="E66" s="1">
        <v>67.400000000000006</v>
      </c>
      <c r="F66" s="1"/>
      <c r="G66" s="6"/>
      <c r="H66" s="1">
        <v>10.029999999999999</v>
      </c>
      <c r="I66" s="1"/>
      <c r="J66" s="6"/>
      <c r="K66" s="1">
        <v>4.3899999999999997</v>
      </c>
      <c r="L66" s="1"/>
      <c r="M66" s="57">
        <f t="shared" si="2"/>
        <v>81.820000000000007</v>
      </c>
    </row>
    <row r="67" spans="1:13" ht="15" customHeight="1">
      <c r="A67" s="1"/>
      <c r="B67" s="1"/>
      <c r="C67" s="1">
        <v>1</v>
      </c>
      <c r="D67" s="1" t="s">
        <v>97</v>
      </c>
      <c r="E67" s="1">
        <v>76.5</v>
      </c>
      <c r="F67" s="1">
        <f>AVERAGE(E63:E67)</f>
        <v>70.240000000000009</v>
      </c>
      <c r="G67" s="6"/>
      <c r="H67" s="1">
        <v>6.8</v>
      </c>
      <c r="I67" s="1">
        <f>AVERAGE(H63:H67)</f>
        <v>7.2699999999999987</v>
      </c>
      <c r="J67" s="6"/>
      <c r="K67" s="1">
        <v>2.2599999999999998</v>
      </c>
      <c r="L67" s="1">
        <f>AVERAGE(K63:K67)</f>
        <v>2.9419999999999997</v>
      </c>
      <c r="M67" s="57">
        <f t="shared" si="2"/>
        <v>85.56</v>
      </c>
    </row>
    <row r="68" spans="1:13" ht="15" customHeight="1">
      <c r="A68" s="1"/>
      <c r="B68" s="1"/>
      <c r="C68" s="1">
        <v>2</v>
      </c>
      <c r="D68" s="1" t="s">
        <v>94</v>
      </c>
      <c r="E68" s="1">
        <v>72.400000000000006</v>
      </c>
      <c r="F68" s="1"/>
      <c r="G68" s="6"/>
      <c r="H68" s="1">
        <v>8.36</v>
      </c>
      <c r="I68" s="1"/>
      <c r="J68" s="6"/>
      <c r="K68" s="1">
        <v>4.8499999999999996</v>
      </c>
      <c r="L68" s="1"/>
      <c r="M68" s="57">
        <f t="shared" si="2"/>
        <v>85.61</v>
      </c>
    </row>
    <row r="69" spans="1:13" ht="15" customHeight="1">
      <c r="A69" s="1"/>
      <c r="B69" s="1"/>
      <c r="C69" s="1">
        <v>2</v>
      </c>
      <c r="D69" s="1" t="s">
        <v>95</v>
      </c>
      <c r="E69" s="1">
        <v>71.8</v>
      </c>
      <c r="F69" s="1"/>
      <c r="G69" s="6"/>
      <c r="H69" s="1">
        <v>6.45</v>
      </c>
      <c r="I69" s="1"/>
      <c r="J69" s="6"/>
      <c r="K69" s="1">
        <v>2.16</v>
      </c>
      <c r="L69" s="1"/>
      <c r="M69" s="57">
        <f t="shared" si="2"/>
        <v>80.41</v>
      </c>
    </row>
    <row r="70" spans="1:13" ht="15" customHeight="1">
      <c r="A70" s="1"/>
      <c r="B70" s="1"/>
      <c r="C70" s="1">
        <v>2</v>
      </c>
      <c r="D70" s="1" t="s">
        <v>96</v>
      </c>
      <c r="E70" s="1">
        <v>76.8</v>
      </c>
      <c r="F70" s="1"/>
      <c r="G70" s="6"/>
      <c r="H70" s="1">
        <v>6.72</v>
      </c>
      <c r="I70" s="1"/>
      <c r="J70" s="6"/>
      <c r="K70" s="1">
        <v>2.98</v>
      </c>
      <c r="L70" s="1"/>
      <c r="M70" s="57">
        <f t="shared" si="2"/>
        <v>86.5</v>
      </c>
    </row>
    <row r="71" spans="1:13" ht="15" customHeight="1">
      <c r="A71" s="1"/>
      <c r="B71" s="1"/>
      <c r="C71" s="1">
        <v>2</v>
      </c>
      <c r="D71" s="1" t="s">
        <v>39</v>
      </c>
      <c r="E71" s="1">
        <v>63.9</v>
      </c>
      <c r="F71" s="1"/>
      <c r="G71" s="6"/>
      <c r="H71" s="1">
        <v>6.91</v>
      </c>
      <c r="I71" s="1"/>
      <c r="J71" s="6"/>
      <c r="K71" s="1">
        <v>2.54</v>
      </c>
      <c r="L71" s="1"/>
      <c r="M71" s="57">
        <f t="shared" si="2"/>
        <v>73.350000000000009</v>
      </c>
    </row>
    <row r="72" spans="1:13" ht="15" customHeight="1">
      <c r="A72" s="1"/>
      <c r="B72" s="1"/>
      <c r="C72" s="1">
        <v>2</v>
      </c>
      <c r="D72" s="1" t="s">
        <v>97</v>
      </c>
      <c r="E72" s="1">
        <v>83.7</v>
      </c>
      <c r="F72" s="1">
        <f>AVERAGE(E68:E72)</f>
        <v>73.72</v>
      </c>
      <c r="G72" s="6"/>
      <c r="H72" s="1">
        <v>15.75</v>
      </c>
      <c r="I72" s="1">
        <f>AVERAGE(H68:H72)</f>
        <v>8.8379999999999992</v>
      </c>
      <c r="J72" s="6"/>
      <c r="K72" s="1">
        <v>3.53</v>
      </c>
      <c r="L72" s="1">
        <f>AVERAGE(K68:K72)</f>
        <v>3.2120000000000006</v>
      </c>
      <c r="M72" s="57">
        <f t="shared" si="2"/>
        <v>102.98</v>
      </c>
    </row>
    <row r="73" spans="1:13" ht="15" customHeight="1">
      <c r="A73" s="1"/>
      <c r="B73" s="1"/>
      <c r="C73" s="1">
        <v>3</v>
      </c>
      <c r="D73" s="1" t="s">
        <v>94</v>
      </c>
      <c r="E73" s="1">
        <v>63.4</v>
      </c>
      <c r="F73" s="1"/>
      <c r="G73" s="6"/>
      <c r="H73" s="1">
        <v>8.4600000000000009</v>
      </c>
      <c r="I73" s="1"/>
      <c r="J73" s="6"/>
      <c r="K73" s="1">
        <v>1.44</v>
      </c>
      <c r="L73" s="1"/>
      <c r="M73" s="57">
        <f t="shared" si="2"/>
        <v>73.3</v>
      </c>
    </row>
    <row r="74" spans="1:13" ht="15" customHeight="1">
      <c r="A74" s="1"/>
      <c r="B74" s="1"/>
      <c r="C74" s="1">
        <v>3</v>
      </c>
      <c r="D74" s="1" t="s">
        <v>95</v>
      </c>
      <c r="E74" s="1">
        <v>65</v>
      </c>
      <c r="F74" s="1"/>
      <c r="G74" s="6"/>
      <c r="H74" s="1">
        <v>13.35</v>
      </c>
      <c r="I74" s="1"/>
      <c r="J74" s="6"/>
      <c r="K74" s="8">
        <f>AVERAGE(K73,K75:K77)</f>
        <v>2.8325</v>
      </c>
      <c r="L74" s="1"/>
      <c r="M74" s="57">
        <f t="shared" si="2"/>
        <v>81.18249999999999</v>
      </c>
    </row>
    <row r="75" spans="1:13" ht="15" customHeight="1">
      <c r="A75" s="1"/>
      <c r="B75" s="1"/>
      <c r="C75" s="1">
        <v>3</v>
      </c>
      <c r="D75" s="1" t="s">
        <v>96</v>
      </c>
      <c r="E75" s="1">
        <v>60.1</v>
      </c>
      <c r="F75" s="1"/>
      <c r="G75" s="6"/>
      <c r="H75" s="1">
        <v>7.2</v>
      </c>
      <c r="I75" s="1"/>
      <c r="J75" s="6"/>
      <c r="K75" s="1">
        <v>2.7</v>
      </c>
      <c r="L75" s="1"/>
      <c r="M75" s="57">
        <f t="shared" si="2"/>
        <v>70</v>
      </c>
    </row>
    <row r="76" spans="1:13" ht="15" customHeight="1">
      <c r="A76" s="1"/>
      <c r="B76" s="1"/>
      <c r="C76" s="1">
        <v>3</v>
      </c>
      <c r="D76" s="1" t="s">
        <v>39</v>
      </c>
      <c r="E76" s="1">
        <v>64.7</v>
      </c>
      <c r="F76" s="1"/>
      <c r="G76" s="6"/>
      <c r="H76" s="1">
        <v>10.199999999999999</v>
      </c>
      <c r="I76" s="1"/>
      <c r="J76" s="6"/>
      <c r="K76" s="1">
        <v>2.94</v>
      </c>
      <c r="L76" s="1"/>
      <c r="M76" s="57">
        <f t="shared" si="2"/>
        <v>77.84</v>
      </c>
    </row>
    <row r="77" spans="1:13" ht="15" customHeight="1">
      <c r="A77" s="1"/>
      <c r="B77" s="1"/>
      <c r="C77" s="1">
        <v>3</v>
      </c>
      <c r="D77" s="1" t="s">
        <v>97</v>
      </c>
      <c r="E77" s="1">
        <v>72.099999999999994</v>
      </c>
      <c r="F77" s="1">
        <f>AVERAGE(E73:E77)</f>
        <v>65.059999999999988</v>
      </c>
      <c r="G77" s="6"/>
      <c r="H77" s="1">
        <v>14</v>
      </c>
      <c r="I77" s="1">
        <f>AVERAGE(H73:H77)</f>
        <v>10.641999999999999</v>
      </c>
      <c r="J77" s="6"/>
      <c r="K77" s="1">
        <v>4.25</v>
      </c>
      <c r="L77" s="1">
        <f>AVERAGE(K73:K77)</f>
        <v>2.8325</v>
      </c>
      <c r="M77" s="57">
        <f t="shared" si="2"/>
        <v>90.35</v>
      </c>
    </row>
    <row r="78" spans="1:13" ht="15" customHeight="1">
      <c r="A78" s="1"/>
      <c r="B78" s="1"/>
      <c r="C78" s="1">
        <v>4</v>
      </c>
      <c r="D78" s="1" t="s">
        <v>94</v>
      </c>
      <c r="E78" s="1">
        <v>61.4</v>
      </c>
      <c r="F78" s="1"/>
      <c r="G78" s="6"/>
      <c r="H78" s="8">
        <f>AVERAGE(H79:H82)</f>
        <v>7.714999999999999</v>
      </c>
      <c r="I78" s="1"/>
      <c r="J78" s="6"/>
      <c r="K78" s="1">
        <v>1.67</v>
      </c>
      <c r="L78" s="1"/>
      <c r="M78" s="57">
        <f t="shared" si="2"/>
        <v>70.784999999999997</v>
      </c>
    </row>
    <row r="79" spans="1:13" ht="15" customHeight="1">
      <c r="A79" s="1"/>
      <c r="B79" s="1"/>
      <c r="C79" s="1">
        <v>4</v>
      </c>
      <c r="D79" s="1" t="s">
        <v>95</v>
      </c>
      <c r="E79" s="1">
        <v>57.9</v>
      </c>
      <c r="F79" s="1"/>
      <c r="G79" s="6"/>
      <c r="H79" s="1">
        <v>9.7899999999999991</v>
      </c>
      <c r="I79" s="1"/>
      <c r="J79" s="6"/>
      <c r="K79" s="1">
        <v>1.99</v>
      </c>
      <c r="L79" s="1"/>
      <c r="M79" s="57">
        <f t="shared" si="2"/>
        <v>69.679999999999993</v>
      </c>
    </row>
    <row r="80" spans="1:13" ht="15" customHeight="1">
      <c r="A80" s="1"/>
      <c r="B80" s="1"/>
      <c r="C80" s="1">
        <v>4</v>
      </c>
      <c r="D80" s="1" t="s">
        <v>96</v>
      </c>
      <c r="E80" s="1">
        <v>71.900000000000006</v>
      </c>
      <c r="F80" s="1"/>
      <c r="G80" s="6"/>
      <c r="H80" s="1">
        <v>7.33</v>
      </c>
      <c r="I80" s="1"/>
      <c r="J80" s="6"/>
      <c r="K80" s="1">
        <v>3.42</v>
      </c>
      <c r="L80" s="1"/>
      <c r="M80" s="57">
        <f t="shared" si="2"/>
        <v>82.65</v>
      </c>
    </row>
    <row r="81" spans="1:13" ht="15" customHeight="1">
      <c r="A81" s="1"/>
      <c r="B81" s="1"/>
      <c r="C81" s="1">
        <v>4</v>
      </c>
      <c r="D81" s="1" t="s">
        <v>39</v>
      </c>
      <c r="E81" s="1">
        <v>56.6</v>
      </c>
      <c r="F81" s="1"/>
      <c r="G81" s="1"/>
      <c r="H81" s="1">
        <v>4.04</v>
      </c>
      <c r="I81" s="1"/>
      <c r="J81" s="6"/>
      <c r="K81" s="1">
        <v>2.5299999999999998</v>
      </c>
      <c r="L81" s="1"/>
      <c r="M81" s="57">
        <f t="shared" si="2"/>
        <v>63.17</v>
      </c>
    </row>
    <row r="82" spans="1:13" ht="15" customHeight="1">
      <c r="A82" s="1"/>
      <c r="B82" s="1"/>
      <c r="C82" s="1">
        <v>4</v>
      </c>
      <c r="D82" s="1" t="s">
        <v>97</v>
      </c>
      <c r="E82" s="1">
        <v>82.8</v>
      </c>
      <c r="F82" s="1">
        <f>AVERAGE(E78:E82)</f>
        <v>66.11999999999999</v>
      </c>
      <c r="G82" s="6"/>
      <c r="H82" s="1">
        <v>9.6999999999999993</v>
      </c>
      <c r="I82" s="1">
        <f>AVERAGE(H78:H82)</f>
        <v>7.7150000000000007</v>
      </c>
      <c r="J82" s="6"/>
      <c r="K82" s="1">
        <v>3.77</v>
      </c>
      <c r="L82" s="1">
        <f>AVERAGE(K78:K82)</f>
        <v>2.6759999999999997</v>
      </c>
      <c r="M82" s="57">
        <f t="shared" si="2"/>
        <v>96.27</v>
      </c>
    </row>
    <row r="83" spans="1:13" ht="15" customHeight="1">
      <c r="A83" s="1" t="s">
        <v>37</v>
      </c>
      <c r="B83" s="1" t="s">
        <v>99</v>
      </c>
      <c r="C83" s="1">
        <v>1</v>
      </c>
      <c r="D83" s="1" t="s">
        <v>94</v>
      </c>
      <c r="E83" s="8">
        <f>AVERAGE(E87,E86,E84)</f>
        <v>66.400000000000006</v>
      </c>
      <c r="F83" s="1"/>
      <c r="G83" s="6"/>
      <c r="H83" s="1">
        <v>1.39</v>
      </c>
      <c r="I83" s="1"/>
      <c r="J83" s="6"/>
      <c r="K83" s="1">
        <v>1.2</v>
      </c>
      <c r="L83" s="1"/>
      <c r="M83" s="57">
        <f t="shared" si="2"/>
        <v>68.990000000000009</v>
      </c>
    </row>
    <row r="84" spans="1:13" ht="15" customHeight="1">
      <c r="A84" s="1"/>
      <c r="B84" s="1"/>
      <c r="C84" s="1">
        <v>1</v>
      </c>
      <c r="D84" s="1" t="s">
        <v>95</v>
      </c>
      <c r="E84" s="1">
        <v>66.900000000000006</v>
      </c>
      <c r="F84" s="1"/>
      <c r="G84" s="6"/>
      <c r="H84" s="1">
        <v>11.62</v>
      </c>
      <c r="I84" s="1"/>
      <c r="J84" s="6"/>
      <c r="K84" s="1">
        <v>0.78</v>
      </c>
      <c r="L84" s="1"/>
      <c r="M84" s="57">
        <f t="shared" si="2"/>
        <v>79.300000000000011</v>
      </c>
    </row>
    <row r="85" spans="1:13" ht="15" customHeight="1">
      <c r="A85" s="1"/>
      <c r="B85" s="1"/>
      <c r="C85" s="1">
        <v>1</v>
      </c>
      <c r="D85" s="1" t="s">
        <v>96</v>
      </c>
      <c r="E85" s="8">
        <f>AVERAGE(E84,E86:E87)</f>
        <v>66.399999999999991</v>
      </c>
      <c r="F85" s="1"/>
      <c r="G85" s="6"/>
      <c r="H85" s="1">
        <v>18</v>
      </c>
      <c r="I85" s="1"/>
      <c r="J85" s="6"/>
      <c r="K85" s="1">
        <v>1.51</v>
      </c>
      <c r="L85" s="1"/>
      <c r="M85" s="57">
        <f t="shared" si="2"/>
        <v>85.91</v>
      </c>
    </row>
    <row r="86" spans="1:13" ht="15" customHeight="1">
      <c r="A86" s="1"/>
      <c r="B86" s="1"/>
      <c r="C86" s="1">
        <v>1</v>
      </c>
      <c r="D86" s="1" t="s">
        <v>39</v>
      </c>
      <c r="E86" s="1">
        <v>62.3</v>
      </c>
      <c r="F86" s="1"/>
      <c r="G86" s="6"/>
      <c r="H86" s="1">
        <v>22.31</v>
      </c>
      <c r="I86" s="1"/>
      <c r="J86" s="6"/>
      <c r="K86" s="1">
        <v>0.54</v>
      </c>
      <c r="L86" s="1"/>
      <c r="M86" s="57">
        <f t="shared" si="2"/>
        <v>85.15</v>
      </c>
    </row>
    <row r="87" spans="1:13" ht="15" customHeight="1">
      <c r="A87" s="1"/>
      <c r="B87" s="1"/>
      <c r="C87" s="1">
        <v>1</v>
      </c>
      <c r="D87" s="1" t="s">
        <v>97</v>
      </c>
      <c r="E87" s="1">
        <v>70</v>
      </c>
      <c r="F87" s="1">
        <f>AVERAGEA(E83:E87)</f>
        <v>66.400000000000006</v>
      </c>
      <c r="G87" s="6"/>
      <c r="H87" s="1">
        <v>9</v>
      </c>
      <c r="I87" s="1">
        <f>AVERAGEA(H83:H87)</f>
        <v>12.463999999999999</v>
      </c>
      <c r="J87" s="6"/>
      <c r="K87" s="1">
        <v>1.78</v>
      </c>
      <c r="L87" s="1">
        <f>AVERAGEA(K83:K87)</f>
        <v>1.1620000000000001</v>
      </c>
      <c r="M87" s="57">
        <f t="shared" si="2"/>
        <v>80.78</v>
      </c>
    </row>
    <row r="88" spans="1:13" ht="15" customHeight="1">
      <c r="A88" s="1"/>
      <c r="B88" s="1"/>
      <c r="C88" s="1">
        <v>2</v>
      </c>
      <c r="D88" s="1" t="s">
        <v>94</v>
      </c>
      <c r="E88" s="8">
        <f>AVERAGE(E89:E92)</f>
        <v>66.325000000000003</v>
      </c>
      <c r="F88" s="1"/>
      <c r="G88" s="6"/>
      <c r="H88" s="1">
        <v>18.690000000000001</v>
      </c>
      <c r="I88" s="1"/>
      <c r="J88" s="6"/>
      <c r="K88" s="1">
        <v>0.76</v>
      </c>
      <c r="L88" s="1"/>
      <c r="M88" s="57">
        <f t="shared" si="2"/>
        <v>85.775000000000006</v>
      </c>
    </row>
    <row r="89" spans="1:13" ht="15" customHeight="1">
      <c r="A89" s="1"/>
      <c r="B89" s="1"/>
      <c r="C89" s="1">
        <v>2</v>
      </c>
      <c r="D89" s="1" t="s">
        <v>95</v>
      </c>
      <c r="E89" s="1">
        <v>69.400000000000006</v>
      </c>
      <c r="F89" s="1"/>
      <c r="G89" s="6"/>
      <c r="H89" s="1">
        <v>17.3</v>
      </c>
      <c r="I89" s="1"/>
      <c r="J89" s="6"/>
      <c r="K89" s="1">
        <v>1.53</v>
      </c>
      <c r="L89" s="1"/>
      <c r="M89" s="57">
        <f t="shared" si="2"/>
        <v>88.23</v>
      </c>
    </row>
    <row r="90" spans="1:13" ht="15" customHeight="1">
      <c r="A90" s="1"/>
      <c r="B90" s="1"/>
      <c r="C90" s="1">
        <v>2</v>
      </c>
      <c r="D90" s="1" t="s">
        <v>96</v>
      </c>
      <c r="E90" s="1">
        <v>58.4</v>
      </c>
      <c r="F90" s="1"/>
      <c r="G90" s="6"/>
      <c r="H90" s="1">
        <v>18.899999999999999</v>
      </c>
      <c r="I90" s="1"/>
      <c r="J90" s="6"/>
      <c r="K90" s="1">
        <v>1.1599999999999999</v>
      </c>
      <c r="L90" s="1"/>
      <c r="M90" s="57">
        <f t="shared" si="2"/>
        <v>78.459999999999994</v>
      </c>
    </row>
    <row r="91" spans="1:13" ht="15" customHeight="1">
      <c r="A91" s="1"/>
      <c r="B91" s="1"/>
      <c r="C91" s="1">
        <v>2</v>
      </c>
      <c r="D91" s="1" t="s">
        <v>39</v>
      </c>
      <c r="E91" s="1">
        <v>72</v>
      </c>
      <c r="F91" s="1"/>
      <c r="G91" s="6"/>
      <c r="H91" s="1">
        <v>28.79</v>
      </c>
      <c r="I91" s="1"/>
      <c r="J91" s="6"/>
      <c r="K91" s="1">
        <v>2.13</v>
      </c>
      <c r="L91" s="1"/>
      <c r="M91" s="57">
        <f t="shared" si="2"/>
        <v>102.91999999999999</v>
      </c>
    </row>
    <row r="92" spans="1:13" ht="15" customHeight="1">
      <c r="A92" s="1"/>
      <c r="B92" s="1"/>
      <c r="C92" s="1">
        <v>2</v>
      </c>
      <c r="D92" s="1" t="s">
        <v>97</v>
      </c>
      <c r="E92" s="1">
        <v>65.5</v>
      </c>
      <c r="F92" s="1">
        <f>AVERAGEA(E88:E92)</f>
        <v>66.325000000000003</v>
      </c>
      <c r="G92" s="6"/>
      <c r="H92" s="1">
        <v>13.56</v>
      </c>
      <c r="I92" s="1">
        <f>AVERAGEA(H88:H92)</f>
        <v>19.448</v>
      </c>
      <c r="J92" s="6"/>
      <c r="K92" s="1">
        <v>1.65</v>
      </c>
      <c r="L92" s="1">
        <f>AVERAGEA(K88:K92)</f>
        <v>1.4460000000000002</v>
      </c>
      <c r="M92" s="57">
        <f t="shared" si="2"/>
        <v>80.710000000000008</v>
      </c>
    </row>
    <row r="93" spans="1:13" ht="15" customHeight="1">
      <c r="A93" s="1"/>
      <c r="B93" s="1"/>
      <c r="C93" s="1">
        <v>3</v>
      </c>
      <c r="D93" s="1" t="s">
        <v>94</v>
      </c>
      <c r="E93" s="1">
        <v>56.6</v>
      </c>
      <c r="F93" s="1"/>
      <c r="G93" s="6"/>
      <c r="H93" s="1">
        <v>19</v>
      </c>
      <c r="I93" s="1"/>
      <c r="J93" s="6"/>
      <c r="K93" s="1">
        <v>1.42</v>
      </c>
      <c r="L93" s="1"/>
      <c r="M93" s="57">
        <f t="shared" si="2"/>
        <v>77.02</v>
      </c>
    </row>
    <row r="94" spans="1:13" ht="15" customHeight="1">
      <c r="A94" s="1"/>
      <c r="B94" s="1"/>
      <c r="C94" s="1">
        <v>3</v>
      </c>
      <c r="D94" s="1" t="s">
        <v>95</v>
      </c>
      <c r="E94" s="1">
        <v>58.5</v>
      </c>
      <c r="F94" s="1"/>
      <c r="G94" s="6"/>
      <c r="H94" s="61">
        <v>36.49</v>
      </c>
      <c r="I94" s="1"/>
      <c r="J94" s="6"/>
      <c r="K94" s="1">
        <v>1.28</v>
      </c>
      <c r="L94" s="1"/>
      <c r="M94" s="57">
        <f t="shared" si="2"/>
        <v>96.27000000000001</v>
      </c>
    </row>
    <row r="95" spans="1:13" ht="15" customHeight="1">
      <c r="A95" s="1"/>
      <c r="B95" s="1"/>
      <c r="C95" s="1">
        <v>3</v>
      </c>
      <c r="D95" s="1" t="s">
        <v>96</v>
      </c>
      <c r="E95" s="1">
        <v>53.3</v>
      </c>
      <c r="F95" s="1"/>
      <c r="G95" s="6"/>
      <c r="H95" s="1">
        <v>19.649999999999999</v>
      </c>
      <c r="I95" s="1"/>
      <c r="J95" s="6"/>
      <c r="K95" s="1">
        <v>1.06</v>
      </c>
      <c r="L95" s="1"/>
      <c r="M95" s="57">
        <f t="shared" si="2"/>
        <v>74.009999999999991</v>
      </c>
    </row>
    <row r="96" spans="1:13" ht="15" customHeight="1">
      <c r="A96" s="1"/>
      <c r="B96" s="1"/>
      <c r="C96" s="1">
        <v>3</v>
      </c>
      <c r="D96" s="1" t="s">
        <v>39</v>
      </c>
      <c r="E96" s="1">
        <v>71.900000000000006</v>
      </c>
      <c r="F96" s="1"/>
      <c r="G96" s="6"/>
      <c r="H96" s="61">
        <v>35.450000000000003</v>
      </c>
      <c r="I96" s="1"/>
      <c r="J96" s="6"/>
      <c r="K96" s="1">
        <v>3.05</v>
      </c>
      <c r="L96" s="1"/>
      <c r="M96" s="57">
        <f t="shared" si="2"/>
        <v>110.4</v>
      </c>
    </row>
    <row r="97" spans="1:13" ht="15" customHeight="1">
      <c r="A97" s="1"/>
      <c r="B97" s="1"/>
      <c r="C97" s="1">
        <v>3</v>
      </c>
      <c r="D97" s="1" t="s">
        <v>97</v>
      </c>
      <c r="E97" s="1">
        <v>53.7</v>
      </c>
      <c r="F97" s="1">
        <f>AVERAGEA(E93:E97)</f>
        <v>58.8</v>
      </c>
      <c r="G97" s="6"/>
      <c r="H97" s="1">
        <v>20.81</v>
      </c>
      <c r="I97" s="1">
        <f>AVERAGEA(H93:H97)</f>
        <v>26.28</v>
      </c>
      <c r="J97" s="6"/>
      <c r="K97" s="1">
        <v>0.35</v>
      </c>
      <c r="L97" s="1">
        <f>AVERAGEA(K93:K97)</f>
        <v>1.4319999999999999</v>
      </c>
      <c r="M97" s="57">
        <f t="shared" si="2"/>
        <v>74.86</v>
      </c>
    </row>
    <row r="98" spans="1:13" ht="15" customHeight="1">
      <c r="A98" s="1"/>
      <c r="B98" s="1"/>
      <c r="C98" s="1">
        <v>4</v>
      </c>
      <c r="D98" s="1" t="s">
        <v>94</v>
      </c>
      <c r="E98" s="1">
        <v>76.7</v>
      </c>
      <c r="F98" s="1"/>
      <c r="G98" s="6"/>
      <c r="H98" s="1">
        <v>34.700000000000003</v>
      </c>
      <c r="I98" s="1"/>
      <c r="J98" s="6"/>
      <c r="K98" s="1">
        <v>1.87</v>
      </c>
      <c r="L98" s="1"/>
      <c r="M98" s="57">
        <f t="shared" si="2"/>
        <v>113.27000000000001</v>
      </c>
    </row>
    <row r="99" spans="1:13" ht="15" customHeight="1">
      <c r="A99" s="1"/>
      <c r="B99" s="1"/>
      <c r="C99" s="1">
        <v>4</v>
      </c>
      <c r="D99" s="1" t="s">
        <v>95</v>
      </c>
      <c r="E99" s="1">
        <v>64</v>
      </c>
      <c r="F99" s="1"/>
      <c r="G99" s="6"/>
      <c r="H99" s="1">
        <v>11.8</v>
      </c>
      <c r="I99" s="1"/>
      <c r="J99" s="6"/>
      <c r="K99" s="1">
        <v>3.37</v>
      </c>
      <c r="L99" s="1"/>
      <c r="M99" s="57">
        <f t="shared" si="2"/>
        <v>79.17</v>
      </c>
    </row>
    <row r="100" spans="1:13" ht="15" customHeight="1">
      <c r="A100" s="1"/>
      <c r="B100" s="1"/>
      <c r="C100" s="1">
        <v>4</v>
      </c>
      <c r="D100" s="1" t="s">
        <v>96</v>
      </c>
      <c r="E100" s="1">
        <v>78.7</v>
      </c>
      <c r="F100" s="1"/>
      <c r="G100" s="6"/>
      <c r="H100" s="1">
        <v>0.68</v>
      </c>
      <c r="I100" s="1"/>
      <c r="J100" s="6"/>
      <c r="K100" s="8">
        <f>AVERAGE(K98:K99,K101:K102)</f>
        <v>1.8599999999999999</v>
      </c>
      <c r="L100" s="1"/>
      <c r="M100" s="57">
        <f t="shared" si="2"/>
        <v>81.240000000000009</v>
      </c>
    </row>
    <row r="101" spans="1:13" ht="15" customHeight="1">
      <c r="A101" s="1"/>
      <c r="B101" s="1"/>
      <c r="C101" s="1">
        <v>4</v>
      </c>
      <c r="D101" s="1" t="s">
        <v>39</v>
      </c>
      <c r="E101" s="1">
        <v>49.4</v>
      </c>
      <c r="F101" s="1"/>
      <c r="G101" s="6"/>
      <c r="H101" s="1">
        <v>9.1</v>
      </c>
      <c r="I101" s="1"/>
      <c r="J101" s="6"/>
      <c r="K101" s="1">
        <v>0.85</v>
      </c>
      <c r="L101" s="1"/>
      <c r="M101" s="57">
        <f t="shared" si="2"/>
        <v>59.35</v>
      </c>
    </row>
    <row r="102" spans="1:13" ht="15" customHeight="1">
      <c r="A102" s="1"/>
      <c r="B102" s="1"/>
      <c r="C102" s="1">
        <v>4</v>
      </c>
      <c r="D102" s="1" t="s">
        <v>97</v>
      </c>
      <c r="E102" s="1">
        <v>67</v>
      </c>
      <c r="F102" s="1">
        <f>AVERAGEA(E98:E102)</f>
        <v>67.16</v>
      </c>
      <c r="G102" s="6"/>
      <c r="H102" s="1">
        <v>9</v>
      </c>
      <c r="I102" s="1">
        <f>AVERAGEA(H98:H102)</f>
        <v>13.056000000000001</v>
      </c>
      <c r="J102" s="6"/>
      <c r="K102" s="1">
        <v>1.35</v>
      </c>
      <c r="L102" s="1">
        <f>AVERAGEA(K98:K102)</f>
        <v>1.8599999999999999</v>
      </c>
      <c r="M102" s="57">
        <f t="shared" si="2"/>
        <v>77.349999999999994</v>
      </c>
    </row>
    <row r="103" spans="1:13" ht="15" customHeight="1">
      <c r="A103" s="1" t="s">
        <v>37</v>
      </c>
      <c r="B103" s="1" t="s">
        <v>101</v>
      </c>
      <c r="C103" s="1">
        <v>1</v>
      </c>
      <c r="D103" s="1" t="s">
        <v>94</v>
      </c>
      <c r="E103" s="1">
        <v>57.6</v>
      </c>
      <c r="F103" s="1"/>
      <c r="G103" s="6"/>
      <c r="H103" s="1">
        <v>1.9</v>
      </c>
      <c r="I103" s="1"/>
      <c r="J103" s="6"/>
      <c r="K103" s="1">
        <v>1.54</v>
      </c>
      <c r="L103" s="1"/>
      <c r="M103" s="57">
        <f t="shared" si="2"/>
        <v>61.04</v>
      </c>
    </row>
    <row r="104" spans="1:13" ht="15" customHeight="1">
      <c r="A104" s="1"/>
      <c r="B104" s="1"/>
      <c r="C104" s="1">
        <v>1</v>
      </c>
      <c r="D104" s="1" t="s">
        <v>95</v>
      </c>
      <c r="E104" s="1">
        <v>74.599999999999994</v>
      </c>
      <c r="F104" s="1"/>
      <c r="G104" s="6"/>
      <c r="H104" s="1">
        <v>17.32</v>
      </c>
      <c r="I104" s="1"/>
      <c r="J104" s="6"/>
      <c r="K104" s="1">
        <v>2.5499999999999998</v>
      </c>
      <c r="L104" s="1"/>
      <c r="M104" s="57">
        <f t="shared" si="2"/>
        <v>94.469999999999985</v>
      </c>
    </row>
    <row r="105" spans="1:13" ht="15" customHeight="1">
      <c r="A105" s="1"/>
      <c r="B105" s="1"/>
      <c r="C105" s="1">
        <v>1</v>
      </c>
      <c r="D105" s="1" t="s">
        <v>96</v>
      </c>
      <c r="E105" s="1">
        <v>52.9</v>
      </c>
      <c r="F105" s="1"/>
      <c r="G105" s="6"/>
      <c r="H105" s="1">
        <v>5.38</v>
      </c>
      <c r="I105" s="1"/>
      <c r="J105" s="6"/>
      <c r="K105" s="1">
        <v>0.72</v>
      </c>
      <c r="L105" s="1"/>
      <c r="M105" s="57">
        <f t="shared" si="2"/>
        <v>59</v>
      </c>
    </row>
    <row r="106" spans="1:13" ht="15" customHeight="1">
      <c r="A106" s="1"/>
      <c r="B106" s="1"/>
      <c r="C106" s="1">
        <v>1</v>
      </c>
      <c r="D106" s="1" t="s">
        <v>39</v>
      </c>
      <c r="E106" s="1">
        <v>71.599999999999994</v>
      </c>
      <c r="F106" s="1"/>
      <c r="G106" s="6"/>
      <c r="H106" s="35">
        <v>44.3</v>
      </c>
      <c r="I106" s="1"/>
      <c r="J106" s="6"/>
      <c r="K106" s="1">
        <v>1.51</v>
      </c>
      <c r="L106" s="1"/>
      <c r="M106" s="57">
        <f t="shared" si="2"/>
        <v>117.41</v>
      </c>
    </row>
    <row r="107" spans="1:13" ht="15" customHeight="1">
      <c r="A107" s="1"/>
      <c r="B107" s="1"/>
      <c r="C107" s="1">
        <v>1</v>
      </c>
      <c r="D107" s="1" t="s">
        <v>97</v>
      </c>
      <c r="E107" s="1">
        <v>57.3</v>
      </c>
      <c r="F107" s="1">
        <f>AVERAGE(E103:E107)</f>
        <v>62.8</v>
      </c>
      <c r="G107" s="6"/>
      <c r="H107" s="1">
        <v>4.5</v>
      </c>
      <c r="I107" s="1">
        <f>AVERAGE(H103:H107)</f>
        <v>14.679999999999998</v>
      </c>
      <c r="J107" s="6"/>
      <c r="K107" s="1">
        <v>0.73</v>
      </c>
      <c r="L107" s="1">
        <f>AVERAGE(K103:K107)</f>
        <v>1.4099999999999997</v>
      </c>
      <c r="M107" s="57">
        <f t="shared" si="2"/>
        <v>62.529999999999994</v>
      </c>
    </row>
    <row r="108" spans="1:13" ht="15" customHeight="1">
      <c r="A108" s="1"/>
      <c r="B108" s="1"/>
      <c r="C108" s="1">
        <v>2</v>
      </c>
      <c r="D108" s="1" t="s">
        <v>94</v>
      </c>
      <c r="E108" s="1">
        <v>66.900000000000006</v>
      </c>
      <c r="F108" s="1"/>
      <c r="G108" s="6"/>
      <c r="H108" s="1">
        <v>38.200000000000003</v>
      </c>
      <c r="I108" s="1"/>
      <c r="J108" s="6"/>
      <c r="K108" s="1">
        <v>6.78</v>
      </c>
      <c r="L108" s="1"/>
      <c r="M108" s="57">
        <f t="shared" si="2"/>
        <v>111.88000000000001</v>
      </c>
    </row>
    <row r="109" spans="1:13" ht="15" customHeight="1">
      <c r="A109" s="1"/>
      <c r="B109" s="1"/>
      <c r="C109" s="1">
        <v>2</v>
      </c>
      <c r="D109" s="1" t="s">
        <v>95</v>
      </c>
      <c r="E109" s="1">
        <v>79.2</v>
      </c>
      <c r="F109" s="1"/>
      <c r="G109" s="6"/>
      <c r="H109" s="1">
        <v>26.6</v>
      </c>
      <c r="I109" s="1"/>
      <c r="J109" s="6"/>
      <c r="K109" s="1">
        <v>1.6</v>
      </c>
      <c r="L109" s="1"/>
      <c r="M109" s="57">
        <f t="shared" si="2"/>
        <v>107.4</v>
      </c>
    </row>
    <row r="110" spans="1:13" ht="15" customHeight="1">
      <c r="A110" s="1"/>
      <c r="B110" s="1"/>
      <c r="C110" s="1">
        <v>2</v>
      </c>
      <c r="D110" s="1" t="s">
        <v>96</v>
      </c>
      <c r="E110" s="1">
        <v>76.8</v>
      </c>
      <c r="F110" s="1"/>
      <c r="G110" s="6"/>
      <c r="H110" s="1">
        <v>11.24</v>
      </c>
      <c r="I110" s="1"/>
      <c r="J110" s="6"/>
      <c r="K110" s="1">
        <v>2.48</v>
      </c>
      <c r="L110" s="1"/>
      <c r="M110" s="57">
        <f t="shared" si="2"/>
        <v>90.52</v>
      </c>
    </row>
    <row r="111" spans="1:13" ht="15" customHeight="1">
      <c r="A111" s="1"/>
      <c r="B111" s="1"/>
      <c r="C111" s="1">
        <v>2</v>
      </c>
      <c r="D111" s="1" t="s">
        <v>39</v>
      </c>
      <c r="E111" s="1">
        <v>53.4</v>
      </c>
      <c r="F111" s="1"/>
      <c r="G111" s="6"/>
      <c r="H111" s="1">
        <v>11.2</v>
      </c>
      <c r="I111" s="1"/>
      <c r="J111" s="6"/>
      <c r="K111" s="1">
        <v>2.2400000000000002</v>
      </c>
      <c r="L111" s="1"/>
      <c r="M111" s="57">
        <f t="shared" si="2"/>
        <v>66.839999999999989</v>
      </c>
    </row>
    <row r="112" spans="1:13" ht="15" customHeight="1">
      <c r="A112" s="1"/>
      <c r="B112" s="1"/>
      <c r="C112" s="1">
        <v>2</v>
      </c>
      <c r="D112" s="1" t="s">
        <v>97</v>
      </c>
      <c r="E112" s="1">
        <v>69.3</v>
      </c>
      <c r="F112" s="1">
        <f>AVERAGE(E108:E112)</f>
        <v>69.12</v>
      </c>
      <c r="G112" s="6"/>
      <c r="H112" s="1">
        <v>14.8</v>
      </c>
      <c r="I112" s="1">
        <f>AVERAGE(H108:H112)</f>
        <v>20.408000000000001</v>
      </c>
      <c r="J112" s="6"/>
      <c r="K112" s="1">
        <v>1.27</v>
      </c>
      <c r="L112" s="1">
        <f>AVERAGE(K108:K112)</f>
        <v>2.8740000000000001</v>
      </c>
      <c r="M112" s="57">
        <f t="shared" si="2"/>
        <v>85.36999999999999</v>
      </c>
    </row>
    <row r="113" spans="1:13" ht="15" customHeight="1">
      <c r="A113" s="1"/>
      <c r="B113" s="1"/>
      <c r="C113" s="1">
        <v>3</v>
      </c>
      <c r="D113" s="1" t="s">
        <v>94</v>
      </c>
      <c r="E113" s="1">
        <v>55</v>
      </c>
      <c r="F113" s="1"/>
      <c r="G113" s="6"/>
      <c r="H113" s="1">
        <v>16.399999999999999</v>
      </c>
      <c r="I113" s="1"/>
      <c r="J113" s="6"/>
      <c r="K113" s="1">
        <v>3.48</v>
      </c>
      <c r="L113" s="1"/>
      <c r="M113" s="57">
        <f t="shared" si="2"/>
        <v>74.88000000000001</v>
      </c>
    </row>
    <row r="114" spans="1:13" ht="15" customHeight="1">
      <c r="A114" s="1"/>
      <c r="B114" s="1"/>
      <c r="C114" s="1">
        <v>3</v>
      </c>
      <c r="D114" s="1" t="s">
        <v>95</v>
      </c>
      <c r="E114" s="1">
        <v>55.3</v>
      </c>
      <c r="F114" s="1"/>
      <c r="G114" s="6"/>
      <c r="H114" s="1">
        <v>34.58</v>
      </c>
      <c r="I114" s="1"/>
      <c r="J114" s="6"/>
      <c r="K114" s="1">
        <v>2.4900000000000002</v>
      </c>
      <c r="L114" s="1"/>
      <c r="M114" s="57">
        <f t="shared" si="2"/>
        <v>92.36999999999999</v>
      </c>
    </row>
    <row r="115" spans="1:13" ht="15" customHeight="1">
      <c r="A115" s="1"/>
      <c r="B115" s="1"/>
      <c r="C115" s="1">
        <v>3</v>
      </c>
      <c r="D115" s="1" t="s">
        <v>96</v>
      </c>
      <c r="E115" s="1">
        <v>59.5</v>
      </c>
      <c r="F115" s="1"/>
      <c r="G115" s="6"/>
      <c r="H115" s="1">
        <v>12.12</v>
      </c>
      <c r="I115" s="1"/>
      <c r="J115" s="6"/>
      <c r="K115" s="1">
        <v>1.44</v>
      </c>
      <c r="L115" s="1"/>
      <c r="M115" s="57">
        <f t="shared" si="2"/>
        <v>73.06</v>
      </c>
    </row>
    <row r="116" spans="1:13" ht="15" customHeight="1">
      <c r="A116" s="1"/>
      <c r="B116" s="1"/>
      <c r="C116" s="1">
        <v>3</v>
      </c>
      <c r="D116" s="1" t="s">
        <v>39</v>
      </c>
      <c r="E116" s="1">
        <v>58.8</v>
      </c>
      <c r="F116" s="1"/>
      <c r="G116" s="6"/>
      <c r="H116" s="13">
        <v>8.75</v>
      </c>
      <c r="I116" s="1"/>
      <c r="J116" s="6"/>
      <c r="K116" s="1">
        <v>1.1599999999999999</v>
      </c>
      <c r="L116" s="1"/>
      <c r="M116" s="57">
        <f t="shared" si="2"/>
        <v>68.709999999999994</v>
      </c>
    </row>
    <row r="117" spans="1:13" ht="15" customHeight="1">
      <c r="A117" s="1"/>
      <c r="B117" s="1"/>
      <c r="C117" s="1">
        <v>3</v>
      </c>
      <c r="D117" s="1" t="s">
        <v>97</v>
      </c>
      <c r="E117" s="1">
        <v>65.099999999999994</v>
      </c>
      <c r="F117" s="1">
        <f>AVERAGE(E113:E117)</f>
        <v>58.740000000000009</v>
      </c>
      <c r="G117" s="6"/>
      <c r="H117" s="1">
        <v>6.9</v>
      </c>
      <c r="I117" s="1">
        <f>AVERAGE(H113:H117)</f>
        <v>15.75</v>
      </c>
      <c r="J117" s="6"/>
      <c r="K117" s="1">
        <v>2.4300000000000002</v>
      </c>
      <c r="L117" s="1">
        <f>AVERAGE(K113:K117)</f>
        <v>2.2000000000000002</v>
      </c>
      <c r="M117" s="57">
        <f t="shared" si="2"/>
        <v>74.430000000000007</v>
      </c>
    </row>
    <row r="118" spans="1:13" ht="15" customHeight="1">
      <c r="A118" s="1"/>
      <c r="B118" s="1"/>
      <c r="C118" s="1">
        <v>4</v>
      </c>
      <c r="D118" s="1" t="s">
        <v>94</v>
      </c>
      <c r="E118" s="1">
        <v>93.5</v>
      </c>
      <c r="F118" s="1"/>
      <c r="G118" s="6"/>
      <c r="H118" s="1">
        <v>19.149999999999999</v>
      </c>
      <c r="I118" s="1"/>
      <c r="J118" s="6"/>
      <c r="K118" s="1">
        <v>1.35</v>
      </c>
      <c r="L118" s="1"/>
      <c r="M118" s="57">
        <f t="shared" si="2"/>
        <v>114</v>
      </c>
    </row>
    <row r="119" spans="1:13" ht="15" customHeight="1">
      <c r="A119" s="1"/>
      <c r="B119" s="1"/>
      <c r="C119" s="1">
        <v>4</v>
      </c>
      <c r="D119" s="1" t="s">
        <v>95</v>
      </c>
      <c r="E119" s="1">
        <v>40.4</v>
      </c>
      <c r="F119" s="1"/>
      <c r="G119" s="6"/>
      <c r="H119" s="1">
        <v>23.67</v>
      </c>
      <c r="I119" s="1"/>
      <c r="J119" s="6"/>
      <c r="K119" s="1">
        <v>0.67</v>
      </c>
      <c r="L119" s="1"/>
      <c r="M119" s="57">
        <f t="shared" si="2"/>
        <v>64.739999999999995</v>
      </c>
    </row>
    <row r="120" spans="1:13" ht="15" customHeight="1">
      <c r="A120" s="1"/>
      <c r="B120" s="1"/>
      <c r="C120" s="1">
        <v>4</v>
      </c>
      <c r="D120" s="1" t="s">
        <v>96</v>
      </c>
      <c r="E120" s="1">
        <v>72.790000000000006</v>
      </c>
      <c r="F120" s="1"/>
      <c r="G120" s="6"/>
      <c r="H120" s="1">
        <v>9.5</v>
      </c>
      <c r="I120" s="1"/>
      <c r="J120" s="6"/>
      <c r="K120" s="1">
        <v>1.76</v>
      </c>
      <c r="L120" s="1"/>
      <c r="M120" s="57">
        <f t="shared" si="2"/>
        <v>84.050000000000011</v>
      </c>
    </row>
    <row r="121" spans="1:13" ht="15" customHeight="1">
      <c r="A121" s="1"/>
      <c r="B121" s="1"/>
      <c r="C121" s="1">
        <v>4</v>
      </c>
      <c r="D121" s="1" t="s">
        <v>39</v>
      </c>
      <c r="E121" s="1">
        <v>67.599999999999994</v>
      </c>
      <c r="F121" s="1"/>
      <c r="G121" s="6"/>
      <c r="H121" s="1">
        <v>3.2</v>
      </c>
      <c r="I121" s="1"/>
      <c r="J121" s="6"/>
      <c r="K121" s="1">
        <v>2.23</v>
      </c>
      <c r="L121" s="1"/>
      <c r="M121" s="57">
        <f t="shared" si="2"/>
        <v>73.03</v>
      </c>
    </row>
    <row r="122" spans="1:13" ht="15" customHeight="1">
      <c r="A122" s="1"/>
      <c r="B122" s="1"/>
      <c r="C122" s="1">
        <v>4</v>
      </c>
      <c r="D122" s="1" t="s">
        <v>97</v>
      </c>
      <c r="E122" s="1">
        <v>63.8</v>
      </c>
      <c r="F122" s="1">
        <f>AVERAGE(E118:E122)</f>
        <v>67.617999999999995</v>
      </c>
      <c r="G122" s="6"/>
      <c r="H122" s="1">
        <v>22.9</v>
      </c>
      <c r="I122" s="1">
        <f>AVERAGE(H118:H122)</f>
        <v>15.684000000000001</v>
      </c>
      <c r="J122" s="6"/>
      <c r="K122" s="1">
        <v>1.74</v>
      </c>
      <c r="L122" s="1">
        <f>AVERAGE(K118:K122)</f>
        <v>1.55</v>
      </c>
      <c r="M122" s="57">
        <f t="shared" si="2"/>
        <v>88.439999999999984</v>
      </c>
    </row>
    <row r="123" spans="1:13" ht="15" customHeight="1">
      <c r="A123" s="1" t="s">
        <v>37</v>
      </c>
      <c r="B123" s="1" t="s">
        <v>102</v>
      </c>
      <c r="C123" s="1">
        <v>1</v>
      </c>
      <c r="D123" s="1" t="s">
        <v>94</v>
      </c>
      <c r="E123" s="1">
        <v>77.7</v>
      </c>
      <c r="F123" s="1"/>
      <c r="G123" s="6"/>
      <c r="H123" s="1">
        <v>16.11</v>
      </c>
      <c r="I123" s="1"/>
      <c r="J123" s="6"/>
      <c r="K123" s="1">
        <v>4.8099999999999996</v>
      </c>
      <c r="L123" s="1"/>
      <c r="M123" s="57">
        <f t="shared" si="2"/>
        <v>98.62</v>
      </c>
    </row>
    <row r="124" spans="1:13" ht="15" customHeight="1">
      <c r="A124" s="1"/>
      <c r="B124" s="1"/>
      <c r="C124" s="1">
        <v>1</v>
      </c>
      <c r="D124" s="1" t="s">
        <v>95</v>
      </c>
      <c r="E124" s="1">
        <v>86.2</v>
      </c>
      <c r="F124" s="1"/>
      <c r="G124" s="6"/>
      <c r="H124" s="1">
        <v>5.63</v>
      </c>
      <c r="I124" s="1"/>
      <c r="J124" s="6"/>
      <c r="K124" s="1">
        <v>3.27</v>
      </c>
      <c r="L124" s="1"/>
      <c r="M124" s="57">
        <f t="shared" si="2"/>
        <v>95.1</v>
      </c>
    </row>
    <row r="125" spans="1:13" ht="15" customHeight="1">
      <c r="A125" s="1"/>
      <c r="B125" s="1"/>
      <c r="C125" s="1">
        <v>1</v>
      </c>
      <c r="D125" s="1" t="s">
        <v>96</v>
      </c>
      <c r="E125" s="1">
        <v>83</v>
      </c>
      <c r="F125" s="1"/>
      <c r="G125" s="6"/>
      <c r="H125" s="1">
        <v>19.46</v>
      </c>
      <c r="I125" s="1"/>
      <c r="J125" s="6"/>
      <c r="K125" s="1">
        <v>4.08</v>
      </c>
      <c r="L125" s="1"/>
      <c r="M125" s="57">
        <f t="shared" si="2"/>
        <v>106.54</v>
      </c>
    </row>
    <row r="126" spans="1:13" ht="15" customHeight="1">
      <c r="A126" s="1"/>
      <c r="B126" s="1"/>
      <c r="C126" s="1">
        <v>1</v>
      </c>
      <c r="D126" s="1" t="s">
        <v>39</v>
      </c>
      <c r="E126" s="1">
        <v>81.8</v>
      </c>
      <c r="F126" s="1"/>
      <c r="G126" s="6"/>
      <c r="H126" s="1">
        <v>13</v>
      </c>
      <c r="I126" s="1"/>
      <c r="J126" s="6"/>
      <c r="K126" s="1">
        <v>2.67</v>
      </c>
      <c r="L126" s="1"/>
      <c r="M126" s="57">
        <f t="shared" si="2"/>
        <v>97.47</v>
      </c>
    </row>
    <row r="127" spans="1:13" ht="15" customHeight="1">
      <c r="A127" s="1"/>
      <c r="B127" s="1"/>
      <c r="C127" s="1">
        <v>1</v>
      </c>
      <c r="D127" s="1" t="s">
        <v>97</v>
      </c>
      <c r="E127" s="1">
        <v>64</v>
      </c>
      <c r="F127" s="1">
        <f>AVERAGE(E123:E127)</f>
        <v>78.539999999999992</v>
      </c>
      <c r="G127" s="6"/>
      <c r="H127" s="1">
        <v>9.93</v>
      </c>
      <c r="I127" s="1">
        <f>AVERAGE(H123:H127)</f>
        <v>12.825999999999999</v>
      </c>
      <c r="J127" s="6"/>
      <c r="K127" s="1">
        <v>3.14</v>
      </c>
      <c r="L127" s="1">
        <f>AVERAGE(K123:K127)</f>
        <v>3.5939999999999999</v>
      </c>
      <c r="M127" s="57">
        <f t="shared" si="2"/>
        <v>77.070000000000007</v>
      </c>
    </row>
    <row r="128" spans="1:13" ht="15" customHeight="1">
      <c r="A128" s="1"/>
      <c r="B128" s="1"/>
      <c r="C128" s="1">
        <v>2</v>
      </c>
      <c r="D128" s="1" t="s">
        <v>94</v>
      </c>
      <c r="E128" s="1">
        <v>58.9</v>
      </c>
      <c r="F128" s="1"/>
      <c r="G128" s="6"/>
      <c r="H128" s="1">
        <v>9.5</v>
      </c>
      <c r="I128" s="1"/>
      <c r="J128" s="6"/>
      <c r="K128" s="1">
        <v>4.53</v>
      </c>
      <c r="L128" s="1"/>
      <c r="M128" s="57">
        <f t="shared" si="2"/>
        <v>72.930000000000007</v>
      </c>
    </row>
    <row r="129" spans="1:13" ht="15" customHeight="1">
      <c r="A129" s="1"/>
      <c r="B129" s="1"/>
      <c r="C129" s="1">
        <v>2</v>
      </c>
      <c r="D129" s="1" t="s">
        <v>95</v>
      </c>
      <c r="E129" s="1">
        <v>70.599999999999994</v>
      </c>
      <c r="F129" s="1"/>
      <c r="G129" s="6"/>
      <c r="H129" s="1">
        <v>8.3000000000000007</v>
      </c>
      <c r="I129" s="1"/>
      <c r="J129" s="6"/>
      <c r="K129" s="1">
        <v>4.08</v>
      </c>
      <c r="L129" s="1"/>
      <c r="M129" s="57">
        <f t="shared" si="2"/>
        <v>82.97999999999999</v>
      </c>
    </row>
    <row r="130" spans="1:13" ht="15" customHeight="1">
      <c r="A130" s="1"/>
      <c r="B130" s="1"/>
      <c r="C130" s="1">
        <v>2</v>
      </c>
      <c r="D130" s="1" t="s">
        <v>96</v>
      </c>
      <c r="E130" s="1">
        <v>77.900000000000006</v>
      </c>
      <c r="F130" s="1"/>
      <c r="G130" s="6"/>
      <c r="H130" s="1">
        <v>11.5</v>
      </c>
      <c r="I130" s="1"/>
      <c r="J130" s="6"/>
      <c r="K130" s="1">
        <v>3.57</v>
      </c>
      <c r="L130" s="1"/>
      <c r="M130" s="57">
        <f t="shared" si="2"/>
        <v>92.97</v>
      </c>
    </row>
    <row r="131" spans="1:13" ht="15" customHeight="1">
      <c r="A131" s="1"/>
      <c r="B131" s="1"/>
      <c r="C131" s="1">
        <v>2</v>
      </c>
      <c r="D131" s="1" t="s">
        <v>39</v>
      </c>
      <c r="E131" s="1">
        <v>65</v>
      </c>
      <c r="F131" s="1"/>
      <c r="G131" s="6"/>
      <c r="H131" s="1">
        <v>20.37</v>
      </c>
      <c r="I131" s="1"/>
      <c r="J131" s="6"/>
      <c r="K131" s="1">
        <v>2.62</v>
      </c>
      <c r="L131" s="1"/>
      <c r="M131" s="57">
        <f t="shared" si="2"/>
        <v>87.990000000000009</v>
      </c>
    </row>
    <row r="132" spans="1:13" ht="15" customHeight="1">
      <c r="A132" s="1"/>
      <c r="B132" s="1"/>
      <c r="C132" s="1">
        <v>2</v>
      </c>
      <c r="D132" s="1" t="s">
        <v>97</v>
      </c>
      <c r="E132" s="1">
        <v>71</v>
      </c>
      <c r="F132" s="1">
        <f>AVERAGE(E128:E132)</f>
        <v>68.679999999999993</v>
      </c>
      <c r="G132" s="6"/>
      <c r="H132" s="1">
        <v>14.16</v>
      </c>
      <c r="I132" s="1">
        <f>AVERAGE(H128:H132)</f>
        <v>12.766</v>
      </c>
      <c r="J132" s="6"/>
      <c r="K132" s="1">
        <v>2.92</v>
      </c>
      <c r="L132" s="1">
        <f>AVERAGE(K128:K132)</f>
        <v>3.5439999999999996</v>
      </c>
      <c r="M132" s="57">
        <f t="shared" si="2"/>
        <v>88.08</v>
      </c>
    </row>
    <row r="133" spans="1:13" ht="15" customHeight="1">
      <c r="A133" s="1"/>
      <c r="B133" s="1"/>
      <c r="C133" s="1">
        <v>3</v>
      </c>
      <c r="D133" s="1" t="s">
        <v>94</v>
      </c>
      <c r="E133" s="1">
        <v>85.1</v>
      </c>
      <c r="F133" s="1"/>
      <c r="G133" s="6"/>
      <c r="H133" s="1">
        <v>8.75</v>
      </c>
      <c r="I133" s="1"/>
      <c r="J133" s="6"/>
      <c r="K133" s="1">
        <v>1.47</v>
      </c>
      <c r="L133" s="1"/>
      <c r="M133" s="57">
        <f t="shared" si="2"/>
        <v>95.32</v>
      </c>
    </row>
    <row r="134" spans="1:13" ht="15" customHeight="1">
      <c r="A134" s="1"/>
      <c r="B134" s="1"/>
      <c r="C134" s="1">
        <v>3</v>
      </c>
      <c r="D134" s="1" t="s">
        <v>95</v>
      </c>
      <c r="E134" s="1">
        <v>65</v>
      </c>
      <c r="F134" s="1"/>
      <c r="G134" s="6"/>
      <c r="H134" s="1">
        <v>21.02</v>
      </c>
      <c r="I134" s="1"/>
      <c r="J134" s="6"/>
      <c r="K134" s="1">
        <v>4.37</v>
      </c>
      <c r="L134" s="1"/>
      <c r="M134" s="57">
        <f t="shared" si="2"/>
        <v>90.39</v>
      </c>
    </row>
    <row r="135" spans="1:13" ht="15" customHeight="1">
      <c r="A135" s="1"/>
      <c r="B135" s="1"/>
      <c r="C135" s="1">
        <v>3</v>
      </c>
      <c r="D135" s="1" t="s">
        <v>96</v>
      </c>
      <c r="E135" s="1">
        <v>77.8</v>
      </c>
      <c r="F135" s="1"/>
      <c r="G135" s="6"/>
      <c r="H135" s="1">
        <v>7.53</v>
      </c>
      <c r="I135" s="1"/>
      <c r="J135" s="6"/>
      <c r="K135" s="1">
        <v>2.5299999999999998</v>
      </c>
      <c r="L135" s="1"/>
      <c r="M135" s="57">
        <f t="shared" si="2"/>
        <v>87.86</v>
      </c>
    </row>
    <row r="136" spans="1:13" ht="15" customHeight="1">
      <c r="A136" s="1"/>
      <c r="B136" s="1"/>
      <c r="C136" s="1">
        <v>3</v>
      </c>
      <c r="D136" s="1" t="s">
        <v>39</v>
      </c>
      <c r="E136" s="1">
        <v>66.900000000000006</v>
      </c>
      <c r="F136" s="1"/>
      <c r="G136" s="6"/>
      <c r="H136" s="1">
        <v>9.49</v>
      </c>
      <c r="I136" s="1"/>
      <c r="J136" s="6"/>
      <c r="K136" s="1">
        <v>2.0299999999999998</v>
      </c>
      <c r="L136" s="1"/>
      <c r="M136" s="57">
        <f t="shared" si="2"/>
        <v>78.42</v>
      </c>
    </row>
    <row r="137" spans="1:13" ht="15" customHeight="1">
      <c r="A137" s="1"/>
      <c r="B137" s="1"/>
      <c r="C137" s="1">
        <v>3</v>
      </c>
      <c r="D137" s="1" t="s">
        <v>97</v>
      </c>
      <c r="E137" s="1">
        <v>64.2</v>
      </c>
      <c r="F137" s="1">
        <f>AVERAGE(E133:E137)</f>
        <v>71.799999999999983</v>
      </c>
      <c r="G137" s="6"/>
      <c r="H137" s="1">
        <v>12.7</v>
      </c>
      <c r="I137" s="1">
        <f>AVERAGE(H133:H137)</f>
        <v>11.898</v>
      </c>
      <c r="J137" s="6"/>
      <c r="K137" s="1">
        <v>3.83</v>
      </c>
      <c r="L137" s="1">
        <f>AVERAGE(K133:K137)</f>
        <v>2.8459999999999996</v>
      </c>
      <c r="M137" s="57">
        <f t="shared" si="2"/>
        <v>80.73</v>
      </c>
    </row>
    <row r="138" spans="1:13" ht="15" customHeight="1">
      <c r="A138" s="1"/>
      <c r="B138" s="1"/>
      <c r="C138" s="1">
        <v>4</v>
      </c>
      <c r="D138" s="1" t="s">
        <v>94</v>
      </c>
      <c r="E138" s="1">
        <v>77.400000000000006</v>
      </c>
      <c r="F138" s="1"/>
      <c r="G138" s="6"/>
      <c r="H138" s="1">
        <v>10.41</v>
      </c>
      <c r="I138" s="1"/>
      <c r="J138" s="6"/>
      <c r="K138" s="1">
        <v>2.4</v>
      </c>
      <c r="L138" s="1"/>
      <c r="M138" s="57">
        <f t="shared" si="2"/>
        <v>90.210000000000008</v>
      </c>
    </row>
    <row r="139" spans="1:13" ht="15" customHeight="1">
      <c r="A139" s="1"/>
      <c r="B139" s="1"/>
      <c r="C139" s="1">
        <v>4</v>
      </c>
      <c r="D139" s="1" t="s">
        <v>95</v>
      </c>
      <c r="E139" s="1">
        <v>69.599999999999994</v>
      </c>
      <c r="F139" s="1"/>
      <c r="G139" s="6"/>
      <c r="H139" s="1">
        <v>7.52</v>
      </c>
      <c r="I139" s="1"/>
      <c r="J139" s="6"/>
      <c r="K139" s="1">
        <v>3.08</v>
      </c>
      <c r="L139" s="1"/>
      <c r="M139" s="57">
        <f t="shared" si="2"/>
        <v>80.199999999999989</v>
      </c>
    </row>
    <row r="140" spans="1:13" ht="15" customHeight="1">
      <c r="A140" s="1"/>
      <c r="B140" s="1"/>
      <c r="C140" s="1">
        <v>4</v>
      </c>
      <c r="D140" s="1" t="s">
        <v>96</v>
      </c>
      <c r="E140" s="1">
        <v>76</v>
      </c>
      <c r="F140" s="1"/>
      <c r="G140" s="6"/>
      <c r="H140" s="1">
        <v>9.4</v>
      </c>
      <c r="I140" s="1"/>
      <c r="J140" s="6"/>
      <c r="K140" s="1">
        <v>2.21</v>
      </c>
      <c r="L140" s="1"/>
      <c r="M140" s="57">
        <f t="shared" si="2"/>
        <v>87.61</v>
      </c>
    </row>
    <row r="141" spans="1:13" ht="15" customHeight="1">
      <c r="A141" s="1"/>
      <c r="B141" s="1"/>
      <c r="C141" s="1">
        <v>4</v>
      </c>
      <c r="D141" s="1" t="s">
        <v>39</v>
      </c>
      <c r="E141" s="1">
        <v>66.400000000000006</v>
      </c>
      <c r="F141" s="1"/>
      <c r="G141" s="6"/>
      <c r="H141" s="1">
        <v>15.98</v>
      </c>
      <c r="I141" s="1"/>
      <c r="J141" s="6"/>
      <c r="K141" s="1">
        <v>4.8099999999999996</v>
      </c>
      <c r="L141" s="1"/>
      <c r="M141" s="57">
        <f t="shared" si="2"/>
        <v>87.190000000000012</v>
      </c>
    </row>
    <row r="142" spans="1:13" ht="15" customHeight="1">
      <c r="A142" s="1"/>
      <c r="B142" s="1"/>
      <c r="C142" s="1">
        <v>4</v>
      </c>
      <c r="D142" s="1" t="s">
        <v>97</v>
      </c>
      <c r="E142" s="1">
        <v>94.3</v>
      </c>
      <c r="F142" s="1">
        <f>AVERAGE(E138:E142)</f>
        <v>76.739999999999995</v>
      </c>
      <c r="G142" s="6"/>
      <c r="H142" s="1">
        <v>16.93</v>
      </c>
      <c r="I142" s="1">
        <f>AVERAGE(H138:H142)</f>
        <v>12.048</v>
      </c>
      <c r="J142" s="6"/>
      <c r="K142" s="1">
        <v>3.61</v>
      </c>
      <c r="L142" s="1">
        <f>AVERAGE(K138:K142)</f>
        <v>3.222</v>
      </c>
      <c r="M142" s="57">
        <f t="shared" si="2"/>
        <v>114.83999999999999</v>
      </c>
    </row>
    <row r="143" spans="1:13" ht="15" customHeight="1">
      <c r="A143" s="1" t="s">
        <v>103</v>
      </c>
      <c r="B143" s="1" t="s">
        <v>106</v>
      </c>
      <c r="C143" s="1">
        <v>1</v>
      </c>
      <c r="D143" s="1" t="s">
        <v>94</v>
      </c>
      <c r="E143" s="1">
        <v>64.55</v>
      </c>
      <c r="F143" s="1"/>
      <c r="G143" s="6"/>
      <c r="H143" s="8">
        <f>AVERAGE(H144:H147)</f>
        <v>9.4749999999999996</v>
      </c>
      <c r="I143" s="1"/>
      <c r="J143" s="6"/>
      <c r="K143" s="1">
        <v>3.75</v>
      </c>
      <c r="L143" s="1"/>
      <c r="M143" s="57">
        <f t="shared" si="2"/>
        <v>77.774999999999991</v>
      </c>
    </row>
    <row r="144" spans="1:13" ht="15" customHeight="1">
      <c r="A144" s="1"/>
      <c r="B144" s="1"/>
      <c r="C144" s="1">
        <v>1</v>
      </c>
      <c r="D144" s="1" t="s">
        <v>107</v>
      </c>
      <c r="E144" s="1">
        <v>70.17</v>
      </c>
      <c r="F144" s="1"/>
      <c r="G144" s="6"/>
      <c r="H144" s="1">
        <v>4.2</v>
      </c>
      <c r="I144" s="1"/>
      <c r="J144" s="6"/>
      <c r="K144" s="1">
        <v>6.12</v>
      </c>
      <c r="L144" s="1"/>
      <c r="M144" s="57">
        <f t="shared" si="2"/>
        <v>80.490000000000009</v>
      </c>
    </row>
    <row r="145" spans="1:13" ht="15" customHeight="1">
      <c r="A145" s="1"/>
      <c r="B145" s="1"/>
      <c r="C145" s="1">
        <v>1</v>
      </c>
      <c r="D145" s="1" t="s">
        <v>108</v>
      </c>
      <c r="E145" s="1">
        <v>83.8</v>
      </c>
      <c r="F145" s="1"/>
      <c r="G145" s="6"/>
      <c r="H145" s="1">
        <v>9.4</v>
      </c>
      <c r="I145" s="1"/>
      <c r="J145" s="6"/>
      <c r="K145" s="1">
        <v>11.37</v>
      </c>
      <c r="L145" s="1"/>
      <c r="M145" s="57">
        <f t="shared" si="2"/>
        <v>104.57000000000001</v>
      </c>
    </row>
    <row r="146" spans="1:13" ht="15" customHeight="1">
      <c r="A146" s="1"/>
      <c r="B146" s="1"/>
      <c r="C146" s="1">
        <v>1</v>
      </c>
      <c r="D146" s="1" t="s">
        <v>96</v>
      </c>
      <c r="E146" s="35">
        <v>106.4</v>
      </c>
      <c r="F146" s="1"/>
      <c r="G146" s="6"/>
      <c r="H146" s="1">
        <v>21.9</v>
      </c>
      <c r="I146" s="1"/>
      <c r="J146" s="6"/>
      <c r="K146" s="1">
        <v>10.57</v>
      </c>
      <c r="L146" s="1"/>
      <c r="M146" s="57">
        <f t="shared" si="2"/>
        <v>138.87</v>
      </c>
    </row>
    <row r="147" spans="1:13" ht="15" customHeight="1">
      <c r="A147" s="1"/>
      <c r="B147" s="1"/>
      <c r="C147" s="1">
        <v>1</v>
      </c>
      <c r="D147" s="1" t="s">
        <v>39</v>
      </c>
      <c r="E147" s="1">
        <v>75.75</v>
      </c>
      <c r="F147" s="1">
        <f>AVERAGE(E143:E147)</f>
        <v>80.133999999999986</v>
      </c>
      <c r="G147" s="6"/>
      <c r="H147" s="1">
        <v>2.4</v>
      </c>
      <c r="I147" s="1">
        <f>AVERAGE(H143:H147)</f>
        <v>9.4749999999999996</v>
      </c>
      <c r="J147" s="6"/>
      <c r="K147" s="8">
        <f>AVERAGE(K143:K146)</f>
        <v>7.9525000000000006</v>
      </c>
      <c r="L147" s="1">
        <f>AVERAGE(K143:K147)</f>
        <v>7.9525000000000006</v>
      </c>
      <c r="M147" s="57">
        <f t="shared" si="2"/>
        <v>86.102500000000006</v>
      </c>
    </row>
    <row r="148" spans="1:13" ht="15" customHeight="1">
      <c r="A148" s="1"/>
      <c r="B148" s="1"/>
      <c r="C148" s="1">
        <v>2</v>
      </c>
      <c r="D148" s="1" t="s">
        <v>94</v>
      </c>
      <c r="E148" s="8">
        <f>AVERAGE(E149:E152)</f>
        <v>70.3</v>
      </c>
      <c r="F148" s="1"/>
      <c r="G148" s="6"/>
      <c r="H148" s="1">
        <v>5</v>
      </c>
      <c r="I148" s="1"/>
      <c r="J148" s="6"/>
      <c r="K148" s="1">
        <v>2.7</v>
      </c>
      <c r="L148" s="1"/>
      <c r="M148" s="57">
        <f t="shared" si="2"/>
        <v>78</v>
      </c>
    </row>
    <row r="149" spans="1:13" ht="15" customHeight="1">
      <c r="A149" s="1"/>
      <c r="B149" s="1"/>
      <c r="C149" s="1">
        <v>2</v>
      </c>
      <c r="D149" s="1" t="s">
        <v>107</v>
      </c>
      <c r="E149" s="1">
        <v>70.7</v>
      </c>
      <c r="F149" s="1"/>
      <c r="G149" s="6"/>
      <c r="H149" s="1">
        <v>7.8</v>
      </c>
      <c r="I149" s="1"/>
      <c r="J149" s="6"/>
      <c r="K149" s="1">
        <v>2.5</v>
      </c>
      <c r="L149" s="1"/>
      <c r="M149" s="57">
        <f t="shared" si="2"/>
        <v>81</v>
      </c>
    </row>
    <row r="150" spans="1:13" ht="15" customHeight="1">
      <c r="A150" s="1"/>
      <c r="B150" s="1"/>
      <c r="C150" s="1">
        <v>2</v>
      </c>
      <c r="D150" s="1" t="s">
        <v>108</v>
      </c>
      <c r="E150" s="1">
        <v>71.599999999999994</v>
      </c>
      <c r="F150" s="1"/>
      <c r="G150" s="6"/>
      <c r="H150" s="1">
        <v>2.7</v>
      </c>
      <c r="I150" s="1"/>
      <c r="J150" s="6"/>
      <c r="K150" s="8">
        <f>AVERAGE(K148:K149,K151)</f>
        <v>2.97</v>
      </c>
      <c r="L150" s="1"/>
      <c r="M150" s="57">
        <f t="shared" si="2"/>
        <v>77.27</v>
      </c>
    </row>
    <row r="151" spans="1:13" ht="15" customHeight="1">
      <c r="A151" s="1"/>
      <c r="B151" s="1"/>
      <c r="C151" s="1">
        <v>2</v>
      </c>
      <c r="D151" s="1" t="s">
        <v>96</v>
      </c>
      <c r="E151" s="1">
        <v>64.2</v>
      </c>
      <c r="F151" s="1"/>
      <c r="G151" s="6"/>
      <c r="H151" s="1">
        <v>2.2000000000000002</v>
      </c>
      <c r="I151" s="1"/>
      <c r="J151" s="6"/>
      <c r="K151" s="1">
        <v>3.71</v>
      </c>
      <c r="L151" s="1"/>
      <c r="M151" s="57">
        <f t="shared" si="2"/>
        <v>70.11</v>
      </c>
    </row>
    <row r="152" spans="1:13" ht="15" customHeight="1">
      <c r="A152" s="1"/>
      <c r="B152" s="1"/>
      <c r="C152" s="1">
        <v>2</v>
      </c>
      <c r="D152" s="1" t="s">
        <v>39</v>
      </c>
      <c r="E152" s="1">
        <v>74.7</v>
      </c>
      <c r="F152" s="1">
        <f>AVERAGE(E148:E152)</f>
        <v>70.3</v>
      </c>
      <c r="G152" s="6"/>
      <c r="H152" s="1">
        <v>4.5</v>
      </c>
      <c r="I152" s="1">
        <f>AVERAGE(H148:H152)</f>
        <v>4.4399999999999995</v>
      </c>
      <c r="J152" s="6"/>
      <c r="K152" s="8">
        <f>AVERAGE(K148:K149,K151)</f>
        <v>2.97</v>
      </c>
      <c r="L152" s="1">
        <f>AVERAGE(K148:K152)</f>
        <v>2.9699999999999998</v>
      </c>
      <c r="M152" s="57">
        <f t="shared" si="2"/>
        <v>82.17</v>
      </c>
    </row>
    <row r="153" spans="1:13" ht="15" customHeight="1">
      <c r="A153" s="1"/>
      <c r="B153" s="1"/>
      <c r="C153" s="1">
        <v>3</v>
      </c>
      <c r="D153" s="1" t="s">
        <v>94</v>
      </c>
      <c r="E153" s="8">
        <f>AVERAGE(E154,E156:E157)</f>
        <v>74.856666666666669</v>
      </c>
      <c r="F153" s="1"/>
      <c r="G153" s="6"/>
      <c r="H153" s="1">
        <v>4.9000000000000004</v>
      </c>
      <c r="I153" s="1"/>
      <c r="J153" s="6"/>
      <c r="K153" s="8">
        <f>AVERAGE(K154:K156)</f>
        <v>10.566666666666668</v>
      </c>
      <c r="L153" s="1"/>
      <c r="M153" s="57">
        <f t="shared" si="2"/>
        <v>90.323333333333338</v>
      </c>
    </row>
    <row r="154" spans="1:13" ht="15" customHeight="1">
      <c r="A154" s="1"/>
      <c r="B154" s="1"/>
      <c r="C154" s="1">
        <v>3</v>
      </c>
      <c r="D154" s="1" t="s">
        <v>107</v>
      </c>
      <c r="E154" s="1">
        <v>82.71</v>
      </c>
      <c r="F154" s="1"/>
      <c r="G154" s="6"/>
      <c r="H154" s="1">
        <v>3.1</v>
      </c>
      <c r="I154" s="1"/>
      <c r="J154" s="6"/>
      <c r="K154" s="1">
        <v>2.52</v>
      </c>
      <c r="L154" s="1"/>
      <c r="M154" s="57">
        <f t="shared" si="2"/>
        <v>88.329999999999984</v>
      </c>
    </row>
    <row r="155" spans="1:13" ht="15" customHeight="1">
      <c r="A155" s="1"/>
      <c r="B155" s="1"/>
      <c r="C155" s="1">
        <v>3</v>
      </c>
      <c r="D155" s="1" t="s">
        <v>108</v>
      </c>
      <c r="E155" s="8">
        <f>AVERAGE(E154,E156:E157)</f>
        <v>74.856666666666669</v>
      </c>
      <c r="F155" s="1"/>
      <c r="G155" s="6"/>
      <c r="H155" s="1">
        <v>5.4</v>
      </c>
      <c r="I155" s="1"/>
      <c r="J155" s="6"/>
      <c r="K155" s="1">
        <v>16.940000000000001</v>
      </c>
      <c r="L155" s="1"/>
      <c r="M155" s="57">
        <f t="shared" si="2"/>
        <v>97.196666666666673</v>
      </c>
    </row>
    <row r="156" spans="1:13" ht="15" customHeight="1">
      <c r="A156" s="1"/>
      <c r="B156" s="1"/>
      <c r="C156" s="1">
        <v>3</v>
      </c>
      <c r="D156" s="1" t="s">
        <v>96</v>
      </c>
      <c r="E156" s="1">
        <v>69.5</v>
      </c>
      <c r="F156" s="1"/>
      <c r="G156" s="6"/>
      <c r="H156" s="1">
        <v>5.2</v>
      </c>
      <c r="I156" s="1"/>
      <c r="J156" s="6"/>
      <c r="K156" s="1">
        <v>12.24</v>
      </c>
      <c r="L156" s="1"/>
      <c r="M156" s="57">
        <f t="shared" si="2"/>
        <v>86.94</v>
      </c>
    </row>
    <row r="157" spans="1:13" ht="15" customHeight="1">
      <c r="A157" s="1"/>
      <c r="B157" s="1"/>
      <c r="C157" s="1">
        <v>3</v>
      </c>
      <c r="D157" s="1" t="s">
        <v>39</v>
      </c>
      <c r="E157" s="1">
        <v>72.36</v>
      </c>
      <c r="F157" s="1">
        <f>AVERAGE(E153:E157)</f>
        <v>74.856666666666669</v>
      </c>
      <c r="G157" s="6"/>
      <c r="H157" s="1">
        <v>2</v>
      </c>
      <c r="I157" s="1">
        <f>AVERAGE(H153:H157)</f>
        <v>4.12</v>
      </c>
      <c r="J157" s="6"/>
      <c r="K157" s="8">
        <f>AVERAGE(K154:K156)</f>
        <v>10.566666666666668</v>
      </c>
      <c r="L157" s="1">
        <f>AVERAGE(K153:K157)</f>
        <v>10.566666666666668</v>
      </c>
      <c r="M157" s="57">
        <f t="shared" si="2"/>
        <v>84.926666666666662</v>
      </c>
    </row>
    <row r="158" spans="1:13" ht="15" customHeight="1">
      <c r="A158" s="1"/>
      <c r="B158" s="1"/>
      <c r="C158" s="1">
        <v>4</v>
      </c>
      <c r="D158" s="1" t="s">
        <v>94</v>
      </c>
      <c r="E158" s="1">
        <v>74.400000000000006</v>
      </c>
      <c r="F158" s="1"/>
      <c r="G158" s="6"/>
      <c r="H158" s="1">
        <v>1.6</v>
      </c>
      <c r="I158" s="1"/>
      <c r="J158" s="6"/>
      <c r="K158" s="1">
        <v>5.61</v>
      </c>
      <c r="L158" s="1"/>
      <c r="M158" s="57">
        <f t="shared" si="2"/>
        <v>81.61</v>
      </c>
    </row>
    <row r="159" spans="1:13" ht="15" customHeight="1">
      <c r="A159" s="1"/>
      <c r="B159" s="1"/>
      <c r="C159" s="1">
        <v>4</v>
      </c>
      <c r="D159" s="1" t="s">
        <v>107</v>
      </c>
      <c r="E159" s="1">
        <v>74.2</v>
      </c>
      <c r="F159" s="1"/>
      <c r="G159" s="6"/>
      <c r="H159" s="1">
        <v>7.8</v>
      </c>
      <c r="I159" s="1"/>
      <c r="J159" s="6"/>
      <c r="K159" s="1">
        <v>3.96</v>
      </c>
      <c r="L159" s="1"/>
      <c r="M159" s="57">
        <f t="shared" si="2"/>
        <v>85.96</v>
      </c>
    </row>
    <row r="160" spans="1:13" ht="15" customHeight="1">
      <c r="A160" s="1"/>
      <c r="B160" s="1"/>
      <c r="C160" s="1">
        <v>4</v>
      </c>
      <c r="D160" s="1" t="s">
        <v>108</v>
      </c>
      <c r="E160" s="8">
        <f>AVERAGE(E158:E159,E161:E162)</f>
        <v>73.782499999999999</v>
      </c>
      <c r="F160" s="1"/>
      <c r="G160" s="6"/>
      <c r="H160" s="1">
        <v>5</v>
      </c>
      <c r="I160" s="1"/>
      <c r="J160" s="6"/>
      <c r="K160" s="8">
        <f>AVERAGE(K158:K159,K161)</f>
        <v>3.8166666666666664</v>
      </c>
      <c r="L160" s="1"/>
      <c r="M160" s="57">
        <f t="shared" si="2"/>
        <v>82.599166666666662</v>
      </c>
    </row>
    <row r="161" spans="1:13" ht="15" customHeight="1">
      <c r="A161" s="1"/>
      <c r="B161" s="1"/>
      <c r="C161" s="1">
        <v>4</v>
      </c>
      <c r="D161" s="1" t="s">
        <v>96</v>
      </c>
      <c r="E161" s="1">
        <v>76.400000000000006</v>
      </c>
      <c r="F161" s="1"/>
      <c r="G161" s="6"/>
      <c r="H161" s="1">
        <v>9.9</v>
      </c>
      <c r="I161" s="1"/>
      <c r="J161" s="6"/>
      <c r="K161" s="1">
        <v>1.88</v>
      </c>
      <c r="L161" s="1"/>
      <c r="M161" s="57">
        <f t="shared" si="2"/>
        <v>88.18</v>
      </c>
    </row>
    <row r="162" spans="1:13" ht="15" customHeight="1">
      <c r="A162" s="1"/>
      <c r="B162" s="1"/>
      <c r="C162" s="1">
        <v>4</v>
      </c>
      <c r="D162" s="1" t="s">
        <v>39</v>
      </c>
      <c r="E162" s="1">
        <v>70.13</v>
      </c>
      <c r="F162" s="1">
        <f>AVERAGE(E158:E162)</f>
        <v>73.782499999999999</v>
      </c>
      <c r="G162" s="6"/>
      <c r="H162" s="1">
        <v>5.5</v>
      </c>
      <c r="I162" s="1">
        <f>AVERAGE(H158:H162)</f>
        <v>5.96</v>
      </c>
      <c r="J162" s="6"/>
      <c r="K162" s="8">
        <f>AVERAGE(K161,K158:K159)</f>
        <v>3.8166666666666664</v>
      </c>
      <c r="L162" s="1">
        <f>AVERAGE(K158:K162)</f>
        <v>3.8166666666666664</v>
      </c>
      <c r="M162" s="57">
        <f t="shared" si="2"/>
        <v>79.446666666666658</v>
      </c>
    </row>
    <row r="163" spans="1:13" ht="15" customHeight="1">
      <c r="A163" s="1" t="s">
        <v>103</v>
      </c>
      <c r="B163" s="1" t="s">
        <v>110</v>
      </c>
      <c r="C163" s="1">
        <v>1</v>
      </c>
      <c r="D163" s="1" t="s">
        <v>94</v>
      </c>
      <c r="E163" s="1">
        <v>49.5</v>
      </c>
      <c r="F163" s="1"/>
      <c r="G163" s="6"/>
      <c r="H163" s="1">
        <v>17.7</v>
      </c>
      <c r="I163" s="1"/>
      <c r="J163" s="6"/>
      <c r="K163" s="8">
        <f>AVERAGE(K164:K167)</f>
        <v>1.5549999999999999</v>
      </c>
      <c r="L163" s="1"/>
      <c r="M163" s="57">
        <f t="shared" si="2"/>
        <v>68.75500000000001</v>
      </c>
    </row>
    <row r="164" spans="1:13" ht="15" customHeight="1">
      <c r="A164" s="1"/>
      <c r="B164" s="1"/>
      <c r="C164" s="1">
        <v>1</v>
      </c>
      <c r="D164" s="1" t="s">
        <v>95</v>
      </c>
      <c r="E164" s="1">
        <v>52.68</v>
      </c>
      <c r="F164" s="1"/>
      <c r="G164" s="6"/>
      <c r="H164" s="1">
        <v>9.6999999999999993</v>
      </c>
      <c r="I164" s="1"/>
      <c r="J164" s="6"/>
      <c r="K164" s="1">
        <v>1.83</v>
      </c>
      <c r="L164" s="1"/>
      <c r="M164" s="57">
        <f t="shared" si="2"/>
        <v>64.209999999999994</v>
      </c>
    </row>
    <row r="165" spans="1:13" ht="15" customHeight="1">
      <c r="A165" s="1"/>
      <c r="B165" s="1"/>
      <c r="C165" s="1">
        <v>1</v>
      </c>
      <c r="D165" s="1" t="s">
        <v>108</v>
      </c>
      <c r="E165" s="8">
        <f>AVERAGE(E163:E164,E167)</f>
        <v>55.646666666666668</v>
      </c>
      <c r="F165" s="1"/>
      <c r="G165" s="6"/>
      <c r="H165" s="1">
        <v>12.4</v>
      </c>
      <c r="I165" s="1"/>
      <c r="J165" s="6"/>
      <c r="K165" s="1">
        <v>1.1100000000000001</v>
      </c>
      <c r="L165" s="1"/>
      <c r="M165" s="57">
        <f t="shared" si="2"/>
        <v>69.156666666666666</v>
      </c>
    </row>
    <row r="166" spans="1:13" ht="15" customHeight="1">
      <c r="A166" s="1"/>
      <c r="B166" s="1"/>
      <c r="C166" s="1">
        <v>1</v>
      </c>
      <c r="D166" s="1" t="s">
        <v>111</v>
      </c>
      <c r="E166" s="8">
        <f>AVERAGE(E163:E164,E167)</f>
        <v>55.646666666666668</v>
      </c>
      <c r="F166" s="1"/>
      <c r="G166" s="6"/>
      <c r="H166" s="1">
        <v>5.8</v>
      </c>
      <c r="I166" s="1"/>
      <c r="J166" s="6"/>
      <c r="K166" s="1">
        <v>1.56</v>
      </c>
      <c r="L166" s="1"/>
      <c r="M166" s="57">
        <f t="shared" si="2"/>
        <v>63.006666666666668</v>
      </c>
    </row>
    <row r="167" spans="1:13" ht="15" customHeight="1">
      <c r="A167" s="1"/>
      <c r="B167" s="1"/>
      <c r="C167" s="1">
        <v>1</v>
      </c>
      <c r="D167" s="1" t="s">
        <v>39</v>
      </c>
      <c r="E167" s="1">
        <v>64.760000000000005</v>
      </c>
      <c r="F167" s="1">
        <f>AVERAGE(E163:E167)</f>
        <v>55.646666666666668</v>
      </c>
      <c r="G167" s="6"/>
      <c r="H167" s="1">
        <v>8.3000000000000007</v>
      </c>
      <c r="I167" s="1">
        <f>AVERAGE(H163:H167)</f>
        <v>10.779999999999998</v>
      </c>
      <c r="J167" s="6"/>
      <c r="K167" s="1">
        <v>1.72</v>
      </c>
      <c r="L167" s="1">
        <f>AVERAGE(K163:K167)</f>
        <v>1.5549999999999999</v>
      </c>
      <c r="M167" s="57">
        <f t="shared" si="2"/>
        <v>74.78</v>
      </c>
    </row>
    <row r="168" spans="1:13" ht="15" customHeight="1">
      <c r="A168" s="1"/>
      <c r="B168" s="1"/>
      <c r="C168" s="1">
        <v>2</v>
      </c>
      <c r="D168" s="1" t="s">
        <v>94</v>
      </c>
      <c r="E168" s="1">
        <v>79.61</v>
      </c>
      <c r="F168" s="1"/>
      <c r="G168" s="6"/>
      <c r="H168" s="1">
        <v>15.8</v>
      </c>
      <c r="I168" s="1"/>
      <c r="J168" s="6"/>
      <c r="K168" s="8">
        <f>AVERAGE(K169:K172)</f>
        <v>3.2075</v>
      </c>
      <c r="L168" s="1"/>
      <c r="M168" s="57">
        <f t="shared" si="2"/>
        <v>98.617499999999993</v>
      </c>
    </row>
    <row r="169" spans="1:13" ht="15" customHeight="1">
      <c r="A169" s="1"/>
      <c r="B169" s="1"/>
      <c r="C169" s="1">
        <v>2</v>
      </c>
      <c r="D169" s="1" t="s">
        <v>95</v>
      </c>
      <c r="E169" s="8">
        <f>AVERAGE(E168,E170:E172)</f>
        <v>73.259999999999991</v>
      </c>
      <c r="F169" s="1"/>
      <c r="G169" s="6"/>
      <c r="H169" s="1">
        <v>9.9</v>
      </c>
      <c r="I169" s="1"/>
      <c r="J169" s="6"/>
      <c r="K169" s="1">
        <v>2.06</v>
      </c>
      <c r="L169" s="1"/>
      <c r="M169" s="57">
        <f t="shared" si="2"/>
        <v>85.22</v>
      </c>
    </row>
    <row r="170" spans="1:13" ht="15" customHeight="1">
      <c r="A170" s="1"/>
      <c r="B170" s="1"/>
      <c r="C170" s="1">
        <v>2</v>
      </c>
      <c r="D170" s="1" t="s">
        <v>111</v>
      </c>
      <c r="E170" s="1">
        <v>80.72</v>
      </c>
      <c r="F170" s="1"/>
      <c r="G170" s="6"/>
      <c r="H170" s="1">
        <v>12.8</v>
      </c>
      <c r="I170" s="1"/>
      <c r="J170" s="6"/>
      <c r="K170" s="1">
        <v>3.64</v>
      </c>
      <c r="L170" s="1"/>
      <c r="M170" s="57">
        <f t="shared" si="2"/>
        <v>97.16</v>
      </c>
    </row>
    <row r="171" spans="1:13" ht="15" customHeight="1">
      <c r="A171" s="1"/>
      <c r="B171" s="1"/>
      <c r="C171" s="1">
        <v>2</v>
      </c>
      <c r="D171" s="1" t="s">
        <v>39</v>
      </c>
      <c r="E171" s="1">
        <v>63.88</v>
      </c>
      <c r="F171" s="1"/>
      <c r="G171" s="6"/>
      <c r="H171" s="1">
        <v>20.6</v>
      </c>
      <c r="I171" s="1"/>
      <c r="J171" s="6"/>
      <c r="K171" s="1">
        <v>3.94</v>
      </c>
      <c r="L171" s="1"/>
      <c r="M171" s="57">
        <f t="shared" si="2"/>
        <v>88.42</v>
      </c>
    </row>
    <row r="172" spans="1:13" ht="15" customHeight="1">
      <c r="A172" s="1"/>
      <c r="B172" s="1"/>
      <c r="C172" s="1">
        <v>2</v>
      </c>
      <c r="D172" s="1" t="s">
        <v>97</v>
      </c>
      <c r="E172" s="1">
        <v>68.83</v>
      </c>
      <c r="F172" s="1">
        <f>AVERAGE(E168:E172)</f>
        <v>73.260000000000005</v>
      </c>
      <c r="G172" s="6"/>
      <c r="H172" s="1">
        <v>16.5</v>
      </c>
      <c r="I172" s="1">
        <f>AVERAGE(H168:H172)</f>
        <v>15.12</v>
      </c>
      <c r="J172" s="6"/>
      <c r="K172" s="1">
        <v>3.19</v>
      </c>
      <c r="L172" s="1">
        <f>AVERAGE(K168:K172)</f>
        <v>3.2075000000000005</v>
      </c>
      <c r="M172" s="57">
        <f t="shared" si="2"/>
        <v>88.52</v>
      </c>
    </row>
    <row r="173" spans="1:13" ht="15" customHeight="1">
      <c r="A173" s="1"/>
      <c r="B173" s="1"/>
      <c r="C173" s="1">
        <v>3</v>
      </c>
      <c r="D173" s="1" t="s">
        <v>94</v>
      </c>
      <c r="E173" s="1">
        <v>61.73</v>
      </c>
      <c r="F173" s="1"/>
      <c r="G173" s="6"/>
      <c r="H173" s="1">
        <v>11.7</v>
      </c>
      <c r="I173" s="1"/>
      <c r="J173" s="6"/>
      <c r="K173" s="1">
        <v>1.74</v>
      </c>
      <c r="L173" s="1"/>
      <c r="M173" s="57">
        <f t="shared" si="2"/>
        <v>75.169999999999987</v>
      </c>
    </row>
    <row r="174" spans="1:13" ht="15" customHeight="1">
      <c r="A174" s="1"/>
      <c r="B174" s="1"/>
      <c r="C174" s="1">
        <v>3</v>
      </c>
      <c r="D174" s="1" t="s">
        <v>95</v>
      </c>
      <c r="E174" s="1">
        <v>54.1</v>
      </c>
      <c r="F174" s="1"/>
      <c r="G174" s="6"/>
      <c r="H174" s="1">
        <v>8</v>
      </c>
      <c r="I174" s="1"/>
      <c r="J174" s="6"/>
      <c r="K174" s="8">
        <f>AVERAGE($K$175,$K$173)</f>
        <v>2.67</v>
      </c>
      <c r="L174" s="1"/>
      <c r="M174" s="57">
        <f t="shared" si="2"/>
        <v>64.77</v>
      </c>
    </row>
    <row r="175" spans="1:13" ht="15" customHeight="1">
      <c r="A175" s="1"/>
      <c r="B175" s="1"/>
      <c r="C175" s="1">
        <v>3</v>
      </c>
      <c r="D175" s="1" t="s">
        <v>108</v>
      </c>
      <c r="E175" s="8">
        <f>AVERAGE(E173:E174,E177)</f>
        <v>56.776666666666664</v>
      </c>
      <c r="F175" s="1"/>
      <c r="G175" s="6"/>
      <c r="H175" s="1">
        <v>19.600000000000001</v>
      </c>
      <c r="I175" s="1"/>
      <c r="J175" s="6"/>
      <c r="K175" s="1">
        <v>3.6</v>
      </c>
      <c r="L175" s="1"/>
      <c r="M175" s="57">
        <f t="shared" si="2"/>
        <v>79.976666666666659</v>
      </c>
    </row>
    <row r="176" spans="1:13" ht="15" customHeight="1">
      <c r="A176" s="1"/>
      <c r="B176" s="1"/>
      <c r="C176" s="1">
        <v>3</v>
      </c>
      <c r="D176" s="1" t="s">
        <v>39</v>
      </c>
      <c r="E176" s="8">
        <f>AVERAGE(E173:E174,E177)</f>
        <v>56.776666666666664</v>
      </c>
      <c r="F176" s="1"/>
      <c r="G176" s="6"/>
      <c r="H176" s="1">
        <v>12.1</v>
      </c>
      <c r="I176" s="1"/>
      <c r="J176" s="6"/>
      <c r="K176" s="8">
        <f t="shared" ref="K176:K177" si="4">AVERAGE($K$175,$K$173)</f>
        <v>2.67</v>
      </c>
      <c r="L176" s="1"/>
      <c r="M176" s="57">
        <f t="shared" si="2"/>
        <v>71.546666666666667</v>
      </c>
    </row>
    <row r="177" spans="1:13" ht="15" customHeight="1">
      <c r="A177" s="1"/>
      <c r="B177" s="1"/>
      <c r="C177" s="1">
        <v>3</v>
      </c>
      <c r="D177" s="1" t="s">
        <v>97</v>
      </c>
      <c r="E177" s="1">
        <v>54.5</v>
      </c>
      <c r="F177" s="1">
        <f>AVERAGE(E173:E177)</f>
        <v>56.776666666666664</v>
      </c>
      <c r="G177" s="6"/>
      <c r="H177" s="1">
        <v>7</v>
      </c>
      <c r="I177" s="1">
        <f>AVERAGE(H173:H177)</f>
        <v>11.68</v>
      </c>
      <c r="J177" s="6"/>
      <c r="K177" s="8">
        <f t="shared" si="4"/>
        <v>2.67</v>
      </c>
      <c r="L177" s="1">
        <f>AVERAGE(K173:K177)</f>
        <v>2.67</v>
      </c>
      <c r="M177" s="57">
        <f t="shared" si="2"/>
        <v>64.17</v>
      </c>
    </row>
    <row r="178" spans="1:13" ht="15" customHeight="1">
      <c r="A178" s="1"/>
      <c r="B178" s="1"/>
      <c r="C178" s="1">
        <v>4</v>
      </c>
      <c r="D178" s="1" t="s">
        <v>94</v>
      </c>
      <c r="E178" s="1">
        <v>60.6</v>
      </c>
      <c r="F178" s="1"/>
      <c r="G178" s="6"/>
      <c r="H178" s="1">
        <v>12.7</v>
      </c>
      <c r="I178" s="1"/>
      <c r="J178" s="6"/>
      <c r="K178" s="1">
        <v>4.42</v>
      </c>
      <c r="L178" s="1"/>
      <c r="M178" s="57">
        <f t="shared" si="2"/>
        <v>77.72</v>
      </c>
    </row>
    <row r="179" spans="1:13" ht="15" customHeight="1">
      <c r="A179" s="1"/>
      <c r="B179" s="1"/>
      <c r="C179" s="1">
        <v>4</v>
      </c>
      <c r="D179" s="1" t="s">
        <v>95</v>
      </c>
      <c r="E179" s="1">
        <v>87.26</v>
      </c>
      <c r="F179" s="1"/>
      <c r="G179" s="6"/>
      <c r="H179" s="1">
        <v>13.6</v>
      </c>
      <c r="I179" s="1"/>
      <c r="J179" s="6"/>
      <c r="K179" s="1">
        <v>5.86</v>
      </c>
      <c r="L179" s="1"/>
      <c r="M179" s="57">
        <f t="shared" si="2"/>
        <v>106.72</v>
      </c>
    </row>
    <row r="180" spans="1:13" ht="15" customHeight="1">
      <c r="A180" s="1"/>
      <c r="B180" s="1"/>
      <c r="C180" s="1">
        <v>4</v>
      </c>
      <c r="D180" s="1" t="s">
        <v>96</v>
      </c>
      <c r="E180" s="1">
        <v>85.66</v>
      </c>
      <c r="F180" s="1"/>
      <c r="G180" s="6"/>
      <c r="H180" s="1">
        <v>22.7</v>
      </c>
      <c r="I180" s="1"/>
      <c r="J180" s="6"/>
      <c r="K180" s="1">
        <v>6.16</v>
      </c>
      <c r="L180" s="1"/>
      <c r="M180" s="57">
        <f t="shared" si="2"/>
        <v>114.52</v>
      </c>
    </row>
    <row r="181" spans="1:13" ht="15" customHeight="1">
      <c r="A181" s="1"/>
      <c r="B181" s="1"/>
      <c r="C181" s="1">
        <v>4</v>
      </c>
      <c r="D181" s="1" t="s">
        <v>39</v>
      </c>
      <c r="E181" s="8">
        <f>AVERAGE(E178:E180)</f>
        <v>77.84</v>
      </c>
      <c r="F181" s="1"/>
      <c r="G181" s="6"/>
      <c r="H181" s="1">
        <v>20.3</v>
      </c>
      <c r="I181" s="1"/>
      <c r="J181" s="6"/>
      <c r="K181" s="1">
        <v>2.4500000000000002</v>
      </c>
      <c r="L181" s="1"/>
      <c r="M181" s="57">
        <f t="shared" si="2"/>
        <v>100.59</v>
      </c>
    </row>
    <row r="182" spans="1:13" ht="15" customHeight="1">
      <c r="A182" s="1"/>
      <c r="B182" s="1"/>
      <c r="C182" s="1">
        <v>4</v>
      </c>
      <c r="D182" s="1" t="s">
        <v>97</v>
      </c>
      <c r="E182" s="8">
        <f>AVERAGE(E178:E180)</f>
        <v>77.84</v>
      </c>
      <c r="F182" s="1">
        <f>AVERAGE(E178:E182)</f>
        <v>77.84</v>
      </c>
      <c r="G182" s="6"/>
      <c r="H182" s="1">
        <v>26.2</v>
      </c>
      <c r="I182" s="1">
        <f>AVERAGE(H178:H182)</f>
        <v>19.100000000000001</v>
      </c>
      <c r="J182" s="6"/>
      <c r="K182" s="1">
        <v>2.79</v>
      </c>
      <c r="L182" s="1">
        <f>AVERAGE(K178:K182)</f>
        <v>4.3360000000000003</v>
      </c>
      <c r="M182" s="57">
        <f t="shared" si="2"/>
        <v>106.83000000000001</v>
      </c>
    </row>
    <row r="183" spans="1:13" ht="15" customHeight="1">
      <c r="A183" s="1" t="s">
        <v>109</v>
      </c>
      <c r="B183" s="1" t="s">
        <v>112</v>
      </c>
      <c r="C183" s="1">
        <v>1</v>
      </c>
      <c r="D183" s="1" t="s">
        <v>94</v>
      </c>
      <c r="E183" s="1">
        <v>62.4</v>
      </c>
      <c r="F183" s="1"/>
      <c r="G183" s="6"/>
      <c r="H183" s="1">
        <v>4.2</v>
      </c>
      <c r="I183" s="1"/>
      <c r="J183" s="6"/>
      <c r="K183" s="1">
        <v>2.6</v>
      </c>
      <c r="L183" s="1"/>
      <c r="M183" s="57">
        <f t="shared" si="2"/>
        <v>69.199999999999989</v>
      </c>
    </row>
    <row r="184" spans="1:13" ht="15" customHeight="1">
      <c r="A184" s="1"/>
      <c r="B184" s="1"/>
      <c r="C184" s="1">
        <v>1</v>
      </c>
      <c r="D184" s="1" t="s">
        <v>107</v>
      </c>
      <c r="E184" s="1">
        <v>50.72</v>
      </c>
      <c r="F184" s="1"/>
      <c r="G184" s="6"/>
      <c r="H184" s="1">
        <v>1.5</v>
      </c>
      <c r="I184" s="1"/>
      <c r="J184" s="6"/>
      <c r="K184" s="1">
        <v>2.78</v>
      </c>
      <c r="L184" s="1"/>
      <c r="M184" s="57">
        <f t="shared" si="2"/>
        <v>55</v>
      </c>
    </row>
    <row r="185" spans="1:13" ht="15" customHeight="1">
      <c r="A185" s="1"/>
      <c r="B185" s="1"/>
      <c r="C185" s="1">
        <v>1</v>
      </c>
      <c r="D185" s="1" t="s">
        <v>108</v>
      </c>
      <c r="E185" s="1">
        <v>52.88</v>
      </c>
      <c r="F185" s="1"/>
      <c r="G185" s="6"/>
      <c r="H185" s="1">
        <v>3.5</v>
      </c>
      <c r="I185" s="1"/>
      <c r="J185" s="6"/>
      <c r="K185" s="1">
        <v>2.2400000000000002</v>
      </c>
      <c r="L185" s="1"/>
      <c r="M185" s="57">
        <f t="shared" si="2"/>
        <v>58.620000000000005</v>
      </c>
    </row>
    <row r="186" spans="1:13" ht="15" customHeight="1">
      <c r="A186" s="1"/>
      <c r="B186" s="1"/>
      <c r="C186" s="1">
        <v>1</v>
      </c>
      <c r="D186" s="1" t="s">
        <v>96</v>
      </c>
      <c r="E186" s="1">
        <v>49.12</v>
      </c>
      <c r="F186" s="1"/>
      <c r="G186" s="6"/>
      <c r="H186" s="1">
        <v>2.6</v>
      </c>
      <c r="I186" s="1"/>
      <c r="J186" s="6"/>
      <c r="K186" s="1">
        <v>2.12</v>
      </c>
      <c r="L186" s="1"/>
      <c r="M186" s="57">
        <f t="shared" si="2"/>
        <v>53.839999999999996</v>
      </c>
    </row>
    <row r="187" spans="1:13" ht="15" customHeight="1">
      <c r="A187" s="1"/>
      <c r="B187" s="1"/>
      <c r="C187" s="1">
        <v>1</v>
      </c>
      <c r="D187" s="1" t="s">
        <v>39</v>
      </c>
      <c r="E187" s="1">
        <v>52.04</v>
      </c>
      <c r="F187" s="1">
        <f>AVERAGE(E183:E187)</f>
        <v>53.432000000000002</v>
      </c>
      <c r="G187" s="6"/>
      <c r="H187" s="1">
        <v>2.2999999999999998</v>
      </c>
      <c r="I187" s="1">
        <f>AVERAGE(H183:H187)</f>
        <v>2.8199999999999994</v>
      </c>
      <c r="J187" s="6"/>
      <c r="K187" s="1">
        <v>2.16</v>
      </c>
      <c r="L187" s="1">
        <f>AVERAGE(K183:K187)</f>
        <v>2.38</v>
      </c>
      <c r="M187" s="57">
        <f t="shared" si="2"/>
        <v>56.5</v>
      </c>
    </row>
    <row r="188" spans="1:13" ht="15" customHeight="1">
      <c r="A188" s="1"/>
      <c r="B188" s="1"/>
      <c r="C188" s="1">
        <v>2</v>
      </c>
      <c r="D188" s="1" t="s">
        <v>94</v>
      </c>
      <c r="E188" s="1">
        <v>60.92</v>
      </c>
      <c r="F188" s="1"/>
      <c r="G188" s="6"/>
      <c r="H188" s="1">
        <v>3.8</v>
      </c>
      <c r="I188" s="1"/>
      <c r="J188" s="6"/>
      <c r="K188" s="1">
        <v>7.85</v>
      </c>
      <c r="L188" s="1"/>
      <c r="M188" s="57">
        <f t="shared" si="2"/>
        <v>72.569999999999993</v>
      </c>
    </row>
    <row r="189" spans="1:13" ht="15" customHeight="1">
      <c r="A189" s="1"/>
      <c r="B189" s="1"/>
      <c r="C189" s="1">
        <v>2</v>
      </c>
      <c r="D189" s="1" t="s">
        <v>107</v>
      </c>
      <c r="E189" s="1">
        <v>61.49</v>
      </c>
      <c r="F189" s="1"/>
      <c r="G189" s="6"/>
      <c r="H189" s="1">
        <v>2.6</v>
      </c>
      <c r="I189" s="1"/>
      <c r="J189" s="6"/>
      <c r="K189" s="1">
        <v>3.98</v>
      </c>
      <c r="L189" s="1"/>
      <c r="M189" s="57">
        <f t="shared" si="2"/>
        <v>68.070000000000007</v>
      </c>
    </row>
    <row r="190" spans="1:13" ht="15" customHeight="1">
      <c r="A190" s="1"/>
      <c r="B190" s="1"/>
      <c r="C190" s="1">
        <v>2</v>
      </c>
      <c r="D190" s="1" t="s">
        <v>108</v>
      </c>
      <c r="E190" s="1">
        <v>59.24</v>
      </c>
      <c r="F190" s="1"/>
      <c r="G190" s="6"/>
      <c r="H190" s="1">
        <v>1.65</v>
      </c>
      <c r="I190" s="1"/>
      <c r="J190" s="6"/>
      <c r="K190" s="1">
        <v>4.2300000000000004</v>
      </c>
      <c r="L190" s="1"/>
      <c r="M190" s="57">
        <f t="shared" si="2"/>
        <v>65.12</v>
      </c>
    </row>
    <row r="191" spans="1:13" ht="15" customHeight="1">
      <c r="A191" s="1"/>
      <c r="B191" s="1"/>
      <c r="C191" s="1">
        <v>2</v>
      </c>
      <c r="D191" s="1" t="s">
        <v>96</v>
      </c>
      <c r="E191" s="1">
        <v>37.89</v>
      </c>
      <c r="F191" s="1"/>
      <c r="G191" s="6"/>
      <c r="H191" s="1">
        <v>3.07</v>
      </c>
      <c r="I191" s="1"/>
      <c r="J191" s="6"/>
      <c r="K191" s="1">
        <v>4.7300000000000004</v>
      </c>
      <c r="L191" s="1"/>
      <c r="M191" s="57">
        <f t="shared" si="2"/>
        <v>45.69</v>
      </c>
    </row>
    <row r="192" spans="1:13" ht="15" customHeight="1">
      <c r="A192" s="1"/>
      <c r="B192" s="1"/>
      <c r="C192" s="1">
        <v>2</v>
      </c>
      <c r="D192" s="1" t="s">
        <v>39</v>
      </c>
      <c r="E192" s="1">
        <v>60.32</v>
      </c>
      <c r="F192" s="1">
        <f>AVERAGE(E188:E192)</f>
        <v>55.972000000000001</v>
      </c>
      <c r="G192" s="6"/>
      <c r="H192" s="1">
        <v>2.1</v>
      </c>
      <c r="I192" s="1">
        <f>AVERAGE(H188:H192)</f>
        <v>2.6440000000000001</v>
      </c>
      <c r="J192" s="6"/>
      <c r="K192" s="1">
        <v>8.0299999999999994</v>
      </c>
      <c r="L192" s="1">
        <f>AVERAGE(K188:K192)</f>
        <v>5.7640000000000002</v>
      </c>
      <c r="M192" s="57">
        <f t="shared" si="2"/>
        <v>70.45</v>
      </c>
    </row>
    <row r="193" spans="1:13" ht="15" customHeight="1">
      <c r="A193" s="1"/>
      <c r="B193" s="1"/>
      <c r="C193" s="1">
        <v>3</v>
      </c>
      <c r="D193" s="1" t="s">
        <v>94</v>
      </c>
      <c r="E193" s="1">
        <v>66.040000000000006</v>
      </c>
      <c r="F193" s="1"/>
      <c r="G193" s="6"/>
      <c r="H193" s="1">
        <v>1.88</v>
      </c>
      <c r="I193" s="1"/>
      <c r="J193" s="6"/>
      <c r="K193" s="1">
        <v>3.34</v>
      </c>
      <c r="L193" s="1"/>
      <c r="M193" s="57">
        <f t="shared" si="2"/>
        <v>71.260000000000005</v>
      </c>
    </row>
    <row r="194" spans="1:13" ht="15" customHeight="1">
      <c r="A194" s="1"/>
      <c r="B194" s="1"/>
      <c r="C194" s="1">
        <v>3</v>
      </c>
      <c r="D194" s="1" t="s">
        <v>107</v>
      </c>
      <c r="E194" s="1">
        <v>70.510000000000005</v>
      </c>
      <c r="F194" s="1"/>
      <c r="G194" s="6"/>
      <c r="H194" s="1">
        <v>3.21</v>
      </c>
      <c r="I194" s="1"/>
      <c r="J194" s="6"/>
      <c r="K194" s="1">
        <v>2.1</v>
      </c>
      <c r="L194" s="1"/>
      <c r="M194" s="57">
        <f t="shared" si="2"/>
        <v>75.819999999999993</v>
      </c>
    </row>
    <row r="195" spans="1:13" ht="15" customHeight="1">
      <c r="A195" s="1"/>
      <c r="B195" s="1"/>
      <c r="C195" s="1">
        <v>3</v>
      </c>
      <c r="D195" s="1" t="s">
        <v>108</v>
      </c>
      <c r="E195" s="1">
        <v>56.55</v>
      </c>
      <c r="F195" s="1"/>
      <c r="G195" s="6"/>
      <c r="H195" s="1">
        <v>1.81</v>
      </c>
      <c r="I195" s="1"/>
      <c r="J195" s="6"/>
      <c r="K195" s="1">
        <v>3.02</v>
      </c>
      <c r="L195" s="1"/>
      <c r="M195" s="57">
        <f t="shared" si="2"/>
        <v>61.38</v>
      </c>
    </row>
    <row r="196" spans="1:13" ht="15" customHeight="1">
      <c r="A196" s="1"/>
      <c r="B196" s="1"/>
      <c r="C196" s="1">
        <v>3</v>
      </c>
      <c r="D196" s="1" t="s">
        <v>96</v>
      </c>
      <c r="E196" s="1">
        <v>68.55</v>
      </c>
      <c r="F196" s="1"/>
      <c r="G196" s="6"/>
      <c r="H196" s="1">
        <v>2.9</v>
      </c>
      <c r="I196" s="1"/>
      <c r="J196" s="6"/>
      <c r="K196" s="1">
        <v>1.21</v>
      </c>
      <c r="L196" s="1"/>
      <c r="M196" s="57">
        <f t="shared" si="2"/>
        <v>72.66</v>
      </c>
    </row>
    <row r="197" spans="1:13" ht="15" customHeight="1">
      <c r="A197" s="1"/>
      <c r="B197" s="1"/>
      <c r="C197" s="1">
        <v>3</v>
      </c>
      <c r="D197" s="1" t="s">
        <v>39</v>
      </c>
      <c r="E197" s="1">
        <v>66.040000000000006</v>
      </c>
      <c r="F197" s="1">
        <f>AVERAGE(E193:E197)</f>
        <v>65.538000000000011</v>
      </c>
      <c r="G197" s="6"/>
      <c r="H197" s="1">
        <v>2.14</v>
      </c>
      <c r="I197" s="1">
        <f>AVERAGE(H193:H197)</f>
        <v>2.3880000000000003</v>
      </c>
      <c r="J197" s="6"/>
      <c r="K197" s="1">
        <v>1.51</v>
      </c>
      <c r="L197" s="1">
        <f>AVERAGE(K193:K197)</f>
        <v>2.2359999999999998</v>
      </c>
      <c r="M197" s="57">
        <f t="shared" si="2"/>
        <v>69.690000000000012</v>
      </c>
    </row>
    <row r="198" spans="1:13" ht="15" customHeight="1">
      <c r="A198" s="1"/>
      <c r="B198" s="1"/>
      <c r="C198" s="1">
        <v>4</v>
      </c>
      <c r="D198" s="1" t="s">
        <v>94</v>
      </c>
      <c r="E198" s="1">
        <v>30.71</v>
      </c>
      <c r="F198" s="1"/>
      <c r="G198" s="6"/>
      <c r="H198" s="1">
        <v>3</v>
      </c>
      <c r="I198" s="1"/>
      <c r="J198" s="6"/>
      <c r="K198" s="1">
        <v>2.46</v>
      </c>
      <c r="L198" s="1"/>
      <c r="M198" s="57">
        <f t="shared" si="2"/>
        <v>36.17</v>
      </c>
    </row>
    <row r="199" spans="1:13" ht="15" customHeight="1">
      <c r="A199" s="1"/>
      <c r="B199" s="1"/>
      <c r="C199" s="1">
        <v>4</v>
      </c>
      <c r="D199" s="1" t="s">
        <v>107</v>
      </c>
      <c r="E199" s="1">
        <v>49.17</v>
      </c>
      <c r="F199" s="1"/>
      <c r="G199" s="6"/>
      <c r="H199" s="1">
        <v>2.2599999999999998</v>
      </c>
      <c r="I199" s="1"/>
      <c r="J199" s="6"/>
      <c r="K199" s="1">
        <v>2.63</v>
      </c>
      <c r="L199" s="1"/>
      <c r="M199" s="57">
        <f t="shared" si="2"/>
        <v>54.06</v>
      </c>
    </row>
    <row r="200" spans="1:13" ht="15" customHeight="1">
      <c r="A200" s="1"/>
      <c r="B200" s="1"/>
      <c r="C200" s="1">
        <v>4</v>
      </c>
      <c r="D200" s="1" t="s">
        <v>108</v>
      </c>
      <c r="E200" s="1">
        <v>56.48</v>
      </c>
      <c r="F200" s="1"/>
      <c r="G200" s="6"/>
      <c r="H200" s="1">
        <v>5.0999999999999996</v>
      </c>
      <c r="I200" s="1"/>
      <c r="J200" s="6"/>
      <c r="K200" s="1">
        <v>2.1800000000000002</v>
      </c>
      <c r="L200" s="1"/>
      <c r="M200" s="57">
        <f t="shared" si="2"/>
        <v>63.76</v>
      </c>
    </row>
    <row r="201" spans="1:13" ht="15" customHeight="1">
      <c r="A201" s="1"/>
      <c r="B201" s="1"/>
      <c r="C201" s="1">
        <v>4</v>
      </c>
      <c r="D201" s="1" t="s">
        <v>96</v>
      </c>
      <c r="E201" s="1">
        <v>65.52</v>
      </c>
      <c r="F201" s="1"/>
      <c r="G201" s="6"/>
      <c r="H201" s="1">
        <v>3.3</v>
      </c>
      <c r="I201" s="1"/>
      <c r="J201" s="6"/>
      <c r="K201" s="1">
        <v>1.78</v>
      </c>
      <c r="L201" s="1"/>
      <c r="M201" s="57">
        <f t="shared" si="2"/>
        <v>70.599999999999994</v>
      </c>
    </row>
    <row r="202" spans="1:13" ht="15" customHeight="1">
      <c r="A202" s="1"/>
      <c r="B202" s="1"/>
      <c r="C202" s="1">
        <v>4</v>
      </c>
      <c r="D202" s="1" t="s">
        <v>39</v>
      </c>
      <c r="E202" s="1">
        <v>60.25</v>
      </c>
      <c r="F202" s="1">
        <f>AVERAGE(E198:E202)</f>
        <v>52.426000000000002</v>
      </c>
      <c r="G202" s="6"/>
      <c r="H202" s="1">
        <v>2.37</v>
      </c>
      <c r="I202" s="1">
        <f>AVERAGE(H198:H202)</f>
        <v>3.2060000000000004</v>
      </c>
      <c r="J202" s="6"/>
      <c r="K202" s="1">
        <v>1.57</v>
      </c>
      <c r="L202" s="1">
        <f>AVERAGE(K198:K202)</f>
        <v>2.1239999999999997</v>
      </c>
      <c r="M202" s="57">
        <f t="shared" si="2"/>
        <v>64.19</v>
      </c>
    </row>
    <row r="203" spans="1:13" ht="15" customHeight="1">
      <c r="A203" s="1" t="s">
        <v>109</v>
      </c>
      <c r="B203" s="1" t="s">
        <v>113</v>
      </c>
      <c r="C203" s="1">
        <v>1</v>
      </c>
      <c r="D203" s="1" t="s">
        <v>94</v>
      </c>
      <c r="E203" s="1">
        <v>73.78</v>
      </c>
      <c r="F203" s="1"/>
      <c r="G203" s="6"/>
      <c r="H203" s="1">
        <v>2.9</v>
      </c>
      <c r="I203" s="1"/>
      <c r="J203" s="6"/>
      <c r="K203" s="1">
        <v>0.89</v>
      </c>
      <c r="L203" s="1"/>
      <c r="M203" s="57">
        <f t="shared" si="2"/>
        <v>77.570000000000007</v>
      </c>
    </row>
    <row r="204" spans="1:13" ht="15" customHeight="1">
      <c r="A204" s="1"/>
      <c r="B204" s="1"/>
      <c r="C204" s="1">
        <v>1</v>
      </c>
      <c r="D204" s="1" t="s">
        <v>95</v>
      </c>
      <c r="E204" s="1">
        <v>72.67</v>
      </c>
      <c r="F204" s="1"/>
      <c r="G204" s="6"/>
      <c r="H204" s="8">
        <f>AVERAGE(H203,H205:H207)</f>
        <v>3.45</v>
      </c>
      <c r="I204" s="1"/>
      <c r="J204" s="6"/>
      <c r="K204" s="1">
        <v>1.3</v>
      </c>
      <c r="L204" s="1"/>
      <c r="M204" s="57">
        <f t="shared" si="2"/>
        <v>77.42</v>
      </c>
    </row>
    <row r="205" spans="1:13" ht="15" customHeight="1">
      <c r="A205" s="1"/>
      <c r="B205" s="1"/>
      <c r="C205" s="1">
        <v>1</v>
      </c>
      <c r="D205" s="1" t="s">
        <v>96</v>
      </c>
      <c r="E205" s="1">
        <v>58.87</v>
      </c>
      <c r="F205" s="1"/>
      <c r="G205" s="6"/>
      <c r="H205" s="1">
        <v>5.0999999999999996</v>
      </c>
      <c r="I205" s="1"/>
      <c r="J205" s="6"/>
      <c r="K205" s="1">
        <v>1.39</v>
      </c>
      <c r="L205" s="1"/>
      <c r="M205" s="57">
        <f t="shared" si="2"/>
        <v>65.36</v>
      </c>
    </row>
    <row r="206" spans="1:13" ht="15" customHeight="1">
      <c r="A206" s="1"/>
      <c r="B206" s="1"/>
      <c r="C206" s="1">
        <v>1</v>
      </c>
      <c r="D206" s="1" t="s">
        <v>39</v>
      </c>
      <c r="E206" s="1">
        <v>58.88</v>
      </c>
      <c r="F206" s="1"/>
      <c r="G206" s="6"/>
      <c r="H206" s="1">
        <v>3.1</v>
      </c>
      <c r="I206" s="1"/>
      <c r="J206" s="6"/>
      <c r="K206" s="1">
        <v>1.05</v>
      </c>
      <c r="L206" s="1"/>
      <c r="M206" s="57">
        <f t="shared" si="2"/>
        <v>63.03</v>
      </c>
    </row>
    <row r="207" spans="1:13" ht="15" customHeight="1">
      <c r="A207" s="1"/>
      <c r="B207" s="1"/>
      <c r="C207" s="1">
        <v>1</v>
      </c>
      <c r="D207" s="1" t="s">
        <v>97</v>
      </c>
      <c r="E207" s="1">
        <v>71.069999999999993</v>
      </c>
      <c r="F207" s="1">
        <f>AVERAGE(E203:E207)</f>
        <v>67.054000000000002</v>
      </c>
      <c r="G207" s="6"/>
      <c r="H207" s="1">
        <v>2.7</v>
      </c>
      <c r="I207" s="1">
        <f>AVERAGE(H203:H207)</f>
        <v>3.45</v>
      </c>
      <c r="J207" s="6"/>
      <c r="K207" s="1">
        <v>2.84</v>
      </c>
      <c r="L207" s="1">
        <f>AVERAGE(K203:K207)</f>
        <v>1.494</v>
      </c>
      <c r="M207" s="57">
        <f t="shared" si="2"/>
        <v>76.61</v>
      </c>
    </row>
    <row r="208" spans="1:13" ht="15" customHeight="1">
      <c r="A208" s="1"/>
      <c r="B208" s="1"/>
      <c r="C208" s="1">
        <v>2</v>
      </c>
      <c r="D208" s="1" t="s">
        <v>94</v>
      </c>
      <c r="E208" s="1">
        <v>67.290000000000006</v>
      </c>
      <c r="F208" s="1"/>
      <c r="G208" s="6"/>
      <c r="H208" s="1">
        <v>2.1</v>
      </c>
      <c r="I208" s="1"/>
      <c r="J208" s="6"/>
      <c r="K208" s="1">
        <v>1.5</v>
      </c>
      <c r="L208" s="1"/>
      <c r="M208" s="57">
        <f t="shared" si="2"/>
        <v>70.89</v>
      </c>
    </row>
    <row r="209" spans="1:13" ht="15" customHeight="1">
      <c r="A209" s="1"/>
      <c r="B209" s="1"/>
      <c r="C209" s="1">
        <v>2</v>
      </c>
      <c r="D209" s="1" t="s">
        <v>95</v>
      </c>
      <c r="E209" s="1">
        <v>68.38</v>
      </c>
      <c r="F209" s="1"/>
      <c r="G209" s="6"/>
      <c r="H209" s="1">
        <v>2.6</v>
      </c>
      <c r="I209" s="1"/>
      <c r="J209" s="6"/>
      <c r="K209" s="1">
        <v>1.28</v>
      </c>
      <c r="L209" s="1"/>
      <c r="M209" s="57">
        <f t="shared" si="2"/>
        <v>72.259999999999991</v>
      </c>
    </row>
    <row r="210" spans="1:13" ht="15" customHeight="1">
      <c r="A210" s="1"/>
      <c r="B210" s="1"/>
      <c r="C210" s="1">
        <v>2</v>
      </c>
      <c r="D210" s="1" t="s">
        <v>96</v>
      </c>
      <c r="E210" s="1">
        <v>93.24</v>
      </c>
      <c r="F210" s="1"/>
      <c r="G210" s="6"/>
      <c r="H210" s="1">
        <v>4.5</v>
      </c>
      <c r="I210" s="1"/>
      <c r="J210" s="6"/>
      <c r="K210" s="1">
        <v>1.1399999999999999</v>
      </c>
      <c r="L210" s="1"/>
      <c r="M210" s="57">
        <f t="shared" si="2"/>
        <v>98.88</v>
      </c>
    </row>
    <row r="211" spans="1:13" ht="15" customHeight="1">
      <c r="A211" s="1"/>
      <c r="B211" s="1"/>
      <c r="C211" s="1">
        <v>2</v>
      </c>
      <c r="D211" s="1" t="s">
        <v>39</v>
      </c>
      <c r="E211" s="1">
        <v>61.23</v>
      </c>
      <c r="F211" s="1"/>
      <c r="G211" s="6"/>
      <c r="H211" s="1">
        <v>1.8</v>
      </c>
      <c r="I211" s="1"/>
      <c r="J211" s="6"/>
      <c r="K211" s="1">
        <v>1.53</v>
      </c>
      <c r="L211" s="1"/>
      <c r="M211" s="57">
        <f t="shared" si="2"/>
        <v>64.559999999999988</v>
      </c>
    </row>
    <row r="212" spans="1:13" ht="15" customHeight="1">
      <c r="A212" s="1"/>
      <c r="B212" s="1"/>
      <c r="C212" s="1">
        <v>2</v>
      </c>
      <c r="D212" s="1" t="s">
        <v>97</v>
      </c>
      <c r="E212" s="1">
        <v>62.17</v>
      </c>
      <c r="F212" s="1">
        <f>AVERAGE(E208:E212)</f>
        <v>70.462000000000018</v>
      </c>
      <c r="G212" s="6"/>
      <c r="H212" s="1">
        <v>6.5</v>
      </c>
      <c r="I212" s="1">
        <f>AVERAGE(H208:H212)</f>
        <v>3.5</v>
      </c>
      <c r="J212" s="6"/>
      <c r="K212" s="1">
        <v>1.91</v>
      </c>
      <c r="L212" s="1">
        <f>AVERAGE(K208:K212)</f>
        <v>1.472</v>
      </c>
      <c r="M212" s="57">
        <f t="shared" si="2"/>
        <v>70.58</v>
      </c>
    </row>
    <row r="213" spans="1:13" ht="15" customHeight="1">
      <c r="A213" s="1"/>
      <c r="B213" s="1"/>
      <c r="C213" s="1">
        <v>3</v>
      </c>
      <c r="D213" s="1" t="s">
        <v>94</v>
      </c>
      <c r="E213" s="1">
        <v>59.64</v>
      </c>
      <c r="F213" s="1"/>
      <c r="G213" s="6"/>
      <c r="H213" s="1">
        <v>8.6999999999999993</v>
      </c>
      <c r="I213" s="1"/>
      <c r="J213" s="6"/>
      <c r="K213" s="1">
        <v>2.74</v>
      </c>
      <c r="L213" s="1"/>
      <c r="M213" s="57">
        <f t="shared" si="2"/>
        <v>71.08</v>
      </c>
    </row>
    <row r="214" spans="1:13" ht="15" customHeight="1">
      <c r="A214" s="1"/>
      <c r="B214" s="1"/>
      <c r="C214" s="1">
        <v>3</v>
      </c>
      <c r="D214" s="1" t="s">
        <v>95</v>
      </c>
      <c r="E214" s="1">
        <v>80.040000000000006</v>
      </c>
      <c r="F214" s="1"/>
      <c r="G214" s="6"/>
      <c r="H214" s="1">
        <v>8.3000000000000007</v>
      </c>
      <c r="I214" s="1"/>
      <c r="J214" s="6"/>
      <c r="K214" s="1">
        <v>2.14</v>
      </c>
      <c r="L214" s="1"/>
      <c r="M214" s="57">
        <f t="shared" si="2"/>
        <v>90.48</v>
      </c>
    </row>
    <row r="215" spans="1:13" ht="15" customHeight="1">
      <c r="A215" s="1"/>
      <c r="B215" s="1"/>
      <c r="C215" s="1">
        <v>3</v>
      </c>
      <c r="D215" s="1" t="s">
        <v>96</v>
      </c>
      <c r="E215" s="1">
        <v>56.13</v>
      </c>
      <c r="F215" s="1"/>
      <c r="G215" s="6"/>
      <c r="H215" s="1">
        <v>5.4</v>
      </c>
      <c r="I215" s="1"/>
      <c r="J215" s="6"/>
      <c r="K215" s="1">
        <v>2.87</v>
      </c>
      <c r="L215" s="1"/>
      <c r="M215" s="57">
        <f t="shared" si="2"/>
        <v>64.400000000000006</v>
      </c>
    </row>
    <row r="216" spans="1:13" ht="15" customHeight="1">
      <c r="A216" s="1"/>
      <c r="B216" s="1"/>
      <c r="C216" s="1">
        <v>3</v>
      </c>
      <c r="D216" s="1" t="s">
        <v>39</v>
      </c>
      <c r="E216" s="1">
        <v>69.819999999999993</v>
      </c>
      <c r="F216" s="1"/>
      <c r="G216" s="6"/>
      <c r="H216" s="1">
        <v>5.3</v>
      </c>
      <c r="I216" s="1"/>
      <c r="J216" s="6"/>
      <c r="K216" s="1">
        <v>1.1499999999999999</v>
      </c>
      <c r="L216" s="1"/>
      <c r="M216" s="57">
        <f t="shared" si="2"/>
        <v>76.27</v>
      </c>
    </row>
    <row r="217" spans="1:13" ht="15" customHeight="1">
      <c r="A217" s="1"/>
      <c r="B217" s="1"/>
      <c r="C217" s="1">
        <v>3</v>
      </c>
      <c r="D217" s="1" t="s">
        <v>97</v>
      </c>
      <c r="E217" s="1">
        <v>62.53</v>
      </c>
      <c r="F217" s="1">
        <f>AVERAGE(E213:E217)</f>
        <v>65.631999999999991</v>
      </c>
      <c r="G217" s="6"/>
      <c r="H217" s="1">
        <v>4.7</v>
      </c>
      <c r="I217" s="1">
        <f>AVERAGE(H213:H217)</f>
        <v>6.4799999999999995</v>
      </c>
      <c r="J217" s="6"/>
      <c r="K217" s="1">
        <v>1.49</v>
      </c>
      <c r="L217" s="1">
        <f>AVERAGE(K213:K217)</f>
        <v>2.0780000000000003</v>
      </c>
      <c r="M217" s="57">
        <f t="shared" si="2"/>
        <v>68.72</v>
      </c>
    </row>
    <row r="218" spans="1:13" ht="15" customHeight="1">
      <c r="A218" s="1"/>
      <c r="B218" s="1"/>
      <c r="C218" s="1">
        <v>4</v>
      </c>
      <c r="D218" s="1" t="s">
        <v>94</v>
      </c>
      <c r="E218" s="1">
        <v>64.56</v>
      </c>
      <c r="F218" s="1"/>
      <c r="G218" s="6"/>
      <c r="H218" s="1">
        <v>2.5</v>
      </c>
      <c r="I218" s="1"/>
      <c r="J218" s="6"/>
      <c r="K218" s="1">
        <v>0.88</v>
      </c>
      <c r="L218" s="1"/>
      <c r="M218" s="57">
        <f t="shared" si="2"/>
        <v>67.94</v>
      </c>
    </row>
    <row r="219" spans="1:13" ht="15" customHeight="1">
      <c r="A219" s="1"/>
      <c r="B219" s="1"/>
      <c r="C219" s="1">
        <v>4</v>
      </c>
      <c r="D219" s="1" t="s">
        <v>95</v>
      </c>
      <c r="E219" s="1">
        <v>32.159999999999997</v>
      </c>
      <c r="F219" s="1"/>
      <c r="G219" s="6"/>
      <c r="H219" s="1">
        <v>3.2</v>
      </c>
      <c r="I219" s="1"/>
      <c r="J219" s="6"/>
      <c r="K219" s="1">
        <v>2.11</v>
      </c>
      <c r="L219" s="1"/>
      <c r="M219" s="57">
        <f t="shared" si="2"/>
        <v>37.47</v>
      </c>
    </row>
    <row r="220" spans="1:13" ht="15" customHeight="1">
      <c r="A220" s="1"/>
      <c r="B220" s="1"/>
      <c r="C220" s="1">
        <v>4</v>
      </c>
      <c r="D220" s="1" t="s">
        <v>96</v>
      </c>
      <c r="E220" s="1">
        <v>69.67</v>
      </c>
      <c r="F220" s="1"/>
      <c r="G220" s="6"/>
      <c r="H220" s="1">
        <v>4.3</v>
      </c>
      <c r="I220" s="1"/>
      <c r="J220" s="6"/>
      <c r="K220" s="1">
        <v>2.54</v>
      </c>
      <c r="L220" s="1"/>
      <c r="M220" s="57">
        <f t="shared" si="2"/>
        <v>76.510000000000005</v>
      </c>
    </row>
    <row r="221" spans="1:13" ht="15" customHeight="1">
      <c r="A221" s="1"/>
      <c r="B221" s="1"/>
      <c r="C221" s="1">
        <v>4</v>
      </c>
      <c r="D221" s="1" t="s">
        <v>39</v>
      </c>
      <c r="E221" s="1">
        <v>63.8</v>
      </c>
      <c r="F221" s="1"/>
      <c r="G221" s="6"/>
      <c r="H221" s="1">
        <v>5</v>
      </c>
      <c r="I221" s="1"/>
      <c r="J221" s="6"/>
      <c r="K221" s="1">
        <v>1.98</v>
      </c>
      <c r="L221" s="1"/>
      <c r="M221" s="57">
        <f t="shared" si="2"/>
        <v>70.78</v>
      </c>
    </row>
    <row r="222" spans="1:13" ht="15" customHeight="1">
      <c r="A222" s="1"/>
      <c r="B222" s="1"/>
      <c r="C222" s="1">
        <v>4</v>
      </c>
      <c r="D222" s="1" t="s">
        <v>97</v>
      </c>
      <c r="E222" s="1">
        <v>67.27</v>
      </c>
      <c r="F222" s="1">
        <f>AVERAGE(E218:E222)</f>
        <v>59.491999999999997</v>
      </c>
      <c r="G222" s="6"/>
      <c r="H222" s="1">
        <v>4</v>
      </c>
      <c r="I222" s="1">
        <f>AVERAGE(H218:H222)</f>
        <v>3.8</v>
      </c>
      <c r="J222" s="6"/>
      <c r="K222" s="1">
        <v>6.84</v>
      </c>
      <c r="L222" s="1">
        <f>AVERAGE(K218:K222)</f>
        <v>2.87</v>
      </c>
      <c r="M222" s="57">
        <f t="shared" si="2"/>
        <v>78.11</v>
      </c>
    </row>
    <row r="223" spans="1:13" ht="15.75" customHeight="1">
      <c r="A223" s="6"/>
      <c r="B223" s="6"/>
      <c r="C223" s="6"/>
      <c r="D223" s="6"/>
      <c r="E223" s="6"/>
      <c r="F223" s="6"/>
      <c r="G223" s="6"/>
      <c r="H223" s="6"/>
      <c r="I223" s="6"/>
      <c r="J223" s="6"/>
      <c r="K223" s="6"/>
      <c r="L223" s="6"/>
    </row>
    <row r="224" spans="1:13" ht="15.75" customHeight="1">
      <c r="A224" s="6"/>
      <c r="B224" s="6"/>
      <c r="C224" s="6"/>
      <c r="D224" s="6"/>
      <c r="E224" s="57">
        <f>MAX(E3:E222)</f>
        <v>106.4</v>
      </c>
      <c r="F224" s="6"/>
      <c r="G224" s="6"/>
      <c r="H224" s="57">
        <f>MAX(H3:H222)</f>
        <v>44.3</v>
      </c>
      <c r="I224" s="6"/>
      <c r="J224" s="6"/>
      <c r="K224" s="57">
        <f>MAX(K3:K222)</f>
        <v>16.940000000000001</v>
      </c>
      <c r="L224" s="6"/>
    </row>
    <row r="225" spans="1:12" ht="15.75" customHeight="1">
      <c r="A225" s="6"/>
      <c r="B225" s="6"/>
      <c r="C225" s="6"/>
      <c r="D225" s="6"/>
      <c r="E225" s="6"/>
      <c r="F225" s="6"/>
      <c r="G225" s="6"/>
      <c r="H225" s="6"/>
      <c r="I225" s="6"/>
      <c r="J225" s="6"/>
      <c r="K225" s="6"/>
      <c r="L225" s="6"/>
    </row>
    <row r="226" spans="1:12" ht="15.75" customHeight="1">
      <c r="A226" s="6"/>
      <c r="B226" s="6"/>
      <c r="C226" s="6"/>
      <c r="D226" s="6"/>
      <c r="E226" s="6"/>
      <c r="F226" s="6"/>
      <c r="G226" s="6"/>
      <c r="H226" s="6"/>
      <c r="I226" s="6"/>
      <c r="J226" s="6"/>
      <c r="K226" s="6"/>
      <c r="L226" s="6"/>
    </row>
    <row r="227" spans="1:12" ht="15.75" customHeight="1">
      <c r="A227" s="6"/>
      <c r="B227" s="6"/>
      <c r="C227" s="6"/>
      <c r="D227" s="6"/>
      <c r="E227" s="6"/>
      <c r="F227" s="6"/>
      <c r="G227" s="6" t="s">
        <v>92</v>
      </c>
      <c r="H227" s="6"/>
      <c r="I227" s="6"/>
      <c r="J227" s="6" t="s">
        <v>116</v>
      </c>
      <c r="K227" s="6"/>
      <c r="L227" s="6"/>
    </row>
    <row r="228" spans="1:12" ht="15.75" customHeight="1">
      <c r="A228" s="6"/>
      <c r="B228" s="6"/>
      <c r="C228" s="6"/>
      <c r="D228" s="6"/>
      <c r="E228" s="6" t="s">
        <v>91</v>
      </c>
      <c r="F228" s="6"/>
      <c r="G228" s="65" t="s">
        <v>117</v>
      </c>
      <c r="H228" s="6"/>
      <c r="I228" s="6"/>
      <c r="J228" s="6"/>
      <c r="K228" s="6"/>
      <c r="L228" s="6"/>
    </row>
    <row r="229" spans="1:12" ht="15.75" customHeight="1">
      <c r="A229" s="6"/>
      <c r="B229" s="6"/>
      <c r="C229" s="6"/>
      <c r="D229" s="6"/>
      <c r="E229" s="6" t="s">
        <v>123</v>
      </c>
      <c r="F229" s="6"/>
      <c r="G229" s="65" t="s">
        <v>124</v>
      </c>
      <c r="H229" s="6"/>
      <c r="I229" s="6"/>
      <c r="J229" s="6"/>
      <c r="K229" s="6"/>
      <c r="L229" s="6"/>
    </row>
    <row r="230" spans="1:12" ht="15.75" customHeight="1">
      <c r="A230" s="6"/>
      <c r="B230" s="6"/>
      <c r="C230" s="6"/>
      <c r="D230" s="6"/>
      <c r="E230" s="6" t="s">
        <v>126</v>
      </c>
      <c r="F230" s="6"/>
      <c r="G230" s="65" t="s">
        <v>128</v>
      </c>
      <c r="H230" s="6"/>
      <c r="I230" s="6"/>
      <c r="J230" s="6"/>
      <c r="K230" s="6"/>
      <c r="L230" s="6"/>
    </row>
    <row r="231" spans="1:12" ht="15.75" customHeight="1">
      <c r="A231" s="6"/>
      <c r="B231" s="6"/>
      <c r="C231" s="6"/>
      <c r="D231" s="6"/>
      <c r="E231" s="6" t="s">
        <v>129</v>
      </c>
      <c r="F231" s="6"/>
      <c r="G231" s="6"/>
      <c r="H231" s="6"/>
      <c r="I231" s="6"/>
      <c r="J231" s="6"/>
      <c r="K231" s="6"/>
      <c r="L231"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6"/>
  <sheetViews>
    <sheetView workbookViewId="0"/>
  </sheetViews>
  <sheetFormatPr defaultColWidth="17.28515625" defaultRowHeight="15" customHeight="1"/>
  <sheetData>
    <row r="1" spans="1:13">
      <c r="A1" s="4" t="s">
        <v>130</v>
      </c>
      <c r="B1" s="4"/>
      <c r="C1" s="1"/>
      <c r="D1" s="1"/>
      <c r="E1" s="1"/>
      <c r="F1" s="15"/>
      <c r="G1" s="17"/>
      <c r="H1" s="6"/>
    </row>
    <row r="2" spans="1:13">
      <c r="A2" s="1" t="s">
        <v>135</v>
      </c>
      <c r="B2" s="1"/>
      <c r="C2" s="1"/>
      <c r="D2" s="6"/>
      <c r="E2" s="6"/>
      <c r="F2" s="1"/>
      <c r="G2" s="1"/>
      <c r="H2" s="6"/>
      <c r="J2" s="8"/>
      <c r="K2" s="1" t="s">
        <v>31</v>
      </c>
      <c r="L2" s="6"/>
      <c r="M2" s="6"/>
    </row>
    <row r="3" spans="1:13">
      <c r="A3" s="1" t="s">
        <v>3</v>
      </c>
      <c r="B3" s="1" t="s">
        <v>6</v>
      </c>
      <c r="C3" s="1" t="s">
        <v>7</v>
      </c>
      <c r="D3" s="20">
        <v>41539</v>
      </c>
      <c r="E3" s="20">
        <v>41549</v>
      </c>
      <c r="F3" s="20">
        <v>41559</v>
      </c>
      <c r="G3" s="20">
        <v>41580</v>
      </c>
      <c r="H3" s="21" t="s">
        <v>45</v>
      </c>
      <c r="J3" s="10"/>
      <c r="K3" s="1" t="s">
        <v>33</v>
      </c>
      <c r="L3" s="6"/>
      <c r="M3" s="6"/>
    </row>
    <row r="4" spans="1:13">
      <c r="A4" s="1" t="s">
        <v>39</v>
      </c>
      <c r="B4" s="1">
        <v>1</v>
      </c>
      <c r="C4" s="1" t="s">
        <v>96</v>
      </c>
      <c r="D4" s="1">
        <v>9.5</v>
      </c>
      <c r="E4" s="1">
        <v>9.9</v>
      </c>
      <c r="F4" s="24">
        <f>AVERAGE(F5:F8)</f>
        <v>18.799999999999997</v>
      </c>
      <c r="G4" s="1">
        <v>26.2</v>
      </c>
      <c r="H4" s="21">
        <f t="shared" ref="H4:H8" si="0">SUM(D4:G4)</f>
        <v>64.399999999999991</v>
      </c>
    </row>
    <row r="5" spans="1:13">
      <c r="A5" s="1" t="s">
        <v>39</v>
      </c>
      <c r="B5" s="1">
        <v>1</v>
      </c>
      <c r="C5" s="1" t="s">
        <v>39</v>
      </c>
      <c r="D5" s="1">
        <v>17.5</v>
      </c>
      <c r="E5" s="1">
        <v>6.9</v>
      </c>
      <c r="F5" s="1">
        <v>21.4</v>
      </c>
      <c r="G5" s="1">
        <v>30.8</v>
      </c>
      <c r="H5" s="21">
        <f t="shared" si="0"/>
        <v>76.599999999999994</v>
      </c>
    </row>
    <row r="6" spans="1:13">
      <c r="A6" s="1" t="s">
        <v>39</v>
      </c>
      <c r="B6" s="1">
        <v>1</v>
      </c>
      <c r="C6" s="1" t="s">
        <v>97</v>
      </c>
      <c r="D6" s="1">
        <v>14.3</v>
      </c>
      <c r="E6" s="1">
        <v>8.1</v>
      </c>
      <c r="F6" s="1">
        <v>26.7</v>
      </c>
      <c r="G6" s="1">
        <v>21</v>
      </c>
      <c r="H6" s="21">
        <f t="shared" si="0"/>
        <v>70.099999999999994</v>
      </c>
    </row>
    <row r="7" spans="1:13">
      <c r="A7" s="1" t="s">
        <v>39</v>
      </c>
      <c r="B7" s="1">
        <v>1</v>
      </c>
      <c r="C7" s="1" t="s">
        <v>95</v>
      </c>
      <c r="D7" s="1">
        <v>5.7</v>
      </c>
      <c r="E7" s="1">
        <v>2.5</v>
      </c>
      <c r="F7" s="1">
        <v>13</v>
      </c>
      <c r="G7" s="1">
        <v>27.3</v>
      </c>
      <c r="H7" s="21">
        <f t="shared" si="0"/>
        <v>48.5</v>
      </c>
    </row>
    <row r="8" spans="1:13">
      <c r="A8" s="1" t="s">
        <v>39</v>
      </c>
      <c r="B8" s="1">
        <v>1</v>
      </c>
      <c r="C8" s="1" t="s">
        <v>94</v>
      </c>
      <c r="D8" s="1">
        <v>13.6</v>
      </c>
      <c r="E8" s="1">
        <v>6.5</v>
      </c>
      <c r="F8" s="1">
        <v>14.1</v>
      </c>
      <c r="G8" s="1">
        <v>25.6</v>
      </c>
      <c r="H8" s="21">
        <f t="shared" si="0"/>
        <v>59.800000000000004</v>
      </c>
    </row>
    <row r="9" spans="1:13">
      <c r="A9" s="1"/>
      <c r="B9" s="1"/>
      <c r="C9" s="1"/>
      <c r="D9" s="1"/>
      <c r="E9" s="20">
        <v>41551</v>
      </c>
      <c r="F9" s="20">
        <v>41560</v>
      </c>
      <c r="G9" s="20">
        <v>41576</v>
      </c>
      <c r="H9" s="21"/>
    </row>
    <row r="10" spans="1:13">
      <c r="A10" s="1" t="s">
        <v>106</v>
      </c>
      <c r="B10" s="1">
        <v>4</v>
      </c>
      <c r="C10" s="1" t="s">
        <v>94</v>
      </c>
      <c r="D10" s="24">
        <f>AVERAGE(D11,D13,D14)</f>
        <v>9.3666666666666654</v>
      </c>
      <c r="E10" s="1">
        <v>7.7</v>
      </c>
      <c r="F10" s="1">
        <v>34.299999999999997</v>
      </c>
      <c r="G10" s="1">
        <v>16</v>
      </c>
      <c r="H10" s="21">
        <f t="shared" ref="H10:H14" si="1">SUM(D10:G10)</f>
        <v>67.36666666666666</v>
      </c>
    </row>
    <row r="11" spans="1:13">
      <c r="A11" s="1" t="s">
        <v>106</v>
      </c>
      <c r="B11" s="1">
        <v>4</v>
      </c>
      <c r="C11" s="1" t="s">
        <v>107</v>
      </c>
      <c r="D11" s="1">
        <v>8.8000000000000007</v>
      </c>
      <c r="E11" s="1">
        <v>10</v>
      </c>
      <c r="F11" s="1">
        <v>48.3</v>
      </c>
      <c r="G11" s="1">
        <v>13.4</v>
      </c>
      <c r="H11" s="21">
        <f t="shared" si="1"/>
        <v>80.5</v>
      </c>
    </row>
    <row r="12" spans="1:13">
      <c r="A12" s="1" t="s">
        <v>106</v>
      </c>
      <c r="B12" s="1">
        <v>4</v>
      </c>
      <c r="C12" s="1" t="s">
        <v>108</v>
      </c>
      <c r="D12" s="24">
        <f>AVERAGE(D11,D13,D14)</f>
        <v>9.3666666666666654</v>
      </c>
      <c r="E12" s="1">
        <v>7.2</v>
      </c>
      <c r="F12" s="1">
        <v>36.200000000000003</v>
      </c>
      <c r="G12" s="1">
        <v>22.6</v>
      </c>
      <c r="H12" s="21">
        <f t="shared" si="1"/>
        <v>75.366666666666674</v>
      </c>
    </row>
    <row r="13" spans="1:13">
      <c r="A13" s="1" t="s">
        <v>106</v>
      </c>
      <c r="B13" s="1">
        <v>4</v>
      </c>
      <c r="C13" s="1" t="s">
        <v>96</v>
      </c>
      <c r="D13" s="1">
        <v>7.6</v>
      </c>
      <c r="E13" s="1">
        <v>6.3</v>
      </c>
      <c r="F13" s="1">
        <v>43.2</v>
      </c>
      <c r="G13" s="1">
        <v>25.3</v>
      </c>
      <c r="H13" s="21">
        <f t="shared" si="1"/>
        <v>82.4</v>
      </c>
    </row>
    <row r="14" spans="1:13">
      <c r="A14" s="1" t="s">
        <v>106</v>
      </c>
      <c r="B14" s="1">
        <v>4</v>
      </c>
      <c r="C14" s="1" t="s">
        <v>148</v>
      </c>
      <c r="D14" s="1">
        <v>11.7</v>
      </c>
      <c r="E14" s="1">
        <v>12.1</v>
      </c>
      <c r="F14" s="1">
        <v>46.4</v>
      </c>
      <c r="G14" s="1">
        <v>14.5</v>
      </c>
      <c r="H14" s="21">
        <f t="shared" si="1"/>
        <v>84.699999999999989</v>
      </c>
    </row>
    <row r="15" spans="1:13">
      <c r="A15" s="1"/>
      <c r="B15" s="1"/>
      <c r="C15" s="1"/>
      <c r="D15" s="1"/>
      <c r="E15" s="1"/>
      <c r="F15" s="1"/>
      <c r="G15" s="1"/>
      <c r="H15" s="21"/>
    </row>
    <row r="16" spans="1:13">
      <c r="A16" s="1"/>
      <c r="B16" s="1"/>
      <c r="C16" s="1"/>
      <c r="D16" s="20">
        <v>41538</v>
      </c>
      <c r="E16" s="20">
        <v>41548</v>
      </c>
      <c r="F16" s="20">
        <v>41560</v>
      </c>
      <c r="G16" s="20">
        <v>41580</v>
      </c>
      <c r="H16" s="21"/>
    </row>
    <row r="17" spans="1:8">
      <c r="A17" s="1" t="s">
        <v>112</v>
      </c>
      <c r="B17" s="1">
        <v>3</v>
      </c>
      <c r="C17" s="1" t="s">
        <v>94</v>
      </c>
      <c r="D17" s="1">
        <v>10</v>
      </c>
      <c r="E17" s="1">
        <v>7.9</v>
      </c>
      <c r="F17" s="1">
        <v>52.2</v>
      </c>
      <c r="G17" s="1">
        <v>4.2</v>
      </c>
      <c r="H17" s="21">
        <f t="shared" ref="H17:H21" si="2">SUM(D17:G17)</f>
        <v>74.3</v>
      </c>
    </row>
    <row r="18" spans="1:8">
      <c r="A18" s="1" t="s">
        <v>112</v>
      </c>
      <c r="B18" s="1">
        <v>3</v>
      </c>
      <c r="C18" s="1" t="s">
        <v>107</v>
      </c>
      <c r="D18" s="1">
        <v>10.8</v>
      </c>
      <c r="E18" s="1">
        <v>10.1</v>
      </c>
      <c r="F18" s="1">
        <v>63.2</v>
      </c>
      <c r="G18" s="1">
        <v>5.2</v>
      </c>
      <c r="H18" s="21">
        <f t="shared" si="2"/>
        <v>89.3</v>
      </c>
    </row>
    <row r="19" spans="1:8">
      <c r="A19" s="1" t="s">
        <v>112</v>
      </c>
      <c r="B19" s="1">
        <v>3</v>
      </c>
      <c r="C19" s="1" t="s">
        <v>108</v>
      </c>
      <c r="D19" s="1">
        <v>10.199999999999999</v>
      </c>
      <c r="E19" s="1">
        <v>7</v>
      </c>
      <c r="F19" s="1">
        <v>41.4</v>
      </c>
      <c r="G19" s="1">
        <v>3.5</v>
      </c>
      <c r="H19" s="21">
        <f t="shared" si="2"/>
        <v>62.099999999999994</v>
      </c>
    </row>
    <row r="20" spans="1:8">
      <c r="A20" s="1" t="s">
        <v>112</v>
      </c>
      <c r="B20" s="1">
        <v>3</v>
      </c>
      <c r="C20" s="1" t="s">
        <v>96</v>
      </c>
      <c r="D20" s="24">
        <f>AVERAGE(D17:D19,D21)</f>
        <v>10.875</v>
      </c>
      <c r="E20" s="1">
        <v>12.8</v>
      </c>
      <c r="F20" s="1">
        <v>58.7</v>
      </c>
      <c r="G20" s="1">
        <v>6.6</v>
      </c>
      <c r="H20" s="21">
        <f t="shared" si="2"/>
        <v>88.974999999999994</v>
      </c>
    </row>
    <row r="21" spans="1:8">
      <c r="A21" s="1" t="s">
        <v>112</v>
      </c>
      <c r="B21" s="1">
        <v>3</v>
      </c>
      <c r="C21" s="1" t="s">
        <v>148</v>
      </c>
      <c r="D21" s="1">
        <v>12.5</v>
      </c>
      <c r="E21" s="1">
        <v>8.1999999999999993</v>
      </c>
      <c r="F21" s="1">
        <v>63.3</v>
      </c>
      <c r="G21" s="1">
        <v>6.8</v>
      </c>
      <c r="H21" s="21">
        <f t="shared" si="2"/>
        <v>90.8</v>
      </c>
    </row>
    <row r="22" spans="1:8">
      <c r="A22" s="1"/>
      <c r="B22" s="1"/>
      <c r="C22" s="1"/>
      <c r="D22" s="1"/>
      <c r="E22" s="1"/>
      <c r="F22" s="1"/>
      <c r="G22" s="1"/>
      <c r="H22" s="21"/>
    </row>
    <row r="23" spans="1:8">
      <c r="A23" s="1"/>
      <c r="B23" s="1"/>
      <c r="C23" s="1"/>
      <c r="D23" s="20">
        <v>41538</v>
      </c>
      <c r="E23" s="20">
        <v>41548</v>
      </c>
      <c r="F23" s="20">
        <v>41560</v>
      </c>
      <c r="G23" s="20">
        <v>41578</v>
      </c>
      <c r="H23" s="21"/>
    </row>
    <row r="24" spans="1:8">
      <c r="A24" s="1" t="s">
        <v>112</v>
      </c>
      <c r="B24" s="1">
        <v>4</v>
      </c>
      <c r="C24" s="1" t="s">
        <v>94</v>
      </c>
      <c r="D24" s="1">
        <v>18.8</v>
      </c>
      <c r="E24" s="1">
        <v>6.8</v>
      </c>
      <c r="F24" s="1">
        <v>41.3</v>
      </c>
      <c r="G24" s="1">
        <v>2.5</v>
      </c>
      <c r="H24" s="21">
        <f t="shared" ref="H24:H28" si="3">SUM(D24:G24)</f>
        <v>69.400000000000006</v>
      </c>
    </row>
    <row r="25" spans="1:8">
      <c r="A25" s="1" t="s">
        <v>112</v>
      </c>
      <c r="B25" s="1">
        <v>4</v>
      </c>
      <c r="C25" s="1" t="s">
        <v>107</v>
      </c>
      <c r="D25" s="1">
        <v>12.6</v>
      </c>
      <c r="E25" s="1">
        <v>8.3000000000000007</v>
      </c>
      <c r="F25" s="1">
        <v>48.4</v>
      </c>
      <c r="G25" s="1">
        <v>4.4000000000000004</v>
      </c>
      <c r="H25" s="21">
        <f t="shared" si="3"/>
        <v>73.7</v>
      </c>
    </row>
    <row r="26" spans="1:8">
      <c r="A26" s="1" t="s">
        <v>112</v>
      </c>
      <c r="B26" s="1">
        <v>4</v>
      </c>
      <c r="C26" s="1" t="s">
        <v>108</v>
      </c>
      <c r="D26" s="1">
        <v>7.2</v>
      </c>
      <c r="E26" s="1">
        <v>9.1</v>
      </c>
      <c r="F26" s="1">
        <v>49.1</v>
      </c>
      <c r="G26" s="1">
        <v>3.9</v>
      </c>
      <c r="H26" s="21">
        <f t="shared" si="3"/>
        <v>69.300000000000011</v>
      </c>
    </row>
    <row r="27" spans="1:8">
      <c r="A27" s="1" t="s">
        <v>112</v>
      </c>
      <c r="B27" s="1">
        <v>4</v>
      </c>
      <c r="C27" s="1" t="s">
        <v>96</v>
      </c>
      <c r="D27" s="1">
        <v>16.8</v>
      </c>
      <c r="E27" s="1">
        <v>9.4</v>
      </c>
      <c r="F27" s="1">
        <v>50</v>
      </c>
      <c r="G27" s="1">
        <v>4.3</v>
      </c>
      <c r="H27" s="21">
        <f t="shared" si="3"/>
        <v>80.5</v>
      </c>
    </row>
    <row r="28" spans="1:8">
      <c r="A28" s="1" t="s">
        <v>112</v>
      </c>
      <c r="B28" s="1">
        <v>4</v>
      </c>
      <c r="C28" s="1" t="s">
        <v>148</v>
      </c>
      <c r="D28" s="1">
        <v>6.1</v>
      </c>
      <c r="E28" s="24">
        <f>AVERAGE(E24:E27)</f>
        <v>8.4</v>
      </c>
      <c r="F28" s="1">
        <v>53.1</v>
      </c>
      <c r="G28" s="1">
        <v>5.0999999999999996</v>
      </c>
      <c r="H28" s="21">
        <f t="shared" si="3"/>
        <v>72.699999999999989</v>
      </c>
    </row>
    <row r="29" spans="1:8">
      <c r="A29" s="1"/>
      <c r="B29" s="1"/>
      <c r="C29" s="1"/>
      <c r="D29" s="6"/>
      <c r="E29" s="6"/>
      <c r="F29" s="1"/>
      <c r="G29" s="1"/>
      <c r="H29" s="6"/>
    </row>
    <row r="30" spans="1:8">
      <c r="A30" s="1" t="s">
        <v>159</v>
      </c>
      <c r="B30" s="1"/>
      <c r="C30" s="1"/>
      <c r="D30" s="6"/>
      <c r="E30" s="6"/>
      <c r="F30" s="1"/>
      <c r="G30" s="1"/>
      <c r="H30" s="6"/>
    </row>
    <row r="31" spans="1:8">
      <c r="A31" s="1" t="s">
        <v>160</v>
      </c>
      <c r="B31" s="1"/>
      <c r="C31" s="1"/>
      <c r="D31" s="6"/>
      <c r="E31" s="6"/>
      <c r="F31" s="1"/>
      <c r="G31" s="1"/>
      <c r="H31" s="6"/>
    </row>
    <row r="32" spans="1:8">
      <c r="A32" s="1"/>
      <c r="B32" s="1"/>
      <c r="C32" s="1"/>
      <c r="D32" s="6"/>
      <c r="E32" s="6"/>
      <c r="F32" s="1"/>
      <c r="G32" s="1"/>
      <c r="H32" s="6"/>
    </row>
    <row r="33" spans="1:8">
      <c r="A33" s="1"/>
      <c r="B33" s="1"/>
      <c r="C33" s="1"/>
      <c r="D33" s="6"/>
      <c r="E33" s="6"/>
      <c r="F33" s="1"/>
      <c r="G33" s="1"/>
      <c r="H33" s="6"/>
    </row>
    <row r="34" spans="1:8">
      <c r="A34" s="4" t="s">
        <v>161</v>
      </c>
      <c r="B34" s="4"/>
      <c r="C34" s="4"/>
      <c r="D34" s="6"/>
      <c r="E34" s="6"/>
      <c r="F34" s="1"/>
      <c r="G34" s="1"/>
      <c r="H34" s="6"/>
    </row>
    <row r="35" spans="1:8">
      <c r="A35" s="4" t="s">
        <v>163</v>
      </c>
      <c r="B35" s="4"/>
      <c r="C35" s="4"/>
      <c r="D35" s="1"/>
      <c r="E35" s="1"/>
      <c r="F35" s="1"/>
      <c r="G35" s="1"/>
      <c r="H35" s="1"/>
    </row>
    <row r="36" spans="1:8">
      <c r="A36" s="1" t="s">
        <v>5</v>
      </c>
      <c r="B36" s="1" t="s">
        <v>6</v>
      </c>
      <c r="C36" s="1" t="s">
        <v>164</v>
      </c>
      <c r="D36" s="1" t="s">
        <v>165</v>
      </c>
      <c r="E36" s="6"/>
      <c r="F36" s="1"/>
      <c r="G36" s="1"/>
      <c r="H36" s="6"/>
    </row>
    <row r="37" spans="1:8">
      <c r="A37" s="1" t="s">
        <v>39</v>
      </c>
      <c r="B37" s="1">
        <v>1</v>
      </c>
      <c r="C37" s="1">
        <v>1</v>
      </c>
      <c r="D37" s="1" t="s">
        <v>94</v>
      </c>
      <c r="E37" s="6"/>
      <c r="F37" s="1"/>
      <c r="G37" s="1"/>
      <c r="H37" s="6"/>
    </row>
    <row r="38" spans="1:8">
      <c r="A38" s="1"/>
      <c r="B38" s="1">
        <v>1</v>
      </c>
      <c r="C38" s="1">
        <v>2</v>
      </c>
      <c r="D38" s="1" t="s">
        <v>95</v>
      </c>
      <c r="E38" s="6"/>
      <c r="F38" s="1"/>
      <c r="G38" s="1"/>
      <c r="H38" s="6"/>
    </row>
    <row r="39" spans="1:8">
      <c r="A39" s="1"/>
      <c r="B39" s="1">
        <v>1</v>
      </c>
      <c r="C39" s="1">
        <v>3</v>
      </c>
      <c r="D39" s="1" t="s">
        <v>96</v>
      </c>
      <c r="E39" s="6"/>
      <c r="F39" s="1"/>
      <c r="G39" s="1"/>
      <c r="H39" s="6"/>
    </row>
    <row r="40" spans="1:8">
      <c r="A40" s="1"/>
      <c r="B40" s="1">
        <v>1</v>
      </c>
      <c r="C40" s="1">
        <v>4</v>
      </c>
      <c r="D40" s="1" t="s">
        <v>39</v>
      </c>
      <c r="E40" s="6"/>
      <c r="F40" s="1"/>
      <c r="G40" s="1"/>
      <c r="H40" s="6"/>
    </row>
    <row r="41" spans="1:8">
      <c r="A41" s="1"/>
      <c r="B41" s="1">
        <v>1</v>
      </c>
      <c r="C41" s="1">
        <v>5</v>
      </c>
      <c r="D41" s="1" t="s">
        <v>97</v>
      </c>
      <c r="E41" s="6"/>
      <c r="F41" s="1"/>
      <c r="G41" s="1"/>
      <c r="H41" s="6"/>
    </row>
    <row r="42" spans="1:8">
      <c r="A42" s="1"/>
      <c r="B42" s="1">
        <v>2</v>
      </c>
      <c r="C42" s="1">
        <v>1</v>
      </c>
      <c r="D42" s="1" t="s">
        <v>94</v>
      </c>
      <c r="E42" s="6"/>
      <c r="F42" s="1"/>
      <c r="G42" s="1"/>
      <c r="H42" s="6"/>
    </row>
    <row r="43" spans="1:8">
      <c r="A43" s="1"/>
      <c r="B43" s="1">
        <v>2</v>
      </c>
      <c r="C43" s="1">
        <v>2</v>
      </c>
      <c r="D43" s="1" t="s">
        <v>95</v>
      </c>
      <c r="E43" s="6"/>
      <c r="F43" s="1"/>
      <c r="G43" s="1"/>
      <c r="H43" s="6"/>
    </row>
    <row r="44" spans="1:8">
      <c r="A44" s="1"/>
      <c r="B44" s="1">
        <v>2</v>
      </c>
      <c r="C44" s="1">
        <v>3</v>
      </c>
      <c r="D44" s="1" t="s">
        <v>96</v>
      </c>
      <c r="E44" s="6"/>
      <c r="F44" s="1"/>
      <c r="G44" s="1"/>
      <c r="H44" s="6"/>
    </row>
    <row r="45" spans="1:8">
      <c r="A45" s="1"/>
      <c r="B45" s="1">
        <v>2</v>
      </c>
      <c r="C45" s="1">
        <v>4</v>
      </c>
      <c r="D45" s="1" t="s">
        <v>39</v>
      </c>
      <c r="E45" s="6"/>
      <c r="F45" s="1"/>
      <c r="G45" s="1"/>
      <c r="H45" s="6"/>
    </row>
    <row r="46" spans="1:8">
      <c r="A46" s="1"/>
      <c r="B46" s="1">
        <v>2</v>
      </c>
      <c r="C46" s="1">
        <v>5</v>
      </c>
      <c r="D46" s="1" t="s">
        <v>97</v>
      </c>
      <c r="E46" s="6"/>
      <c r="F46" s="1"/>
      <c r="G46" s="1"/>
      <c r="H46" s="6"/>
    </row>
    <row r="47" spans="1:8">
      <c r="A47" s="1"/>
      <c r="B47" s="1">
        <v>3</v>
      </c>
      <c r="C47" s="1">
        <v>1</v>
      </c>
      <c r="D47" s="1" t="s">
        <v>94</v>
      </c>
      <c r="E47" s="6"/>
      <c r="F47" s="1"/>
      <c r="G47" s="1"/>
      <c r="H47" s="6"/>
    </row>
    <row r="48" spans="1:8">
      <c r="A48" s="1"/>
      <c r="B48" s="1">
        <v>3</v>
      </c>
      <c r="C48" s="1">
        <v>2</v>
      </c>
      <c r="D48" s="1" t="s">
        <v>95</v>
      </c>
      <c r="E48" s="6"/>
      <c r="F48" s="1"/>
      <c r="G48" s="1"/>
      <c r="H48" s="6"/>
    </row>
    <row r="49" spans="1:8">
      <c r="A49" s="1"/>
      <c r="B49" s="1">
        <v>3</v>
      </c>
      <c r="C49" s="1">
        <v>3</v>
      </c>
      <c r="D49" s="1" t="s">
        <v>96</v>
      </c>
      <c r="E49" s="6"/>
      <c r="F49" s="1"/>
      <c r="G49" s="1"/>
      <c r="H49" s="6"/>
    </row>
    <row r="50" spans="1:8">
      <c r="A50" s="1"/>
      <c r="B50" s="1">
        <v>3</v>
      </c>
      <c r="C50" s="1">
        <v>4</v>
      </c>
      <c r="D50" s="1" t="s">
        <v>39</v>
      </c>
      <c r="E50" s="6"/>
      <c r="F50" s="1"/>
      <c r="G50" s="1"/>
      <c r="H50" s="6"/>
    </row>
    <row r="51" spans="1:8">
      <c r="A51" s="1"/>
      <c r="B51" s="1">
        <v>3</v>
      </c>
      <c r="C51" s="1">
        <v>5</v>
      </c>
      <c r="D51" s="1" t="s">
        <v>97</v>
      </c>
      <c r="E51" s="6"/>
      <c r="F51" s="1"/>
      <c r="G51" s="1"/>
      <c r="H51" s="6"/>
    </row>
    <row r="52" spans="1:8">
      <c r="A52" s="1"/>
      <c r="B52" s="1">
        <v>4</v>
      </c>
      <c r="C52" s="1">
        <v>1</v>
      </c>
      <c r="D52" s="1" t="s">
        <v>94</v>
      </c>
      <c r="E52" s="6"/>
      <c r="F52" s="1"/>
      <c r="G52" s="1"/>
      <c r="H52" s="6"/>
    </row>
    <row r="53" spans="1:8">
      <c r="A53" s="1"/>
      <c r="B53" s="1">
        <v>4</v>
      </c>
      <c r="C53" s="1">
        <v>2</v>
      </c>
      <c r="D53" s="1" t="s">
        <v>95</v>
      </c>
      <c r="E53" s="6"/>
      <c r="F53" s="1"/>
      <c r="G53" s="1"/>
      <c r="H53" s="6"/>
    </row>
    <row r="54" spans="1:8">
      <c r="A54" s="1"/>
      <c r="B54" s="1">
        <v>4</v>
      </c>
      <c r="C54" s="1">
        <v>3</v>
      </c>
      <c r="D54" s="1" t="s">
        <v>96</v>
      </c>
      <c r="E54" s="6"/>
      <c r="F54" s="1"/>
      <c r="G54" s="1"/>
      <c r="H54" s="6"/>
    </row>
    <row r="55" spans="1:8">
      <c r="A55" s="1"/>
      <c r="B55" s="1">
        <v>4</v>
      </c>
      <c r="C55" s="1">
        <v>4</v>
      </c>
      <c r="D55" s="1" t="s">
        <v>39</v>
      </c>
      <c r="E55" s="6"/>
      <c r="F55" s="1"/>
      <c r="G55" s="1"/>
      <c r="H55" s="6"/>
    </row>
    <row r="56" spans="1:8">
      <c r="A56" s="1"/>
      <c r="B56" s="1">
        <v>4</v>
      </c>
      <c r="C56" s="1">
        <v>5</v>
      </c>
      <c r="D56" s="1" t="s">
        <v>97</v>
      </c>
      <c r="E56" s="6"/>
      <c r="F56" s="1"/>
      <c r="G56" s="1"/>
      <c r="H56" s="6"/>
    </row>
    <row r="57" spans="1:8">
      <c r="A57" s="1" t="s">
        <v>77</v>
      </c>
      <c r="B57" s="1">
        <v>1</v>
      </c>
      <c r="C57" s="1">
        <v>1</v>
      </c>
      <c r="D57" s="1" t="s">
        <v>94</v>
      </c>
      <c r="E57" s="6"/>
      <c r="F57" s="1"/>
      <c r="G57" s="1"/>
      <c r="H57" s="6"/>
    </row>
    <row r="58" spans="1:8">
      <c r="A58" s="1"/>
      <c r="B58" s="1">
        <v>1</v>
      </c>
      <c r="C58" s="1">
        <v>2</v>
      </c>
      <c r="D58" s="1" t="s">
        <v>39</v>
      </c>
      <c r="E58" s="6"/>
      <c r="F58" s="1"/>
      <c r="G58" s="1"/>
      <c r="H58" s="6"/>
    </row>
    <row r="59" spans="1:8">
      <c r="A59" s="1"/>
      <c r="B59" s="1">
        <v>1</v>
      </c>
      <c r="C59" s="1">
        <v>3</v>
      </c>
      <c r="D59" s="1" t="s">
        <v>96</v>
      </c>
      <c r="E59" s="6"/>
      <c r="F59" s="1"/>
      <c r="G59" s="1"/>
      <c r="H59" s="6"/>
    </row>
    <row r="60" spans="1:8">
      <c r="A60" s="1"/>
      <c r="B60" s="1">
        <v>1</v>
      </c>
      <c r="C60" s="1">
        <v>4</v>
      </c>
      <c r="D60" s="1" t="s">
        <v>95</v>
      </c>
      <c r="E60" s="6"/>
      <c r="F60" s="1"/>
      <c r="G60" s="1"/>
      <c r="H60" s="6"/>
    </row>
    <row r="61" spans="1:8">
      <c r="A61" s="1"/>
      <c r="B61" s="1">
        <v>1</v>
      </c>
      <c r="C61" s="1">
        <v>5</v>
      </c>
      <c r="D61" s="1" t="s">
        <v>97</v>
      </c>
      <c r="E61" s="6"/>
      <c r="F61" s="1"/>
      <c r="G61" s="1"/>
      <c r="H61" s="6"/>
    </row>
    <row r="62" spans="1:8">
      <c r="A62" s="1"/>
      <c r="B62" s="1">
        <v>2</v>
      </c>
      <c r="C62" s="1">
        <v>1</v>
      </c>
      <c r="D62" s="1" t="s">
        <v>39</v>
      </c>
      <c r="E62" s="6" t="s">
        <v>166</v>
      </c>
      <c r="F62" s="1"/>
      <c r="G62" s="1"/>
      <c r="H62" s="6"/>
    </row>
    <row r="63" spans="1:8">
      <c r="A63" s="1"/>
      <c r="B63" s="1">
        <v>2</v>
      </c>
      <c r="C63" s="1">
        <v>2</v>
      </c>
      <c r="D63" s="1" t="s">
        <v>95</v>
      </c>
      <c r="E63" s="6"/>
      <c r="F63" s="1"/>
      <c r="G63" s="1"/>
      <c r="H63" s="6"/>
    </row>
    <row r="64" spans="1:8">
      <c r="A64" s="1"/>
      <c r="B64" s="1">
        <v>2</v>
      </c>
      <c r="C64" s="1">
        <v>3</v>
      </c>
      <c r="D64" s="1" t="s">
        <v>96</v>
      </c>
      <c r="E64" s="6"/>
      <c r="F64" s="1"/>
      <c r="G64" s="1"/>
      <c r="H64" s="6"/>
    </row>
    <row r="65" spans="1:8">
      <c r="A65" s="1"/>
      <c r="B65" s="1">
        <v>2</v>
      </c>
      <c r="C65" s="1">
        <v>4</v>
      </c>
      <c r="D65" s="1" t="s">
        <v>97</v>
      </c>
      <c r="E65" s="6"/>
      <c r="F65" s="1"/>
      <c r="G65" s="1"/>
      <c r="H65" s="6"/>
    </row>
    <row r="66" spans="1:8">
      <c r="A66" s="1"/>
      <c r="B66" s="1">
        <v>2</v>
      </c>
      <c r="C66" s="1">
        <v>5</v>
      </c>
      <c r="D66" s="1" t="s">
        <v>95</v>
      </c>
      <c r="E66" s="6"/>
      <c r="F66" s="1"/>
      <c r="G66" s="1"/>
      <c r="H66" s="6"/>
    </row>
    <row r="67" spans="1:8">
      <c r="A67" s="1"/>
      <c r="B67" s="1">
        <v>3</v>
      </c>
      <c r="C67" s="1">
        <v>1</v>
      </c>
      <c r="D67" s="1" t="s">
        <v>39</v>
      </c>
      <c r="E67" s="6"/>
      <c r="F67" s="1"/>
      <c r="G67" s="1"/>
      <c r="H67" s="6"/>
    </row>
    <row r="68" spans="1:8">
      <c r="A68" s="1"/>
      <c r="B68" s="1">
        <v>3</v>
      </c>
      <c r="C68" s="1">
        <v>2</v>
      </c>
      <c r="D68" s="1" t="s">
        <v>94</v>
      </c>
      <c r="E68" s="6"/>
      <c r="F68" s="1"/>
      <c r="G68" s="1"/>
      <c r="H68" s="6"/>
    </row>
    <row r="69" spans="1:8">
      <c r="A69" s="1"/>
      <c r="B69" s="1">
        <v>3</v>
      </c>
      <c r="C69" s="1">
        <v>3</v>
      </c>
      <c r="D69" s="1" t="s">
        <v>96</v>
      </c>
      <c r="E69" s="6"/>
      <c r="F69" s="1"/>
      <c r="G69" s="1"/>
      <c r="H69" s="6"/>
    </row>
    <row r="70" spans="1:8">
      <c r="A70" s="1"/>
      <c r="B70" s="1">
        <v>3</v>
      </c>
      <c r="C70" s="1">
        <v>4</v>
      </c>
      <c r="D70" s="1" t="s">
        <v>97</v>
      </c>
      <c r="E70" s="6"/>
      <c r="F70" s="1"/>
      <c r="G70" s="1"/>
      <c r="H70" s="6"/>
    </row>
    <row r="71" spans="1:8">
      <c r="A71" s="1"/>
      <c r="B71" s="1">
        <v>3</v>
      </c>
      <c r="C71" s="1">
        <v>5</v>
      </c>
      <c r="D71" s="1" t="s">
        <v>95</v>
      </c>
      <c r="E71" s="6"/>
      <c r="F71" s="1"/>
      <c r="G71" s="1"/>
      <c r="H71" s="6"/>
    </row>
    <row r="72" spans="1:8">
      <c r="A72" s="1"/>
      <c r="B72" s="1">
        <v>4</v>
      </c>
      <c r="C72" s="1">
        <v>1</v>
      </c>
      <c r="D72" s="1" t="s">
        <v>94</v>
      </c>
      <c r="E72" s="6"/>
      <c r="F72" s="1"/>
      <c r="G72" s="1"/>
      <c r="H72" s="6"/>
    </row>
    <row r="73" spans="1:8">
      <c r="A73" s="1"/>
      <c r="B73" s="1">
        <v>4</v>
      </c>
      <c r="C73" s="1">
        <v>2</v>
      </c>
      <c r="D73" s="1" t="s">
        <v>95</v>
      </c>
      <c r="E73" s="6"/>
      <c r="F73" s="1"/>
      <c r="G73" s="1"/>
      <c r="H73" s="6"/>
    </row>
    <row r="74" spans="1:8">
      <c r="A74" s="1"/>
      <c r="B74" s="1">
        <v>4</v>
      </c>
      <c r="C74" s="1">
        <v>3</v>
      </c>
      <c r="D74" s="1" t="s">
        <v>96</v>
      </c>
      <c r="E74" s="6"/>
      <c r="F74" s="1"/>
      <c r="G74" s="1"/>
      <c r="H74" s="6"/>
    </row>
    <row r="75" spans="1:8">
      <c r="A75" s="1"/>
      <c r="B75" s="1">
        <v>4</v>
      </c>
      <c r="C75" s="1">
        <v>4</v>
      </c>
      <c r="D75" s="1" t="s">
        <v>97</v>
      </c>
      <c r="E75" s="6"/>
      <c r="F75" s="1"/>
      <c r="G75" s="1"/>
      <c r="H75" s="6"/>
    </row>
    <row r="76" spans="1:8">
      <c r="A76" s="1"/>
      <c r="B76" s="1">
        <v>4</v>
      </c>
      <c r="C76" s="1">
        <v>5</v>
      </c>
      <c r="D76" s="1" t="s">
        <v>39</v>
      </c>
      <c r="E76" s="6"/>
      <c r="F76" s="1"/>
      <c r="G76" s="1"/>
      <c r="H76" s="6"/>
    </row>
    <row r="77" spans="1:8">
      <c r="A77" s="1" t="s">
        <v>85</v>
      </c>
      <c r="B77" s="1">
        <v>1</v>
      </c>
      <c r="C77" s="1">
        <v>1</v>
      </c>
      <c r="D77" s="1" t="s">
        <v>94</v>
      </c>
      <c r="E77" s="6"/>
      <c r="F77" s="1"/>
      <c r="G77" s="1"/>
      <c r="H77" s="6"/>
    </row>
    <row r="78" spans="1:8">
      <c r="A78" s="1"/>
      <c r="B78" s="1">
        <v>1</v>
      </c>
      <c r="C78" s="1">
        <v>2</v>
      </c>
      <c r="D78" s="1" t="s">
        <v>39</v>
      </c>
      <c r="E78" s="6"/>
      <c r="F78" s="1"/>
      <c r="G78" s="1"/>
      <c r="H78" s="6"/>
    </row>
    <row r="79" spans="1:8">
      <c r="A79" s="1"/>
      <c r="B79" s="1">
        <v>1</v>
      </c>
      <c r="C79" s="1">
        <v>3</v>
      </c>
      <c r="D79" s="1" t="s">
        <v>96</v>
      </c>
      <c r="E79" s="6"/>
      <c r="F79" s="1"/>
      <c r="G79" s="1"/>
      <c r="H79" s="6"/>
    </row>
    <row r="80" spans="1:8">
      <c r="A80" s="1"/>
      <c r="B80" s="1">
        <v>1</v>
      </c>
      <c r="C80" s="1">
        <v>4</v>
      </c>
      <c r="D80" s="1" t="s">
        <v>95</v>
      </c>
      <c r="E80" s="6"/>
      <c r="F80" s="1"/>
      <c r="G80" s="1"/>
      <c r="H80" s="6"/>
    </row>
    <row r="81" spans="1:8">
      <c r="A81" s="1"/>
      <c r="B81" s="1">
        <v>1</v>
      </c>
      <c r="C81" s="1">
        <v>5</v>
      </c>
      <c r="D81" s="1" t="s">
        <v>97</v>
      </c>
      <c r="E81" s="6"/>
      <c r="F81" s="1"/>
      <c r="G81" s="1"/>
      <c r="H81" s="6"/>
    </row>
    <row r="82" spans="1:8">
      <c r="A82" s="1"/>
      <c r="B82" s="1">
        <v>2</v>
      </c>
      <c r="C82" s="1">
        <v>1</v>
      </c>
      <c r="D82" s="1" t="s">
        <v>94</v>
      </c>
      <c r="E82" s="6"/>
      <c r="F82" s="1"/>
      <c r="G82" s="1"/>
      <c r="H82" s="6"/>
    </row>
    <row r="83" spans="1:8">
      <c r="A83" s="1"/>
      <c r="B83" s="1">
        <v>2</v>
      </c>
      <c r="C83" s="1">
        <v>2</v>
      </c>
      <c r="D83" s="1" t="s">
        <v>39</v>
      </c>
      <c r="E83" s="6"/>
      <c r="F83" s="1"/>
      <c r="G83" s="1"/>
      <c r="H83" s="6"/>
    </row>
    <row r="84" spans="1:8">
      <c r="A84" s="1"/>
      <c r="B84" s="1">
        <v>2</v>
      </c>
      <c r="C84" s="1">
        <v>3</v>
      </c>
      <c r="D84" s="1" t="s">
        <v>96</v>
      </c>
      <c r="E84" s="6"/>
      <c r="F84" s="1"/>
      <c r="G84" s="1"/>
      <c r="H84" s="6"/>
    </row>
    <row r="85" spans="1:8">
      <c r="A85" s="1"/>
      <c r="B85" s="1">
        <v>2</v>
      </c>
      <c r="C85" s="1">
        <v>4</v>
      </c>
      <c r="D85" s="1" t="s">
        <v>95</v>
      </c>
      <c r="E85" s="6"/>
      <c r="F85" s="1"/>
      <c r="G85" s="1"/>
      <c r="H85" s="6"/>
    </row>
    <row r="86" spans="1:8">
      <c r="A86" s="1"/>
      <c r="B86" s="1">
        <v>2</v>
      </c>
      <c r="C86" s="1">
        <v>5</v>
      </c>
      <c r="D86" s="1" t="s">
        <v>97</v>
      </c>
      <c r="E86" s="6"/>
      <c r="F86" s="1"/>
      <c r="G86" s="1"/>
      <c r="H86" s="6"/>
    </row>
    <row r="87" spans="1:8">
      <c r="A87" s="1"/>
      <c r="B87" s="1">
        <v>3</v>
      </c>
      <c r="C87" s="1">
        <v>1</v>
      </c>
      <c r="D87" s="1" t="s">
        <v>94</v>
      </c>
      <c r="E87" s="6"/>
      <c r="F87" s="1"/>
      <c r="G87" s="1"/>
      <c r="H87" s="6"/>
    </row>
    <row r="88" spans="1:8">
      <c r="A88" s="1"/>
      <c r="B88" s="1">
        <v>3</v>
      </c>
      <c r="C88" s="1">
        <v>2</v>
      </c>
      <c r="D88" s="1" t="s">
        <v>39</v>
      </c>
      <c r="E88" s="6"/>
      <c r="F88" s="1"/>
      <c r="G88" s="1"/>
      <c r="H88" s="6"/>
    </row>
    <row r="89" spans="1:8">
      <c r="A89" s="1"/>
      <c r="B89" s="1">
        <v>3</v>
      </c>
      <c r="C89" s="1">
        <v>3</v>
      </c>
      <c r="D89" s="1" t="s">
        <v>96</v>
      </c>
      <c r="E89" s="6"/>
      <c r="F89" s="1"/>
      <c r="G89" s="1"/>
      <c r="H89" s="6"/>
    </row>
    <row r="90" spans="1:8">
      <c r="A90" s="1"/>
      <c r="B90" s="1">
        <v>3</v>
      </c>
      <c r="C90" s="1">
        <v>4</v>
      </c>
      <c r="D90" s="1" t="s">
        <v>95</v>
      </c>
      <c r="E90" s="6"/>
      <c r="F90" s="1"/>
      <c r="G90" s="1"/>
      <c r="H90" s="6"/>
    </row>
    <row r="91" spans="1:8">
      <c r="A91" s="1"/>
      <c r="B91" s="1">
        <v>3</v>
      </c>
      <c r="C91" s="1">
        <v>5</v>
      </c>
      <c r="D91" s="1" t="s">
        <v>97</v>
      </c>
      <c r="E91" s="6"/>
      <c r="F91" s="1"/>
      <c r="G91" s="1"/>
      <c r="H91" s="6"/>
    </row>
    <row r="92" spans="1:8">
      <c r="A92" s="1"/>
      <c r="B92" s="1">
        <v>4</v>
      </c>
      <c r="C92" s="1">
        <v>1</v>
      </c>
      <c r="D92" s="1" t="s">
        <v>94</v>
      </c>
      <c r="E92" s="6"/>
      <c r="F92" s="1"/>
      <c r="G92" s="1"/>
      <c r="H92" s="6"/>
    </row>
    <row r="93" spans="1:8">
      <c r="A93" s="1"/>
      <c r="B93" s="1">
        <v>4</v>
      </c>
      <c r="C93" s="1">
        <v>2</v>
      </c>
      <c r="D93" s="1" t="s">
        <v>39</v>
      </c>
      <c r="E93" s="6"/>
      <c r="F93" s="1"/>
      <c r="G93" s="1"/>
      <c r="H93" s="6"/>
    </row>
    <row r="94" spans="1:8">
      <c r="A94" s="1"/>
      <c r="B94" s="1">
        <v>4</v>
      </c>
      <c r="C94" s="1">
        <v>3</v>
      </c>
      <c r="D94" s="1" t="s">
        <v>96</v>
      </c>
      <c r="E94" s="6"/>
      <c r="F94" s="1"/>
      <c r="G94" s="1"/>
      <c r="H94" s="6"/>
    </row>
    <row r="95" spans="1:8">
      <c r="A95" s="1"/>
      <c r="B95" s="1">
        <v>4</v>
      </c>
      <c r="C95" s="1">
        <v>4</v>
      </c>
      <c r="D95" s="1" t="s">
        <v>95</v>
      </c>
      <c r="E95" s="6"/>
      <c r="F95" s="1"/>
      <c r="G95" s="1"/>
      <c r="H95" s="6"/>
    </row>
    <row r="96" spans="1:8">
      <c r="A96" s="1"/>
      <c r="B96" s="1">
        <v>4</v>
      </c>
      <c r="C96" s="1">
        <v>5</v>
      </c>
      <c r="D96" s="1" t="s">
        <v>97</v>
      </c>
      <c r="E96" s="6"/>
      <c r="F96" s="1"/>
      <c r="G96" s="1"/>
      <c r="H96" s="6"/>
    </row>
    <row r="97" spans="1:8">
      <c r="A97" s="1" t="s">
        <v>98</v>
      </c>
      <c r="B97" s="1">
        <v>1</v>
      </c>
      <c r="C97" s="1">
        <v>1</v>
      </c>
      <c r="D97" s="1"/>
      <c r="E97" s="6"/>
      <c r="F97" s="1"/>
      <c r="G97" s="1"/>
      <c r="H97" s="6"/>
    </row>
    <row r="98" spans="1:8">
      <c r="A98" s="1"/>
      <c r="B98" s="1">
        <v>1</v>
      </c>
      <c r="C98" s="1">
        <v>2</v>
      </c>
      <c r="D98" s="1"/>
      <c r="E98" s="6"/>
      <c r="F98" s="1"/>
      <c r="G98" s="1"/>
      <c r="H98" s="6"/>
    </row>
    <row r="99" spans="1:8">
      <c r="A99" s="1"/>
      <c r="B99" s="1">
        <v>1</v>
      </c>
      <c r="C99" s="1">
        <v>3</v>
      </c>
      <c r="D99" s="1"/>
      <c r="E99" s="6"/>
      <c r="F99" s="1"/>
      <c r="G99" s="1"/>
      <c r="H99" s="6"/>
    </row>
    <row r="100" spans="1:8">
      <c r="A100" s="1"/>
      <c r="B100" s="1">
        <v>1</v>
      </c>
      <c r="C100" s="1">
        <v>4</v>
      </c>
      <c r="D100" s="1"/>
      <c r="E100" s="6"/>
      <c r="F100" s="1"/>
      <c r="G100" s="1"/>
      <c r="H100" s="6"/>
    </row>
    <row r="101" spans="1:8">
      <c r="A101" s="1"/>
      <c r="B101" s="1">
        <v>1</v>
      </c>
      <c r="C101" s="1">
        <v>5</v>
      </c>
      <c r="D101" s="1"/>
      <c r="E101" s="6"/>
      <c r="F101" s="1"/>
      <c r="G101" s="1"/>
      <c r="H101" s="6"/>
    </row>
    <row r="102" spans="1:8">
      <c r="A102" s="1"/>
      <c r="B102" s="1">
        <v>2</v>
      </c>
      <c r="C102" s="1">
        <v>1</v>
      </c>
      <c r="D102" s="1"/>
      <c r="E102" s="6"/>
      <c r="F102" s="1"/>
      <c r="G102" s="1"/>
      <c r="H102" s="6"/>
    </row>
    <row r="103" spans="1:8">
      <c r="A103" s="1"/>
      <c r="B103" s="1">
        <v>2</v>
      </c>
      <c r="C103" s="1">
        <v>2</v>
      </c>
      <c r="D103" s="1"/>
      <c r="E103" s="6"/>
      <c r="F103" s="1"/>
      <c r="G103" s="1"/>
      <c r="H103" s="6"/>
    </row>
    <row r="104" spans="1:8">
      <c r="A104" s="1"/>
      <c r="B104" s="1">
        <v>2</v>
      </c>
      <c r="C104" s="1">
        <v>3</v>
      </c>
      <c r="D104" s="1"/>
      <c r="E104" s="6"/>
      <c r="F104" s="1"/>
      <c r="G104" s="1"/>
      <c r="H104" s="6"/>
    </row>
    <row r="105" spans="1:8">
      <c r="A105" s="1"/>
      <c r="B105" s="1">
        <v>2</v>
      </c>
      <c r="C105" s="1">
        <v>4</v>
      </c>
      <c r="D105" s="1"/>
      <c r="E105" s="6"/>
      <c r="F105" s="1"/>
      <c r="G105" s="1"/>
      <c r="H105" s="6"/>
    </row>
    <row r="106" spans="1:8">
      <c r="A106" s="1"/>
      <c r="B106" s="1">
        <v>2</v>
      </c>
      <c r="C106" s="1">
        <v>5</v>
      </c>
      <c r="D106" s="1"/>
      <c r="E106" s="6"/>
      <c r="F106" s="1"/>
      <c r="G106" s="1"/>
      <c r="H106" s="6"/>
    </row>
    <row r="107" spans="1:8">
      <c r="A107" s="1"/>
      <c r="B107" s="1">
        <v>3</v>
      </c>
      <c r="C107" s="1">
        <v>1</v>
      </c>
      <c r="D107" s="1"/>
      <c r="E107" s="6"/>
      <c r="F107" s="1"/>
      <c r="G107" s="1"/>
      <c r="H107" s="6"/>
    </row>
    <row r="108" spans="1:8">
      <c r="A108" s="1"/>
      <c r="B108" s="1">
        <v>3</v>
      </c>
      <c r="C108" s="1">
        <v>2</v>
      </c>
      <c r="D108" s="1"/>
      <c r="E108" s="6"/>
      <c r="F108" s="1"/>
      <c r="G108" s="1"/>
      <c r="H108" s="6"/>
    </row>
    <row r="109" spans="1:8">
      <c r="A109" s="1"/>
      <c r="B109" s="1">
        <v>3</v>
      </c>
      <c r="C109" s="1">
        <v>3</v>
      </c>
      <c r="D109" s="1"/>
      <c r="E109" s="6"/>
      <c r="F109" s="1"/>
      <c r="G109" s="1"/>
      <c r="H109" s="6"/>
    </row>
    <row r="110" spans="1:8">
      <c r="A110" s="1"/>
      <c r="B110" s="1">
        <v>3</v>
      </c>
      <c r="C110" s="1">
        <v>4</v>
      </c>
      <c r="D110" s="1"/>
      <c r="E110" s="6"/>
      <c r="F110" s="1"/>
      <c r="G110" s="1"/>
      <c r="H110" s="6"/>
    </row>
    <row r="111" spans="1:8">
      <c r="A111" s="1"/>
      <c r="B111" s="1">
        <v>3</v>
      </c>
      <c r="C111" s="1">
        <v>5</v>
      </c>
      <c r="D111" s="1"/>
      <c r="E111" s="6"/>
      <c r="F111" s="1"/>
      <c r="G111" s="1"/>
      <c r="H111" s="6"/>
    </row>
    <row r="112" spans="1:8">
      <c r="A112" s="1"/>
      <c r="B112" s="1">
        <v>4</v>
      </c>
      <c r="C112" s="1">
        <v>1</v>
      </c>
      <c r="D112" s="1"/>
      <c r="E112" s="6"/>
      <c r="F112" s="1"/>
      <c r="G112" s="1"/>
      <c r="H112" s="6"/>
    </row>
    <row r="113" spans="1:8">
      <c r="A113" s="1"/>
      <c r="B113" s="1">
        <v>4</v>
      </c>
      <c r="C113" s="1">
        <v>2</v>
      </c>
      <c r="D113" s="1"/>
      <c r="E113" s="6"/>
      <c r="F113" s="1"/>
      <c r="G113" s="1"/>
      <c r="H113" s="6"/>
    </row>
    <row r="114" spans="1:8">
      <c r="A114" s="1"/>
      <c r="B114" s="1">
        <v>4</v>
      </c>
      <c r="C114" s="1">
        <v>3</v>
      </c>
      <c r="D114" s="1"/>
      <c r="E114" s="6"/>
      <c r="F114" s="1"/>
      <c r="G114" s="1"/>
      <c r="H114" s="6"/>
    </row>
    <row r="115" spans="1:8">
      <c r="A115" s="1"/>
      <c r="B115" s="1">
        <v>4</v>
      </c>
      <c r="C115" s="1">
        <v>4</v>
      </c>
      <c r="D115" s="1"/>
      <c r="E115" s="6"/>
      <c r="F115" s="1"/>
      <c r="G115" s="1"/>
      <c r="H115" s="6"/>
    </row>
    <row r="116" spans="1:8">
      <c r="A116" s="1"/>
      <c r="B116" s="1">
        <v>4</v>
      </c>
      <c r="C116" s="1">
        <v>5</v>
      </c>
      <c r="D116" s="1"/>
      <c r="E116" s="6"/>
      <c r="F116" s="1"/>
      <c r="G116" s="1"/>
      <c r="H116" s="6"/>
    </row>
    <row r="117" spans="1:8">
      <c r="A117" s="1" t="s">
        <v>99</v>
      </c>
      <c r="B117" s="1">
        <v>1</v>
      </c>
      <c r="C117" s="1">
        <v>1</v>
      </c>
      <c r="D117" s="1" t="s">
        <v>94</v>
      </c>
      <c r="E117" s="6"/>
      <c r="F117" s="1"/>
      <c r="G117" s="1"/>
      <c r="H117" s="6"/>
    </row>
    <row r="118" spans="1:8">
      <c r="A118" s="1"/>
      <c r="B118" s="1">
        <v>1</v>
      </c>
      <c r="C118" s="1">
        <v>2</v>
      </c>
      <c r="D118" s="1" t="s">
        <v>95</v>
      </c>
      <c r="E118" s="6"/>
      <c r="F118" s="1"/>
      <c r="G118" s="1"/>
      <c r="H118" s="6"/>
    </row>
    <row r="119" spans="1:8">
      <c r="A119" s="1"/>
      <c r="B119" s="1">
        <v>1</v>
      </c>
      <c r="C119" s="1">
        <v>3</v>
      </c>
      <c r="D119" s="1" t="s">
        <v>96</v>
      </c>
      <c r="E119" s="6"/>
      <c r="F119" s="1"/>
      <c r="G119" s="1"/>
      <c r="H119" s="6"/>
    </row>
    <row r="120" spans="1:8">
      <c r="A120" s="1"/>
      <c r="B120" s="1">
        <v>1</v>
      </c>
      <c r="C120" s="1">
        <v>4</v>
      </c>
      <c r="D120" s="1" t="s">
        <v>39</v>
      </c>
      <c r="E120" s="6"/>
      <c r="F120" s="1"/>
      <c r="G120" s="1"/>
      <c r="H120" s="6"/>
    </row>
    <row r="121" spans="1:8">
      <c r="A121" s="1"/>
      <c r="B121" s="1">
        <v>1</v>
      </c>
      <c r="C121" s="1">
        <v>5</v>
      </c>
      <c r="D121" s="1" t="s">
        <v>97</v>
      </c>
      <c r="E121" s="6"/>
      <c r="F121" s="1"/>
      <c r="G121" s="1"/>
      <c r="H121" s="6"/>
    </row>
    <row r="122" spans="1:8">
      <c r="A122" s="1"/>
      <c r="B122" s="1">
        <v>2</v>
      </c>
      <c r="C122" s="1">
        <v>1</v>
      </c>
      <c r="D122" s="1" t="s">
        <v>94</v>
      </c>
      <c r="E122" s="6"/>
      <c r="F122" s="1"/>
      <c r="G122" s="1"/>
      <c r="H122" s="6"/>
    </row>
    <row r="123" spans="1:8">
      <c r="A123" s="1"/>
      <c r="B123" s="1">
        <v>2</v>
      </c>
      <c r="C123" s="1">
        <v>2</v>
      </c>
      <c r="D123" s="1" t="s">
        <v>95</v>
      </c>
      <c r="E123" s="6"/>
      <c r="F123" s="1"/>
      <c r="G123" s="1"/>
      <c r="H123" s="6"/>
    </row>
    <row r="124" spans="1:8">
      <c r="A124" s="1"/>
      <c r="B124" s="1">
        <v>2</v>
      </c>
      <c r="C124" s="1">
        <v>3</v>
      </c>
      <c r="D124" s="1" t="s">
        <v>96</v>
      </c>
      <c r="E124" s="6"/>
      <c r="F124" s="1"/>
      <c r="G124" s="1"/>
      <c r="H124" s="6"/>
    </row>
    <row r="125" spans="1:8">
      <c r="A125" s="1"/>
      <c r="B125" s="1">
        <v>2</v>
      </c>
      <c r="C125" s="1">
        <v>4</v>
      </c>
      <c r="D125" s="1" t="s">
        <v>39</v>
      </c>
      <c r="E125" s="6"/>
      <c r="F125" s="1"/>
      <c r="G125" s="1"/>
      <c r="H125" s="6"/>
    </row>
    <row r="126" spans="1:8">
      <c r="A126" s="1"/>
      <c r="B126" s="1">
        <v>2</v>
      </c>
      <c r="C126" s="1">
        <v>5</v>
      </c>
      <c r="D126" s="1" t="s">
        <v>97</v>
      </c>
      <c r="E126" s="6"/>
      <c r="F126" s="1"/>
      <c r="G126" s="1"/>
      <c r="H126" s="6"/>
    </row>
    <row r="127" spans="1:8">
      <c r="A127" s="1"/>
      <c r="B127" s="1">
        <v>3</v>
      </c>
      <c r="C127" s="1">
        <v>1</v>
      </c>
      <c r="D127" s="1" t="s">
        <v>94</v>
      </c>
      <c r="E127" s="6"/>
      <c r="F127" s="1"/>
      <c r="G127" s="1"/>
      <c r="H127" s="6"/>
    </row>
    <row r="128" spans="1:8">
      <c r="A128" s="1"/>
      <c r="B128" s="1">
        <v>3</v>
      </c>
      <c r="C128" s="1">
        <v>2</v>
      </c>
      <c r="D128" s="1" t="s">
        <v>95</v>
      </c>
      <c r="E128" s="6"/>
      <c r="F128" s="1"/>
      <c r="G128" s="1"/>
      <c r="H128" s="6"/>
    </row>
    <row r="129" spans="1:8">
      <c r="A129" s="1"/>
      <c r="B129" s="1">
        <v>3</v>
      </c>
      <c r="C129" s="1">
        <v>3</v>
      </c>
      <c r="D129" s="1" t="s">
        <v>96</v>
      </c>
      <c r="E129" s="6"/>
      <c r="F129" s="1"/>
      <c r="G129" s="1"/>
      <c r="H129" s="6"/>
    </row>
    <row r="130" spans="1:8">
      <c r="A130" s="1"/>
      <c r="B130" s="1">
        <v>3</v>
      </c>
      <c r="C130" s="1">
        <v>4</v>
      </c>
      <c r="D130" s="1" t="s">
        <v>39</v>
      </c>
      <c r="E130" s="6"/>
      <c r="F130" s="1"/>
      <c r="G130" s="1"/>
      <c r="H130" s="6"/>
    </row>
    <row r="131" spans="1:8">
      <c r="A131" s="1"/>
      <c r="B131" s="1">
        <v>3</v>
      </c>
      <c r="C131" s="1">
        <v>5</v>
      </c>
      <c r="D131" s="1" t="s">
        <v>97</v>
      </c>
      <c r="E131" s="6"/>
      <c r="F131" s="1"/>
      <c r="G131" s="1"/>
      <c r="H131" s="6"/>
    </row>
    <row r="132" spans="1:8">
      <c r="A132" s="1"/>
      <c r="B132" s="1">
        <v>4</v>
      </c>
      <c r="C132" s="1">
        <v>1</v>
      </c>
      <c r="D132" s="1" t="s">
        <v>94</v>
      </c>
      <c r="E132" s="6"/>
      <c r="F132" s="1"/>
      <c r="G132" s="1"/>
      <c r="H132" s="6"/>
    </row>
    <row r="133" spans="1:8">
      <c r="A133" s="1"/>
      <c r="B133" s="1">
        <v>4</v>
      </c>
      <c r="C133" s="1">
        <v>2</v>
      </c>
      <c r="D133" s="1" t="s">
        <v>95</v>
      </c>
      <c r="E133" s="6"/>
      <c r="F133" s="1"/>
      <c r="G133" s="1"/>
      <c r="H133" s="6"/>
    </row>
    <row r="134" spans="1:8">
      <c r="A134" s="1"/>
      <c r="B134" s="1">
        <v>4</v>
      </c>
      <c r="C134" s="1">
        <v>3</v>
      </c>
      <c r="D134" s="1" t="s">
        <v>96</v>
      </c>
      <c r="E134" s="6"/>
      <c r="F134" s="1"/>
      <c r="G134" s="1"/>
      <c r="H134" s="6"/>
    </row>
    <row r="135" spans="1:8">
      <c r="A135" s="1"/>
      <c r="B135" s="1">
        <v>4</v>
      </c>
      <c r="C135" s="1">
        <v>4</v>
      </c>
      <c r="D135" s="1" t="s">
        <v>39</v>
      </c>
      <c r="E135" s="6"/>
      <c r="F135" s="1"/>
      <c r="G135" s="1"/>
      <c r="H135" s="6"/>
    </row>
    <row r="136" spans="1:8">
      <c r="A136" s="1"/>
      <c r="B136" s="1">
        <v>4</v>
      </c>
      <c r="C136" s="1">
        <v>5</v>
      </c>
      <c r="D136" s="1" t="s">
        <v>97</v>
      </c>
      <c r="E136" s="6"/>
      <c r="F136" s="1"/>
      <c r="G136" s="1"/>
      <c r="H136" s="6"/>
    </row>
    <row r="137" spans="1:8">
      <c r="A137" s="1" t="s">
        <v>101</v>
      </c>
      <c r="B137" s="1">
        <v>1</v>
      </c>
      <c r="C137" s="1">
        <v>1</v>
      </c>
      <c r="D137" s="1"/>
      <c r="E137" s="6"/>
      <c r="F137" s="1"/>
      <c r="G137" s="1"/>
      <c r="H137" s="6"/>
    </row>
    <row r="138" spans="1:8">
      <c r="A138" s="1"/>
      <c r="B138" s="1">
        <v>1</v>
      </c>
      <c r="C138" s="1">
        <v>2</v>
      </c>
      <c r="D138" s="1"/>
      <c r="E138" s="6"/>
      <c r="F138" s="1"/>
      <c r="G138" s="1"/>
      <c r="H138" s="6"/>
    </row>
    <row r="139" spans="1:8">
      <c r="A139" s="1"/>
      <c r="B139" s="1">
        <v>1</v>
      </c>
      <c r="C139" s="1">
        <v>3</v>
      </c>
      <c r="D139" s="1"/>
      <c r="E139" s="6"/>
      <c r="F139" s="1"/>
      <c r="G139" s="1"/>
      <c r="H139" s="6"/>
    </row>
    <row r="140" spans="1:8">
      <c r="A140" s="1"/>
      <c r="B140" s="1">
        <v>1</v>
      </c>
      <c r="C140" s="1">
        <v>4</v>
      </c>
      <c r="D140" s="1"/>
      <c r="E140" s="6"/>
      <c r="F140" s="1"/>
      <c r="G140" s="1"/>
      <c r="H140" s="6"/>
    </row>
    <row r="141" spans="1:8">
      <c r="A141" s="1"/>
      <c r="B141" s="1">
        <v>1</v>
      </c>
      <c r="C141" s="1">
        <v>5</v>
      </c>
      <c r="D141" s="1"/>
      <c r="E141" s="6"/>
      <c r="F141" s="1"/>
      <c r="G141" s="1"/>
      <c r="H141" s="6"/>
    </row>
    <row r="142" spans="1:8">
      <c r="A142" s="1"/>
      <c r="B142" s="1">
        <v>2</v>
      </c>
      <c r="C142" s="1">
        <v>1</v>
      </c>
      <c r="D142" s="1"/>
      <c r="E142" s="6"/>
      <c r="F142" s="1"/>
      <c r="G142" s="1"/>
      <c r="H142" s="6"/>
    </row>
    <row r="143" spans="1:8">
      <c r="A143" s="1"/>
      <c r="B143" s="1">
        <v>2</v>
      </c>
      <c r="C143" s="1">
        <v>2</v>
      </c>
      <c r="D143" s="1"/>
      <c r="E143" s="6"/>
      <c r="F143" s="1"/>
      <c r="G143" s="1"/>
      <c r="H143" s="6"/>
    </row>
    <row r="144" spans="1:8">
      <c r="A144" s="1"/>
      <c r="B144" s="1">
        <v>2</v>
      </c>
      <c r="C144" s="1">
        <v>3</v>
      </c>
      <c r="D144" s="1"/>
      <c r="E144" s="6"/>
      <c r="F144" s="1"/>
      <c r="G144" s="1"/>
      <c r="H144" s="6"/>
    </row>
    <row r="145" spans="1:8">
      <c r="A145" s="1"/>
      <c r="B145" s="1">
        <v>2</v>
      </c>
      <c r="C145" s="1">
        <v>4</v>
      </c>
      <c r="D145" s="1"/>
      <c r="E145" s="6"/>
      <c r="F145" s="1"/>
      <c r="G145" s="1"/>
      <c r="H145" s="6"/>
    </row>
    <row r="146" spans="1:8">
      <c r="A146" s="1"/>
      <c r="B146" s="1">
        <v>2</v>
      </c>
      <c r="C146" s="1">
        <v>5</v>
      </c>
      <c r="D146" s="1"/>
      <c r="E146" s="6"/>
      <c r="F146" s="1"/>
      <c r="G146" s="1"/>
      <c r="H146" s="6"/>
    </row>
    <row r="147" spans="1:8">
      <c r="A147" s="1"/>
      <c r="B147" s="1">
        <v>3</v>
      </c>
      <c r="C147" s="1">
        <v>1</v>
      </c>
      <c r="D147" s="1"/>
      <c r="E147" s="6"/>
      <c r="F147" s="1"/>
      <c r="G147" s="1"/>
      <c r="H147" s="6"/>
    </row>
    <row r="148" spans="1:8">
      <c r="A148" s="1"/>
      <c r="B148" s="1">
        <v>3</v>
      </c>
      <c r="C148" s="1">
        <v>2</v>
      </c>
      <c r="D148" s="1"/>
      <c r="E148" s="6"/>
      <c r="F148" s="1"/>
      <c r="G148" s="1"/>
      <c r="H148" s="6"/>
    </row>
    <row r="149" spans="1:8">
      <c r="A149" s="1"/>
      <c r="B149" s="1">
        <v>3</v>
      </c>
      <c r="C149" s="1">
        <v>3</v>
      </c>
      <c r="D149" s="1"/>
      <c r="E149" s="6"/>
      <c r="F149" s="1"/>
      <c r="G149" s="1"/>
      <c r="H149" s="6"/>
    </row>
    <row r="150" spans="1:8">
      <c r="A150" s="1"/>
      <c r="B150" s="1">
        <v>3</v>
      </c>
      <c r="C150" s="1">
        <v>4</v>
      </c>
      <c r="D150" s="1"/>
      <c r="E150" s="6"/>
      <c r="F150" s="1"/>
      <c r="G150" s="1"/>
      <c r="H150" s="6"/>
    </row>
    <row r="151" spans="1:8">
      <c r="A151" s="1"/>
      <c r="B151" s="1">
        <v>3</v>
      </c>
      <c r="C151" s="1">
        <v>5</v>
      </c>
      <c r="D151" s="1"/>
      <c r="E151" s="6"/>
      <c r="F151" s="1"/>
      <c r="G151" s="1"/>
      <c r="H151" s="6"/>
    </row>
    <row r="152" spans="1:8">
      <c r="A152" s="1"/>
      <c r="B152" s="1">
        <v>4</v>
      </c>
      <c r="C152" s="1">
        <v>1</v>
      </c>
      <c r="D152" s="1"/>
      <c r="E152" s="6"/>
      <c r="F152" s="1"/>
      <c r="G152" s="1"/>
      <c r="H152" s="6"/>
    </row>
    <row r="153" spans="1:8">
      <c r="A153" s="1"/>
      <c r="B153" s="1">
        <v>4</v>
      </c>
      <c r="C153" s="1">
        <v>2</v>
      </c>
      <c r="D153" s="1"/>
      <c r="E153" s="6"/>
      <c r="F153" s="1"/>
      <c r="G153" s="1"/>
      <c r="H153" s="6"/>
    </row>
    <row r="154" spans="1:8">
      <c r="A154" s="1"/>
      <c r="B154" s="1">
        <v>4</v>
      </c>
      <c r="C154" s="1">
        <v>3</v>
      </c>
      <c r="D154" s="1"/>
      <c r="E154" s="6"/>
      <c r="F154" s="1"/>
      <c r="G154" s="1"/>
      <c r="H154" s="6"/>
    </row>
    <row r="155" spans="1:8">
      <c r="A155" s="1"/>
      <c r="B155" s="1">
        <v>4</v>
      </c>
      <c r="C155" s="1">
        <v>4</v>
      </c>
      <c r="D155" s="1"/>
      <c r="E155" s="6"/>
      <c r="F155" s="1"/>
      <c r="G155" s="1"/>
      <c r="H155" s="6"/>
    </row>
    <row r="156" spans="1:8">
      <c r="A156" s="1"/>
      <c r="B156" s="1">
        <v>4</v>
      </c>
      <c r="C156" s="1">
        <v>5</v>
      </c>
      <c r="D156" s="1"/>
      <c r="E156" s="6"/>
      <c r="F156" s="1"/>
      <c r="G156" s="1"/>
      <c r="H156" s="6"/>
    </row>
    <row r="157" spans="1:8">
      <c r="A157" s="1" t="s">
        <v>102</v>
      </c>
      <c r="B157" s="1">
        <v>1</v>
      </c>
      <c r="C157" s="1">
        <v>1</v>
      </c>
      <c r="D157" s="1" t="s">
        <v>97</v>
      </c>
      <c r="E157" s="6"/>
      <c r="F157" s="1"/>
      <c r="G157" s="1"/>
      <c r="H157" s="6"/>
    </row>
    <row r="158" spans="1:8">
      <c r="A158" s="1"/>
      <c r="B158" s="1">
        <v>1</v>
      </c>
      <c r="C158" s="1">
        <v>2</v>
      </c>
      <c r="D158" s="1" t="s">
        <v>39</v>
      </c>
      <c r="E158" s="6"/>
      <c r="F158" s="1"/>
      <c r="G158" s="1"/>
      <c r="H158" s="6"/>
    </row>
    <row r="159" spans="1:8">
      <c r="A159" s="1"/>
      <c r="B159" s="1">
        <v>1</v>
      </c>
      <c r="C159" s="1">
        <v>3</v>
      </c>
      <c r="D159" s="1" t="s">
        <v>96</v>
      </c>
      <c r="E159" s="6"/>
      <c r="F159" s="1"/>
      <c r="G159" s="1"/>
      <c r="H159" s="6"/>
    </row>
    <row r="160" spans="1:8">
      <c r="A160" s="1"/>
      <c r="B160" s="1">
        <v>1</v>
      </c>
      <c r="C160" s="1">
        <v>4</v>
      </c>
      <c r="D160" s="1" t="s">
        <v>94</v>
      </c>
      <c r="E160" s="6"/>
      <c r="F160" s="1"/>
      <c r="G160" s="1"/>
      <c r="H160" s="6"/>
    </row>
    <row r="161" spans="1:8">
      <c r="A161" s="1"/>
      <c r="B161" s="1">
        <v>1</v>
      </c>
      <c r="C161" s="1">
        <v>5</v>
      </c>
      <c r="D161" s="1" t="s">
        <v>95</v>
      </c>
      <c r="E161" s="6"/>
      <c r="F161" s="1"/>
      <c r="G161" s="1"/>
      <c r="H161" s="6"/>
    </row>
    <row r="162" spans="1:8">
      <c r="A162" s="1"/>
      <c r="B162" s="1">
        <v>2</v>
      </c>
      <c r="C162" s="1">
        <v>1</v>
      </c>
      <c r="D162" s="1" t="s">
        <v>94</v>
      </c>
      <c r="E162" s="6"/>
      <c r="F162" s="1"/>
      <c r="G162" s="1"/>
      <c r="H162" s="6"/>
    </row>
    <row r="163" spans="1:8">
      <c r="A163" s="1"/>
      <c r="B163" s="1">
        <v>2</v>
      </c>
      <c r="C163" s="1">
        <v>2</v>
      </c>
      <c r="D163" s="1" t="s">
        <v>95</v>
      </c>
      <c r="E163" s="6"/>
      <c r="F163" s="1"/>
      <c r="G163" s="1"/>
      <c r="H163" s="6"/>
    </row>
    <row r="164" spans="1:8">
      <c r="A164" s="1"/>
      <c r="B164" s="1">
        <v>2</v>
      </c>
      <c r="C164" s="1">
        <v>3</v>
      </c>
      <c r="D164" s="1" t="s">
        <v>96</v>
      </c>
      <c r="E164" s="6"/>
      <c r="F164" s="1"/>
      <c r="G164" s="1"/>
      <c r="H164" s="6"/>
    </row>
    <row r="165" spans="1:8">
      <c r="A165" s="1"/>
      <c r="B165" s="1">
        <v>2</v>
      </c>
      <c r="C165" s="1">
        <v>4</v>
      </c>
      <c r="D165" s="1" t="s">
        <v>39</v>
      </c>
      <c r="E165" s="6"/>
      <c r="F165" s="1"/>
      <c r="G165" s="1"/>
      <c r="H165" s="6"/>
    </row>
    <row r="166" spans="1:8">
      <c r="A166" s="1"/>
      <c r="B166" s="1">
        <v>2</v>
      </c>
      <c r="C166" s="1">
        <v>5</v>
      </c>
      <c r="D166" s="1" t="s">
        <v>97</v>
      </c>
      <c r="E166" s="6"/>
      <c r="F166" s="1"/>
      <c r="G166" s="1"/>
      <c r="H166" s="6"/>
    </row>
    <row r="167" spans="1:8">
      <c r="A167" s="1"/>
      <c r="B167" s="1">
        <v>3</v>
      </c>
      <c r="C167" s="1">
        <v>1</v>
      </c>
      <c r="D167" s="1" t="s">
        <v>94</v>
      </c>
      <c r="E167" s="6"/>
      <c r="F167" s="1"/>
      <c r="G167" s="1"/>
      <c r="H167" s="6"/>
    </row>
    <row r="168" spans="1:8">
      <c r="A168" s="1"/>
      <c r="B168" s="1">
        <v>3</v>
      </c>
      <c r="C168" s="1">
        <v>2</v>
      </c>
      <c r="D168" s="1" t="s">
        <v>95</v>
      </c>
      <c r="E168" s="6"/>
      <c r="F168" s="1"/>
      <c r="G168" s="1"/>
      <c r="H168" s="6"/>
    </row>
    <row r="169" spans="1:8">
      <c r="A169" s="1"/>
      <c r="B169" s="1">
        <v>3</v>
      </c>
      <c r="C169" s="1">
        <v>3</v>
      </c>
      <c r="D169" s="1" t="s">
        <v>96</v>
      </c>
      <c r="E169" s="6"/>
      <c r="F169" s="1"/>
      <c r="G169" s="1"/>
      <c r="H169" s="6"/>
    </row>
    <row r="170" spans="1:8">
      <c r="A170" s="1"/>
      <c r="B170" s="1">
        <v>3</v>
      </c>
      <c r="C170" s="1">
        <v>4</v>
      </c>
      <c r="D170" s="1" t="s">
        <v>39</v>
      </c>
      <c r="E170" s="6"/>
      <c r="F170" s="1"/>
      <c r="G170" s="1"/>
      <c r="H170" s="6"/>
    </row>
    <row r="171" spans="1:8">
      <c r="A171" s="1"/>
      <c r="B171" s="1">
        <v>3</v>
      </c>
      <c r="C171" s="1">
        <v>5</v>
      </c>
      <c r="D171" s="1" t="s">
        <v>97</v>
      </c>
      <c r="E171" s="6"/>
      <c r="F171" s="1"/>
      <c r="G171" s="1"/>
      <c r="H171" s="6"/>
    </row>
    <row r="172" spans="1:8">
      <c r="A172" s="1"/>
      <c r="B172" s="1">
        <v>4</v>
      </c>
      <c r="C172" s="1">
        <v>1</v>
      </c>
      <c r="D172" s="1" t="s">
        <v>94</v>
      </c>
      <c r="E172" s="6"/>
      <c r="F172" s="1"/>
      <c r="G172" s="1"/>
      <c r="H172" s="6"/>
    </row>
    <row r="173" spans="1:8">
      <c r="A173" s="1"/>
      <c r="B173" s="1">
        <v>4</v>
      </c>
      <c r="C173" s="1">
        <v>2</v>
      </c>
      <c r="D173" s="1" t="s">
        <v>95</v>
      </c>
      <c r="E173" s="6"/>
      <c r="F173" s="1"/>
      <c r="G173" s="1"/>
      <c r="H173" s="6"/>
    </row>
    <row r="174" spans="1:8">
      <c r="A174" s="1"/>
      <c r="B174" s="1">
        <v>4</v>
      </c>
      <c r="C174" s="1">
        <v>3</v>
      </c>
      <c r="D174" s="1" t="s">
        <v>96</v>
      </c>
      <c r="E174" s="6"/>
      <c r="F174" s="1"/>
      <c r="G174" s="1"/>
      <c r="H174" s="6"/>
    </row>
    <row r="175" spans="1:8">
      <c r="A175" s="1"/>
      <c r="B175" s="1">
        <v>4</v>
      </c>
      <c r="C175" s="1">
        <v>4</v>
      </c>
      <c r="D175" s="1" t="s">
        <v>39</v>
      </c>
      <c r="E175" s="6"/>
      <c r="F175" s="1"/>
      <c r="G175" s="1"/>
      <c r="H175" s="6"/>
    </row>
    <row r="176" spans="1:8">
      <c r="A176" s="1"/>
      <c r="B176" s="1">
        <v>4</v>
      </c>
      <c r="C176" s="1">
        <v>5</v>
      </c>
      <c r="D176" s="1" t="s">
        <v>97</v>
      </c>
      <c r="E176" s="6"/>
      <c r="F176" s="1"/>
      <c r="G176" s="1"/>
      <c r="H176" s="6"/>
    </row>
    <row r="177" spans="1:8">
      <c r="A177" s="1" t="s">
        <v>106</v>
      </c>
      <c r="B177" s="1">
        <v>1</v>
      </c>
      <c r="C177" s="1">
        <v>1</v>
      </c>
      <c r="D177" s="1" t="s">
        <v>96</v>
      </c>
      <c r="E177" s="6"/>
      <c r="F177" s="1"/>
      <c r="G177" s="1"/>
      <c r="H177" s="6"/>
    </row>
    <row r="178" spans="1:8">
      <c r="A178" s="1"/>
      <c r="B178" s="1">
        <v>1</v>
      </c>
      <c r="C178" s="1">
        <v>2</v>
      </c>
      <c r="D178" s="1" t="s">
        <v>107</v>
      </c>
      <c r="E178" s="6"/>
      <c r="F178" s="1"/>
      <c r="G178" s="1"/>
      <c r="H178" s="6"/>
    </row>
    <row r="179" spans="1:8">
      <c r="A179" s="1"/>
      <c r="B179" s="1">
        <v>1</v>
      </c>
      <c r="C179" s="1">
        <v>3</v>
      </c>
      <c r="D179" s="1" t="s">
        <v>94</v>
      </c>
      <c r="E179" s="6"/>
      <c r="F179" s="1"/>
      <c r="G179" s="1"/>
      <c r="H179" s="6"/>
    </row>
    <row r="180" spans="1:8">
      <c r="A180" s="1"/>
      <c r="B180" s="1">
        <v>1</v>
      </c>
      <c r="C180" s="1">
        <v>4</v>
      </c>
      <c r="D180" s="1" t="s">
        <v>108</v>
      </c>
      <c r="E180" s="6"/>
      <c r="F180" s="1"/>
      <c r="G180" s="1"/>
      <c r="H180" s="6"/>
    </row>
    <row r="181" spans="1:8">
      <c r="A181" s="1"/>
      <c r="B181" s="1">
        <v>1</v>
      </c>
      <c r="C181" s="1">
        <v>5</v>
      </c>
      <c r="D181" s="1" t="s">
        <v>148</v>
      </c>
      <c r="E181" s="6"/>
      <c r="F181" s="1"/>
      <c r="G181" s="1"/>
      <c r="H181" s="6"/>
    </row>
    <row r="182" spans="1:8">
      <c r="A182" s="1"/>
      <c r="B182" s="1">
        <v>2</v>
      </c>
      <c r="C182" s="1">
        <v>1</v>
      </c>
      <c r="D182" s="1" t="s">
        <v>96</v>
      </c>
      <c r="E182" s="6"/>
      <c r="F182" s="1"/>
      <c r="G182" s="1"/>
      <c r="H182" s="6"/>
    </row>
    <row r="183" spans="1:8">
      <c r="A183" s="1"/>
      <c r="B183" s="1">
        <v>2</v>
      </c>
      <c r="C183" s="1">
        <v>2</v>
      </c>
      <c r="D183" s="1" t="s">
        <v>108</v>
      </c>
      <c r="E183" s="6"/>
      <c r="F183" s="1"/>
      <c r="G183" s="1"/>
      <c r="H183" s="6"/>
    </row>
    <row r="184" spans="1:8">
      <c r="A184" s="1"/>
      <c r="B184" s="1">
        <v>2</v>
      </c>
      <c r="C184" s="1">
        <v>3</v>
      </c>
      <c r="D184" s="1" t="s">
        <v>94</v>
      </c>
      <c r="E184" s="6"/>
      <c r="F184" s="1"/>
      <c r="G184" s="1"/>
      <c r="H184" s="6"/>
    </row>
    <row r="185" spans="1:8">
      <c r="A185" s="1"/>
      <c r="B185" s="1">
        <v>2</v>
      </c>
      <c r="C185" s="1">
        <v>4</v>
      </c>
      <c r="D185" s="1" t="s">
        <v>107</v>
      </c>
      <c r="E185" s="6"/>
      <c r="F185" s="1"/>
      <c r="G185" s="1"/>
      <c r="H185" s="6"/>
    </row>
    <row r="186" spans="1:8">
      <c r="A186" s="1"/>
      <c r="B186" s="1">
        <v>2</v>
      </c>
      <c r="C186" s="1">
        <v>5</v>
      </c>
      <c r="D186" s="1" t="s">
        <v>148</v>
      </c>
      <c r="E186" s="6"/>
      <c r="F186" s="1"/>
      <c r="G186" s="1"/>
      <c r="H186" s="6"/>
    </row>
    <row r="187" spans="1:8">
      <c r="A187" s="1"/>
      <c r="B187" s="1">
        <v>3</v>
      </c>
      <c r="C187" s="1">
        <v>1</v>
      </c>
      <c r="D187" s="1" t="s">
        <v>96</v>
      </c>
      <c r="E187" s="6"/>
      <c r="F187" s="1"/>
      <c r="G187" s="1"/>
      <c r="H187" s="6"/>
    </row>
    <row r="188" spans="1:8">
      <c r="A188" s="1"/>
      <c r="B188" s="1">
        <v>3</v>
      </c>
      <c r="C188" s="1">
        <v>2</v>
      </c>
      <c r="D188" s="1" t="s">
        <v>107</v>
      </c>
      <c r="E188" s="1" t="s">
        <v>169</v>
      </c>
      <c r="F188" s="1"/>
      <c r="G188" s="1"/>
      <c r="H188" s="6"/>
    </row>
    <row r="189" spans="1:8">
      <c r="A189" s="1"/>
      <c r="B189" s="1">
        <v>3</v>
      </c>
      <c r="C189" s="1">
        <v>3</v>
      </c>
      <c r="D189" s="1" t="s">
        <v>94</v>
      </c>
      <c r="E189" s="1" t="s">
        <v>170</v>
      </c>
      <c r="F189" s="1"/>
      <c r="G189" s="1"/>
      <c r="H189" s="6"/>
    </row>
    <row r="190" spans="1:8">
      <c r="A190" s="1"/>
      <c r="B190" s="1">
        <v>3</v>
      </c>
      <c r="C190" s="1">
        <v>4</v>
      </c>
      <c r="D190" s="1" t="s">
        <v>108</v>
      </c>
      <c r="E190" s="6"/>
      <c r="F190" s="1"/>
      <c r="G190" s="1"/>
      <c r="H190" s="6"/>
    </row>
    <row r="191" spans="1:8">
      <c r="A191" s="1"/>
      <c r="B191" s="1">
        <v>3</v>
      </c>
      <c r="C191" s="1">
        <v>5</v>
      </c>
      <c r="D191" s="1" t="s">
        <v>148</v>
      </c>
      <c r="E191" s="6"/>
      <c r="F191" s="1"/>
      <c r="G191" s="1"/>
      <c r="H191" s="6"/>
    </row>
    <row r="192" spans="1:8">
      <c r="A192" s="1"/>
      <c r="B192" s="1">
        <v>4</v>
      </c>
      <c r="C192" s="1">
        <v>1</v>
      </c>
      <c r="D192" s="1" t="s">
        <v>94</v>
      </c>
      <c r="E192" s="6"/>
      <c r="F192" s="1"/>
      <c r="G192" s="1"/>
      <c r="H192" s="6"/>
    </row>
    <row r="193" spans="1:8">
      <c r="A193" s="1"/>
      <c r="B193" s="1">
        <v>4</v>
      </c>
      <c r="C193" s="1">
        <v>2</v>
      </c>
      <c r="D193" s="1" t="s">
        <v>107</v>
      </c>
      <c r="E193" s="6"/>
      <c r="F193" s="1"/>
      <c r="G193" s="1"/>
      <c r="H193" s="6"/>
    </row>
    <row r="194" spans="1:8">
      <c r="A194" s="1"/>
      <c r="B194" s="1">
        <v>4</v>
      </c>
      <c r="C194" s="1">
        <v>3</v>
      </c>
      <c r="D194" s="1" t="s">
        <v>96</v>
      </c>
      <c r="E194" s="1" t="s">
        <v>169</v>
      </c>
      <c r="F194" s="1"/>
      <c r="G194" s="1"/>
      <c r="H194" s="6"/>
    </row>
    <row r="195" spans="1:8">
      <c r="A195" s="1"/>
      <c r="B195" s="1">
        <v>4</v>
      </c>
      <c r="C195" s="1">
        <v>4</v>
      </c>
      <c r="D195" s="1" t="s">
        <v>108</v>
      </c>
      <c r="E195" s="1" t="s">
        <v>169</v>
      </c>
      <c r="F195" s="1"/>
      <c r="G195" s="1"/>
      <c r="H195" s="6"/>
    </row>
    <row r="196" spans="1:8">
      <c r="A196" s="1"/>
      <c r="B196" s="1">
        <v>4</v>
      </c>
      <c r="C196" s="1">
        <v>5</v>
      </c>
      <c r="D196" s="1" t="s">
        <v>148</v>
      </c>
      <c r="E196" s="6"/>
      <c r="F196" s="1"/>
      <c r="G196" s="1"/>
      <c r="H196" s="6"/>
    </row>
    <row r="197" spans="1:8">
      <c r="A197" s="1" t="s">
        <v>110</v>
      </c>
      <c r="B197" s="1">
        <v>1</v>
      </c>
      <c r="C197" s="1">
        <v>1</v>
      </c>
      <c r="D197" s="1" t="s">
        <v>94</v>
      </c>
      <c r="E197" s="6"/>
      <c r="F197" s="1"/>
      <c r="G197" s="1"/>
      <c r="H197" s="6"/>
    </row>
    <row r="198" spans="1:8">
      <c r="A198" s="1"/>
      <c r="B198" s="1">
        <v>1</v>
      </c>
      <c r="C198" s="1">
        <v>2</v>
      </c>
      <c r="D198" s="1" t="s">
        <v>95</v>
      </c>
      <c r="E198" s="6"/>
      <c r="F198" s="1"/>
      <c r="G198" s="1"/>
      <c r="H198" s="6"/>
    </row>
    <row r="199" spans="1:8">
      <c r="A199" s="1"/>
      <c r="B199" s="1">
        <v>1</v>
      </c>
      <c r="C199" s="1">
        <v>3</v>
      </c>
      <c r="D199" s="1" t="s">
        <v>96</v>
      </c>
      <c r="E199" s="6"/>
      <c r="F199" s="1"/>
      <c r="G199" s="1"/>
      <c r="H199" s="6"/>
    </row>
    <row r="200" spans="1:8">
      <c r="A200" s="1"/>
      <c r="B200" s="1">
        <v>1</v>
      </c>
      <c r="C200" s="1">
        <v>4</v>
      </c>
      <c r="D200" s="1" t="s">
        <v>39</v>
      </c>
      <c r="E200" s="6"/>
      <c r="F200" s="1"/>
      <c r="G200" s="1"/>
      <c r="H200" s="6"/>
    </row>
    <row r="201" spans="1:8">
      <c r="A201" s="1"/>
      <c r="B201" s="1">
        <v>1</v>
      </c>
      <c r="C201" s="1">
        <v>5</v>
      </c>
      <c r="D201" s="1" t="s">
        <v>97</v>
      </c>
      <c r="E201" s="6"/>
      <c r="F201" s="1"/>
      <c r="G201" s="1"/>
      <c r="H201" s="6"/>
    </row>
    <row r="202" spans="1:8">
      <c r="A202" s="1"/>
      <c r="B202" s="1">
        <v>2</v>
      </c>
      <c r="C202" s="1">
        <v>1</v>
      </c>
      <c r="D202" s="1" t="s">
        <v>94</v>
      </c>
      <c r="E202" s="6"/>
      <c r="F202" s="1"/>
      <c r="G202" s="1"/>
      <c r="H202" s="6"/>
    </row>
    <row r="203" spans="1:8">
      <c r="A203" s="1"/>
      <c r="B203" s="1">
        <v>2</v>
      </c>
      <c r="C203" s="1">
        <v>2</v>
      </c>
      <c r="D203" s="1" t="s">
        <v>95</v>
      </c>
      <c r="E203" s="6"/>
      <c r="F203" s="1"/>
      <c r="G203" s="1"/>
      <c r="H203" s="6"/>
    </row>
    <row r="204" spans="1:8">
      <c r="A204" s="1"/>
      <c r="B204" s="1">
        <v>2</v>
      </c>
      <c r="C204" s="1">
        <v>3</v>
      </c>
      <c r="D204" s="1" t="s">
        <v>96</v>
      </c>
      <c r="E204" s="6"/>
      <c r="F204" s="1"/>
      <c r="G204" s="1"/>
      <c r="H204" s="6"/>
    </row>
    <row r="205" spans="1:8">
      <c r="A205" s="1"/>
      <c r="B205" s="1">
        <v>2</v>
      </c>
      <c r="C205" s="1">
        <v>4</v>
      </c>
      <c r="D205" s="1" t="s">
        <v>39</v>
      </c>
      <c r="E205" s="6"/>
      <c r="F205" s="1"/>
      <c r="G205" s="1"/>
      <c r="H205" s="6"/>
    </row>
    <row r="206" spans="1:8">
      <c r="A206" s="1"/>
      <c r="B206" s="1">
        <v>2</v>
      </c>
      <c r="C206" s="1">
        <v>5</v>
      </c>
      <c r="D206" s="1" t="s">
        <v>97</v>
      </c>
      <c r="E206" s="6"/>
      <c r="F206" s="1"/>
      <c r="G206" s="1"/>
      <c r="H206" s="6"/>
    </row>
    <row r="207" spans="1:8">
      <c r="A207" s="1"/>
      <c r="B207" s="1">
        <v>3</v>
      </c>
      <c r="C207" s="1">
        <v>1</v>
      </c>
      <c r="D207" s="1" t="s">
        <v>95</v>
      </c>
      <c r="E207" s="6"/>
      <c r="F207" s="1"/>
      <c r="G207" s="1"/>
      <c r="H207" s="6"/>
    </row>
    <row r="208" spans="1:8">
      <c r="A208" s="1"/>
      <c r="B208" s="1">
        <v>3</v>
      </c>
      <c r="C208" s="1">
        <v>2</v>
      </c>
      <c r="D208" s="1" t="s">
        <v>39</v>
      </c>
      <c r="E208" s="6"/>
      <c r="F208" s="1"/>
      <c r="G208" s="1"/>
      <c r="H208" s="6"/>
    </row>
    <row r="209" spans="1:8">
      <c r="A209" s="1"/>
      <c r="B209" s="1">
        <v>3</v>
      </c>
      <c r="C209" s="1">
        <v>3</v>
      </c>
      <c r="D209" s="1" t="s">
        <v>94</v>
      </c>
      <c r="E209" s="6"/>
      <c r="F209" s="1"/>
      <c r="G209" s="1"/>
      <c r="H209" s="6"/>
    </row>
    <row r="210" spans="1:8">
      <c r="A210" s="1"/>
      <c r="B210" s="1">
        <v>3</v>
      </c>
      <c r="C210" s="1">
        <v>4</v>
      </c>
      <c r="D210" s="1" t="s">
        <v>97</v>
      </c>
      <c r="E210" s="6"/>
      <c r="F210" s="1"/>
      <c r="G210" s="1"/>
      <c r="H210" s="6"/>
    </row>
    <row r="211" spans="1:8">
      <c r="A211" s="1"/>
      <c r="B211" s="1">
        <v>3</v>
      </c>
      <c r="C211" s="1">
        <v>5</v>
      </c>
      <c r="D211" s="1" t="s">
        <v>96</v>
      </c>
      <c r="E211" s="6"/>
      <c r="F211" s="1"/>
      <c r="G211" s="1"/>
      <c r="H211" s="6"/>
    </row>
    <row r="212" spans="1:8">
      <c r="A212" s="1"/>
      <c r="B212" s="1">
        <v>4</v>
      </c>
      <c r="C212" s="1">
        <v>1</v>
      </c>
      <c r="D212" s="1" t="s">
        <v>94</v>
      </c>
      <c r="E212" s="6"/>
      <c r="F212" s="1"/>
      <c r="G212" s="1"/>
      <c r="H212" s="6"/>
    </row>
    <row r="213" spans="1:8">
      <c r="A213" s="1"/>
      <c r="B213" s="1">
        <v>4</v>
      </c>
      <c r="C213" s="1">
        <v>2</v>
      </c>
      <c r="D213" s="1" t="s">
        <v>39</v>
      </c>
      <c r="E213" s="6"/>
      <c r="F213" s="1"/>
      <c r="G213" s="1"/>
      <c r="H213" s="6"/>
    </row>
    <row r="214" spans="1:8">
      <c r="A214" s="1"/>
      <c r="B214" s="1">
        <v>4</v>
      </c>
      <c r="C214" s="1">
        <v>3</v>
      </c>
      <c r="D214" s="1" t="s">
        <v>96</v>
      </c>
      <c r="E214" s="6"/>
      <c r="F214" s="1"/>
      <c r="G214" s="1"/>
      <c r="H214" s="6"/>
    </row>
    <row r="215" spans="1:8">
      <c r="A215" s="1"/>
      <c r="B215" s="1">
        <v>4</v>
      </c>
      <c r="C215" s="1">
        <v>4</v>
      </c>
      <c r="D215" s="1" t="s">
        <v>97</v>
      </c>
      <c r="E215" s="6"/>
      <c r="F215" s="1"/>
      <c r="G215" s="1"/>
      <c r="H215" s="6"/>
    </row>
    <row r="216" spans="1:8">
      <c r="A216" s="1"/>
      <c r="B216" s="1">
        <v>4</v>
      </c>
      <c r="C216" s="1">
        <v>5</v>
      </c>
      <c r="D216" s="1" t="s">
        <v>95</v>
      </c>
      <c r="E216" s="6"/>
      <c r="F216" s="1"/>
      <c r="G216" s="1"/>
      <c r="H216" s="6"/>
    </row>
    <row r="217" spans="1:8">
      <c r="A217" s="1" t="s">
        <v>112</v>
      </c>
      <c r="B217" s="1">
        <v>1</v>
      </c>
      <c r="C217" s="1">
        <v>1</v>
      </c>
      <c r="D217" s="1"/>
      <c r="E217" s="6"/>
      <c r="F217" s="1"/>
      <c r="G217" s="1"/>
      <c r="H217" s="6"/>
    </row>
    <row r="218" spans="1:8">
      <c r="A218" s="1"/>
      <c r="B218" s="1">
        <v>1</v>
      </c>
      <c r="C218" s="1">
        <v>2</v>
      </c>
      <c r="D218" s="1"/>
      <c r="E218" s="6"/>
      <c r="F218" s="1"/>
      <c r="G218" s="1"/>
      <c r="H218" s="6"/>
    </row>
    <row r="219" spans="1:8">
      <c r="A219" s="1"/>
      <c r="B219" s="1">
        <v>1</v>
      </c>
      <c r="C219" s="1">
        <v>3</v>
      </c>
      <c r="D219" s="1"/>
      <c r="E219" s="6"/>
      <c r="F219" s="1"/>
      <c r="G219" s="1"/>
      <c r="H219" s="6"/>
    </row>
    <row r="220" spans="1:8">
      <c r="A220" s="1"/>
      <c r="B220" s="1">
        <v>1</v>
      </c>
      <c r="C220" s="1">
        <v>4</v>
      </c>
      <c r="D220" s="1"/>
      <c r="E220" s="6"/>
      <c r="F220" s="1"/>
      <c r="G220" s="1"/>
      <c r="H220" s="6"/>
    </row>
    <row r="221" spans="1:8">
      <c r="A221" s="1"/>
      <c r="B221" s="1">
        <v>1</v>
      </c>
      <c r="C221" s="1">
        <v>5</v>
      </c>
      <c r="D221" s="1"/>
      <c r="E221" s="6"/>
      <c r="F221" s="1"/>
      <c r="G221" s="1"/>
      <c r="H221" s="6"/>
    </row>
    <row r="222" spans="1:8">
      <c r="A222" s="1"/>
      <c r="B222" s="1">
        <v>2</v>
      </c>
      <c r="C222" s="1">
        <v>1</v>
      </c>
      <c r="D222" s="1"/>
      <c r="E222" s="6"/>
      <c r="F222" s="1"/>
      <c r="G222" s="1"/>
      <c r="H222" s="6"/>
    </row>
    <row r="223" spans="1:8">
      <c r="A223" s="1"/>
      <c r="B223" s="1">
        <v>2</v>
      </c>
      <c r="C223" s="1">
        <v>2</v>
      </c>
      <c r="D223" s="1"/>
      <c r="E223" s="6"/>
      <c r="F223" s="1"/>
      <c r="G223" s="1"/>
      <c r="H223" s="6"/>
    </row>
    <row r="224" spans="1:8">
      <c r="A224" s="1"/>
      <c r="B224" s="1">
        <v>2</v>
      </c>
      <c r="C224" s="1">
        <v>3</v>
      </c>
      <c r="D224" s="1"/>
      <c r="E224" s="6"/>
      <c r="F224" s="1"/>
      <c r="G224" s="1"/>
      <c r="H224" s="6"/>
    </row>
    <row r="225" spans="1:8">
      <c r="A225" s="1"/>
      <c r="B225" s="1">
        <v>2</v>
      </c>
      <c r="C225" s="1">
        <v>4</v>
      </c>
      <c r="D225" s="1"/>
      <c r="E225" s="6"/>
      <c r="F225" s="1"/>
      <c r="G225" s="1"/>
      <c r="H225" s="6"/>
    </row>
    <row r="226" spans="1:8">
      <c r="A226" s="1"/>
      <c r="B226" s="1">
        <v>2</v>
      </c>
      <c r="C226" s="1">
        <v>5</v>
      </c>
      <c r="D226" s="1"/>
      <c r="E226" s="6"/>
      <c r="F226" s="1"/>
      <c r="G226" s="1"/>
      <c r="H226" s="6"/>
    </row>
    <row r="227" spans="1:8">
      <c r="A227" s="1"/>
      <c r="B227" s="1">
        <v>3</v>
      </c>
      <c r="C227" s="1">
        <v>1</v>
      </c>
      <c r="D227" s="1"/>
      <c r="E227" s="6"/>
      <c r="F227" s="1"/>
      <c r="G227" s="1"/>
      <c r="H227" s="6"/>
    </row>
    <row r="228" spans="1:8">
      <c r="A228" s="1"/>
      <c r="B228" s="1">
        <v>3</v>
      </c>
      <c r="C228" s="1">
        <v>2</v>
      </c>
      <c r="D228" s="1"/>
      <c r="E228" s="6"/>
      <c r="F228" s="1"/>
      <c r="G228" s="1"/>
      <c r="H228" s="6"/>
    </row>
    <row r="229" spans="1:8">
      <c r="A229" s="1"/>
      <c r="B229" s="1">
        <v>3</v>
      </c>
      <c r="C229" s="1">
        <v>3</v>
      </c>
      <c r="D229" s="1"/>
      <c r="E229" s="6"/>
      <c r="F229" s="1"/>
      <c r="G229" s="1"/>
      <c r="H229" s="6"/>
    </row>
    <row r="230" spans="1:8">
      <c r="A230" s="1"/>
      <c r="B230" s="1">
        <v>3</v>
      </c>
      <c r="C230" s="1">
        <v>4</v>
      </c>
      <c r="D230" s="1"/>
      <c r="E230" s="6"/>
      <c r="F230" s="1"/>
      <c r="G230" s="1"/>
      <c r="H230" s="6"/>
    </row>
    <row r="231" spans="1:8">
      <c r="A231" s="1"/>
      <c r="B231" s="1">
        <v>3</v>
      </c>
      <c r="C231" s="1">
        <v>5</v>
      </c>
      <c r="D231" s="1"/>
      <c r="E231" s="6"/>
      <c r="F231" s="1"/>
      <c r="G231" s="1"/>
      <c r="H231" s="6"/>
    </row>
    <row r="232" spans="1:8">
      <c r="A232" s="1"/>
      <c r="B232" s="1">
        <v>4</v>
      </c>
      <c r="C232" s="1">
        <v>1</v>
      </c>
      <c r="D232" s="1"/>
      <c r="E232" s="6"/>
      <c r="F232" s="1"/>
      <c r="G232" s="1"/>
      <c r="H232" s="6"/>
    </row>
    <row r="233" spans="1:8">
      <c r="A233" s="1"/>
      <c r="B233" s="1">
        <v>4</v>
      </c>
      <c r="C233" s="1">
        <v>2</v>
      </c>
      <c r="D233" s="1"/>
      <c r="E233" s="6"/>
      <c r="F233" s="1"/>
      <c r="G233" s="1"/>
      <c r="H233" s="6"/>
    </row>
    <row r="234" spans="1:8">
      <c r="A234" s="1"/>
      <c r="B234" s="1">
        <v>4</v>
      </c>
      <c r="C234" s="1">
        <v>3</v>
      </c>
      <c r="D234" s="1"/>
      <c r="E234" s="6"/>
      <c r="F234" s="1"/>
      <c r="G234" s="1"/>
      <c r="H234" s="6"/>
    </row>
    <row r="235" spans="1:8">
      <c r="A235" s="1"/>
      <c r="B235" s="1">
        <v>4</v>
      </c>
      <c r="C235" s="1">
        <v>4</v>
      </c>
      <c r="D235" s="1"/>
      <c r="E235" s="6"/>
      <c r="F235" s="1"/>
      <c r="G235" s="1"/>
      <c r="H235" s="6"/>
    </row>
    <row r="236" spans="1:8">
      <c r="A236" s="1"/>
      <c r="B236" s="1">
        <v>4</v>
      </c>
      <c r="C236" s="1">
        <v>5</v>
      </c>
      <c r="D236" s="1"/>
      <c r="E236" s="6"/>
      <c r="F236" s="1"/>
      <c r="G236" s="1"/>
      <c r="H236" s="6"/>
    </row>
    <row r="237" spans="1:8">
      <c r="A237" s="1" t="s">
        <v>113</v>
      </c>
      <c r="B237" s="1">
        <v>1</v>
      </c>
      <c r="C237" s="1">
        <v>1</v>
      </c>
      <c r="D237" s="1"/>
      <c r="E237" s="6"/>
      <c r="F237" s="1"/>
      <c r="G237" s="1"/>
      <c r="H237" s="6"/>
    </row>
    <row r="238" spans="1:8">
      <c r="A238" s="1"/>
      <c r="B238" s="1">
        <v>1</v>
      </c>
      <c r="C238" s="1">
        <v>2</v>
      </c>
      <c r="D238" s="1"/>
      <c r="E238" s="6"/>
      <c r="F238" s="1"/>
      <c r="G238" s="1"/>
      <c r="H238" s="6"/>
    </row>
    <row r="239" spans="1:8">
      <c r="A239" s="1"/>
      <c r="B239" s="1">
        <v>1</v>
      </c>
      <c r="C239" s="1">
        <v>3</v>
      </c>
      <c r="D239" s="1"/>
      <c r="E239" s="6"/>
      <c r="F239" s="1"/>
      <c r="G239" s="1"/>
      <c r="H239" s="6"/>
    </row>
    <row r="240" spans="1:8">
      <c r="A240" s="1"/>
      <c r="B240" s="1">
        <v>1</v>
      </c>
      <c r="C240" s="1">
        <v>4</v>
      </c>
      <c r="D240" s="1"/>
      <c r="E240" s="6"/>
      <c r="F240" s="1"/>
      <c r="G240" s="1"/>
      <c r="H240" s="6"/>
    </row>
    <row r="241" spans="1:8">
      <c r="A241" s="1"/>
      <c r="B241" s="1">
        <v>1</v>
      </c>
      <c r="C241" s="1">
        <v>5</v>
      </c>
      <c r="D241" s="1"/>
      <c r="E241" s="6"/>
      <c r="F241" s="1"/>
      <c r="G241" s="1"/>
      <c r="H241" s="6"/>
    </row>
    <row r="242" spans="1:8">
      <c r="A242" s="1"/>
      <c r="B242" s="1">
        <v>2</v>
      </c>
      <c r="C242" s="1">
        <v>1</v>
      </c>
      <c r="D242" s="1"/>
      <c r="E242" s="6"/>
      <c r="F242" s="1"/>
      <c r="G242" s="1"/>
      <c r="H242" s="6"/>
    </row>
    <row r="243" spans="1:8">
      <c r="A243" s="1"/>
      <c r="B243" s="1">
        <v>2</v>
      </c>
      <c r="C243" s="1">
        <v>2</v>
      </c>
      <c r="D243" s="1"/>
      <c r="E243" s="6"/>
      <c r="F243" s="1"/>
      <c r="G243" s="1"/>
      <c r="H243" s="6"/>
    </row>
    <row r="244" spans="1:8">
      <c r="A244" s="1"/>
      <c r="B244" s="1">
        <v>2</v>
      </c>
      <c r="C244" s="1">
        <v>3</v>
      </c>
      <c r="D244" s="1"/>
      <c r="E244" s="6"/>
      <c r="F244" s="1"/>
      <c r="G244" s="1"/>
      <c r="H244" s="6"/>
    </row>
    <row r="245" spans="1:8">
      <c r="A245" s="1"/>
      <c r="B245" s="1">
        <v>2</v>
      </c>
      <c r="C245" s="1">
        <v>4</v>
      </c>
      <c r="D245" s="1"/>
      <c r="E245" s="6"/>
      <c r="F245" s="1"/>
      <c r="G245" s="1"/>
      <c r="H245" s="6"/>
    </row>
    <row r="246" spans="1:8">
      <c r="A246" s="1"/>
      <c r="B246" s="1">
        <v>2</v>
      </c>
      <c r="C246" s="1">
        <v>5</v>
      </c>
      <c r="D246" s="1"/>
      <c r="E246" s="6"/>
      <c r="F246" s="1"/>
      <c r="G246" s="1"/>
      <c r="H246" s="6"/>
    </row>
    <row r="247" spans="1:8">
      <c r="A247" s="1"/>
      <c r="B247" s="1">
        <v>3</v>
      </c>
      <c r="C247" s="1">
        <v>1</v>
      </c>
      <c r="D247" s="1"/>
      <c r="E247" s="6"/>
      <c r="F247" s="1"/>
      <c r="G247" s="1"/>
      <c r="H247" s="6"/>
    </row>
    <row r="248" spans="1:8">
      <c r="A248" s="1"/>
      <c r="B248" s="1">
        <v>3</v>
      </c>
      <c r="C248" s="1">
        <v>2</v>
      </c>
      <c r="D248" s="1"/>
      <c r="E248" s="6"/>
      <c r="F248" s="1"/>
      <c r="G248" s="1"/>
      <c r="H248" s="6"/>
    </row>
    <row r="249" spans="1:8">
      <c r="A249" s="1"/>
      <c r="B249" s="1">
        <v>3</v>
      </c>
      <c r="C249" s="1">
        <v>3</v>
      </c>
      <c r="D249" s="1"/>
      <c r="E249" s="6"/>
      <c r="F249" s="1"/>
      <c r="G249" s="1"/>
      <c r="H249" s="6"/>
    </row>
    <row r="250" spans="1:8">
      <c r="A250" s="1"/>
      <c r="B250" s="1">
        <v>3</v>
      </c>
      <c r="C250" s="1">
        <v>4</v>
      </c>
      <c r="D250" s="1"/>
      <c r="E250" s="6"/>
      <c r="F250" s="1"/>
      <c r="G250" s="1"/>
      <c r="H250" s="6"/>
    </row>
    <row r="251" spans="1:8">
      <c r="A251" s="1"/>
      <c r="B251" s="1">
        <v>3</v>
      </c>
      <c r="C251" s="1">
        <v>5</v>
      </c>
      <c r="D251" s="1"/>
      <c r="E251" s="6"/>
      <c r="F251" s="1"/>
      <c r="G251" s="1"/>
      <c r="H251" s="6"/>
    </row>
    <row r="252" spans="1:8">
      <c r="A252" s="1"/>
      <c r="B252" s="1">
        <v>4</v>
      </c>
      <c r="C252" s="1">
        <v>1</v>
      </c>
      <c r="D252" s="1"/>
      <c r="E252" s="6"/>
      <c r="F252" s="1"/>
      <c r="G252" s="1"/>
      <c r="H252" s="6"/>
    </row>
    <row r="253" spans="1:8">
      <c r="A253" s="1"/>
      <c r="B253" s="1">
        <v>4</v>
      </c>
      <c r="C253" s="1">
        <v>2</v>
      </c>
      <c r="D253" s="1"/>
      <c r="E253" s="6"/>
      <c r="F253" s="1"/>
      <c r="G253" s="1"/>
      <c r="H253" s="6"/>
    </row>
    <row r="254" spans="1:8">
      <c r="A254" s="1"/>
      <c r="B254" s="1">
        <v>4</v>
      </c>
      <c r="C254" s="1">
        <v>3</v>
      </c>
      <c r="D254" s="1"/>
      <c r="E254" s="6"/>
      <c r="F254" s="1"/>
      <c r="G254" s="1"/>
      <c r="H254" s="6"/>
    </row>
    <row r="255" spans="1:8">
      <c r="A255" s="1"/>
      <c r="B255" s="1">
        <v>4</v>
      </c>
      <c r="C255" s="1">
        <v>4</v>
      </c>
      <c r="D255" s="1"/>
      <c r="E255" s="6"/>
      <c r="F255" s="1"/>
      <c r="G255" s="1"/>
      <c r="H255" s="6"/>
    </row>
    <row r="256" spans="1:8">
      <c r="A256" s="1"/>
      <c r="B256" s="1">
        <v>4</v>
      </c>
      <c r="C256" s="1">
        <v>5</v>
      </c>
      <c r="D256" s="1"/>
      <c r="E256" s="6"/>
      <c r="F256" s="1"/>
      <c r="G256" s="1"/>
      <c r="H256" s="6"/>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9"/>
  <sheetViews>
    <sheetView workbookViewId="0">
      <pane ySplit="2" topLeftCell="A3" activePane="bottomLeft" state="frozen"/>
      <selection pane="bottomLeft" activeCell="B4" sqref="B4"/>
    </sheetView>
  </sheetViews>
  <sheetFormatPr defaultColWidth="17.28515625" defaultRowHeight="15" customHeight="1"/>
  <cols>
    <col min="1" max="4" width="9.140625" customWidth="1"/>
    <col min="5" max="5" width="13.140625" customWidth="1"/>
    <col min="6" max="7" width="9.140625" customWidth="1"/>
    <col min="8" max="8" width="16.7109375" customWidth="1"/>
    <col min="9" max="10" width="9.140625" customWidth="1"/>
    <col min="11" max="11" width="18.85546875" customWidth="1"/>
    <col min="12" max="12" width="9.140625" customWidth="1"/>
    <col min="13" max="13" width="17.28515625" customWidth="1"/>
    <col min="14" max="14" width="9.140625" customWidth="1"/>
    <col min="15" max="15" width="12.42578125" customWidth="1"/>
    <col min="16" max="16" width="9.140625" customWidth="1"/>
    <col min="17" max="17" width="17.28515625" customWidth="1"/>
  </cols>
  <sheetData>
    <row r="1" spans="1:17" ht="18" customHeight="1">
      <c r="A1" s="1"/>
      <c r="B1" s="1"/>
      <c r="C1" s="1"/>
      <c r="D1" s="1"/>
      <c r="E1" s="2" t="s">
        <v>131</v>
      </c>
      <c r="F1" s="1"/>
      <c r="G1" s="1"/>
      <c r="H1" s="2" t="s">
        <v>132</v>
      </c>
      <c r="I1" s="1"/>
      <c r="J1" s="1"/>
      <c r="K1" s="2" t="s">
        <v>133</v>
      </c>
      <c r="L1" s="1"/>
      <c r="N1" s="1"/>
      <c r="O1" s="6"/>
      <c r="P1" s="1"/>
      <c r="Q1" s="6" t="s">
        <v>134</v>
      </c>
    </row>
    <row r="2" spans="1:17" ht="15" customHeight="1">
      <c r="A2" s="3" t="s">
        <v>3</v>
      </c>
      <c r="B2" s="3" t="s">
        <v>5</v>
      </c>
      <c r="C2" s="3" t="s">
        <v>6</v>
      </c>
      <c r="D2" s="3" t="s">
        <v>7</v>
      </c>
      <c r="E2" s="3" t="s">
        <v>36</v>
      </c>
      <c r="F2" s="1" t="s">
        <v>27</v>
      </c>
      <c r="G2" s="1"/>
      <c r="H2" s="3" t="s">
        <v>36</v>
      </c>
      <c r="I2" s="1" t="s">
        <v>27</v>
      </c>
      <c r="J2" s="1"/>
      <c r="K2" s="1" t="s">
        <v>36</v>
      </c>
      <c r="L2" s="1" t="s">
        <v>27</v>
      </c>
      <c r="N2" s="3" t="s">
        <v>5</v>
      </c>
      <c r="O2" s="1" t="s">
        <v>136</v>
      </c>
      <c r="P2" s="3" t="s">
        <v>7</v>
      </c>
      <c r="Q2" s="6" t="s">
        <v>36</v>
      </c>
    </row>
    <row r="3" spans="1:17" ht="15" customHeight="1">
      <c r="A3" s="1" t="s">
        <v>37</v>
      </c>
      <c r="B3" s="1" t="s">
        <v>39</v>
      </c>
      <c r="C3" s="1">
        <v>1</v>
      </c>
      <c r="D3" s="1" t="s">
        <v>94</v>
      </c>
      <c r="E3" s="1">
        <v>59.8</v>
      </c>
      <c r="F3" s="1"/>
      <c r="G3" s="1"/>
      <c r="H3" s="1">
        <v>4.1900000000000004</v>
      </c>
      <c r="I3" s="1"/>
      <c r="J3" s="1"/>
      <c r="K3" s="1">
        <v>6.2</v>
      </c>
      <c r="L3" s="1"/>
      <c r="N3" s="1" t="s">
        <v>39</v>
      </c>
      <c r="O3" s="6" t="s">
        <v>89</v>
      </c>
      <c r="P3" s="1" t="s">
        <v>94</v>
      </c>
      <c r="Q3" s="6">
        <v>70.19</v>
      </c>
    </row>
    <row r="4" spans="1:17" ht="15" customHeight="1">
      <c r="A4" s="1"/>
      <c r="B4" s="1"/>
      <c r="C4" s="1">
        <v>1</v>
      </c>
      <c r="D4" s="1" t="s">
        <v>95</v>
      </c>
      <c r="E4" s="1">
        <v>48.5</v>
      </c>
      <c r="F4" s="1"/>
      <c r="G4" s="1"/>
      <c r="H4" s="1">
        <v>3.68</v>
      </c>
      <c r="I4" s="1"/>
      <c r="J4" s="1"/>
      <c r="K4" s="1">
        <v>5.7</v>
      </c>
      <c r="L4" s="1"/>
      <c r="N4" s="1" t="s">
        <v>39</v>
      </c>
      <c r="O4" s="57" t="s">
        <v>89</v>
      </c>
      <c r="P4" s="1" t="s">
        <v>95</v>
      </c>
      <c r="Q4" s="6">
        <v>57.88</v>
      </c>
    </row>
    <row r="5" spans="1:17" ht="15" customHeight="1">
      <c r="A5" s="1" t="s">
        <v>138</v>
      </c>
      <c r="B5" s="1"/>
      <c r="C5" s="1">
        <v>1</v>
      </c>
      <c r="D5" s="1" t="s">
        <v>96</v>
      </c>
      <c r="E5" s="8">
        <v>64.400000000000006</v>
      </c>
      <c r="F5" s="1"/>
      <c r="G5" s="1"/>
      <c r="H5" s="1">
        <v>6.67</v>
      </c>
      <c r="I5" s="1"/>
      <c r="J5" s="1"/>
      <c r="K5" s="1">
        <v>3.6</v>
      </c>
      <c r="L5" s="1"/>
      <c r="N5" s="1" t="s">
        <v>39</v>
      </c>
      <c r="O5" s="57" t="s">
        <v>89</v>
      </c>
      <c r="P5" s="1" t="s">
        <v>96</v>
      </c>
      <c r="Q5" s="6">
        <v>74.67</v>
      </c>
    </row>
    <row r="6" spans="1:17" ht="15" customHeight="1">
      <c r="A6" s="1"/>
      <c r="B6" s="1"/>
      <c r="C6" s="1">
        <v>1</v>
      </c>
      <c r="D6" s="1" t="s">
        <v>39</v>
      </c>
      <c r="E6" s="1">
        <v>76.599999999999994</v>
      </c>
      <c r="F6" s="1"/>
      <c r="G6" s="1"/>
      <c r="H6" s="1">
        <v>11.23</v>
      </c>
      <c r="I6" s="1"/>
      <c r="J6" s="1"/>
      <c r="K6" s="1">
        <v>5</v>
      </c>
      <c r="L6" s="1"/>
      <c r="N6" s="1" t="s">
        <v>39</v>
      </c>
      <c r="O6" s="57" t="s">
        <v>89</v>
      </c>
      <c r="P6" s="1" t="s">
        <v>39</v>
      </c>
      <c r="Q6" s="6">
        <v>92.83</v>
      </c>
    </row>
    <row r="7" spans="1:17" ht="15" customHeight="1">
      <c r="A7" s="1"/>
      <c r="B7" s="1"/>
      <c r="C7" s="1">
        <v>1</v>
      </c>
      <c r="D7" s="1" t="s">
        <v>97</v>
      </c>
      <c r="E7" s="1">
        <v>70.099999999999994</v>
      </c>
      <c r="F7" s="1">
        <f>AVERAGE(E3:E7)</f>
        <v>63.879999999999995</v>
      </c>
      <c r="G7" s="1"/>
      <c r="H7" s="1">
        <v>3.61</v>
      </c>
      <c r="I7" s="1">
        <f>AVERAGE(H3:H7)</f>
        <v>5.8760000000000003</v>
      </c>
      <c r="J7" s="1"/>
      <c r="K7" s="1">
        <v>6</v>
      </c>
      <c r="L7" s="1">
        <f>AVERAGE(K3:K7)</f>
        <v>5.3</v>
      </c>
      <c r="N7" s="1" t="s">
        <v>39</v>
      </c>
      <c r="O7" s="57" t="s">
        <v>89</v>
      </c>
      <c r="P7" s="1" t="s">
        <v>97</v>
      </c>
      <c r="Q7" s="6">
        <v>79.709999999999994</v>
      </c>
    </row>
    <row r="8" spans="1:17" ht="15" customHeight="1">
      <c r="A8" s="1"/>
      <c r="B8" s="1"/>
      <c r="C8" s="1">
        <v>2</v>
      </c>
      <c r="D8" s="1" t="s">
        <v>94</v>
      </c>
      <c r="E8" s="1">
        <v>55.580000000000005</v>
      </c>
      <c r="F8" s="1"/>
      <c r="G8" s="1"/>
      <c r="H8" s="1">
        <v>5.68</v>
      </c>
      <c r="I8" s="1"/>
      <c r="J8" s="1"/>
      <c r="K8" s="1">
        <v>6.6</v>
      </c>
      <c r="L8" s="1"/>
      <c r="N8" s="1" t="s">
        <v>39</v>
      </c>
      <c r="O8" s="57" t="s">
        <v>90</v>
      </c>
      <c r="P8" s="1" t="s">
        <v>94</v>
      </c>
      <c r="Q8" s="6">
        <v>67.86</v>
      </c>
    </row>
    <row r="9" spans="1:17" ht="15" customHeight="1">
      <c r="A9" s="1"/>
      <c r="B9" s="1"/>
      <c r="C9" s="1">
        <v>2</v>
      </c>
      <c r="D9" s="1" t="s">
        <v>95</v>
      </c>
      <c r="E9" s="1">
        <v>62.48</v>
      </c>
      <c r="F9" s="1"/>
      <c r="G9" s="1"/>
      <c r="H9" s="1">
        <v>6.41</v>
      </c>
      <c r="I9" s="1"/>
      <c r="J9" s="1"/>
      <c r="K9" s="8">
        <f>AVERAGE(K8,K10:K12)</f>
        <v>7.2999999999999989</v>
      </c>
      <c r="L9" s="1"/>
      <c r="N9" s="1" t="s">
        <v>39</v>
      </c>
      <c r="O9" s="57" t="s">
        <v>90</v>
      </c>
      <c r="P9" s="1" t="s">
        <v>95</v>
      </c>
      <c r="Q9" s="6">
        <v>76.19</v>
      </c>
    </row>
    <row r="10" spans="1:17" ht="15" customHeight="1">
      <c r="A10" s="1"/>
      <c r="B10" s="1"/>
      <c r="C10" s="1">
        <v>2</v>
      </c>
      <c r="D10" s="1" t="s">
        <v>96</v>
      </c>
      <c r="E10" s="1">
        <v>64.739999999999995</v>
      </c>
      <c r="F10" s="1"/>
      <c r="G10" s="1"/>
      <c r="H10" s="1">
        <v>3.83</v>
      </c>
      <c r="I10" s="1"/>
      <c r="J10" s="1"/>
      <c r="K10" s="1">
        <v>5.6</v>
      </c>
      <c r="L10" s="1"/>
      <c r="N10" s="1" t="s">
        <v>39</v>
      </c>
      <c r="O10" s="57" t="s">
        <v>90</v>
      </c>
      <c r="P10" s="1" t="s">
        <v>96</v>
      </c>
      <c r="Q10" s="6">
        <v>74.169999999999987</v>
      </c>
    </row>
    <row r="11" spans="1:17" ht="15" customHeight="1">
      <c r="A11" s="1"/>
      <c r="B11" s="1"/>
      <c r="C11" s="1">
        <v>2</v>
      </c>
      <c r="D11" s="1" t="s">
        <v>39</v>
      </c>
      <c r="E11" s="1">
        <v>55.839999999999996</v>
      </c>
      <c r="F11" s="1"/>
      <c r="G11" s="1"/>
      <c r="H11" s="1">
        <v>8.39</v>
      </c>
      <c r="I11" s="1"/>
      <c r="J11" s="1"/>
      <c r="K11" s="1">
        <v>8.1</v>
      </c>
      <c r="L11" s="1"/>
      <c r="N11" s="1" t="s">
        <v>39</v>
      </c>
      <c r="O11" s="57" t="s">
        <v>90</v>
      </c>
      <c r="P11" s="1" t="s">
        <v>39</v>
      </c>
      <c r="Q11" s="6">
        <v>72.329999999999984</v>
      </c>
    </row>
    <row r="12" spans="1:17" ht="15" customHeight="1">
      <c r="A12" s="1"/>
      <c r="B12" s="1"/>
      <c r="C12" s="1">
        <v>2</v>
      </c>
      <c r="D12" s="1" t="s">
        <v>97</v>
      </c>
      <c r="E12" s="1">
        <v>61.07</v>
      </c>
      <c r="F12" s="1">
        <f>AVERAGE(E8:E12)</f>
        <v>59.942000000000007</v>
      </c>
      <c r="G12" s="1"/>
      <c r="H12" s="1">
        <v>3.94</v>
      </c>
      <c r="I12" s="1">
        <f>AVERAGE(H8:H12)</f>
        <v>5.65</v>
      </c>
      <c r="J12" s="1"/>
      <c r="K12" s="1">
        <v>8.9</v>
      </c>
      <c r="L12" s="1">
        <f>AVERAGE(K8:K12)</f>
        <v>7.3</v>
      </c>
      <c r="N12" s="1" t="s">
        <v>39</v>
      </c>
      <c r="O12" s="57" t="s">
        <v>90</v>
      </c>
      <c r="P12" s="1" t="s">
        <v>97</v>
      </c>
      <c r="Q12" s="6">
        <v>73.910000000000011</v>
      </c>
    </row>
    <row r="13" spans="1:17" ht="15" customHeight="1">
      <c r="A13" s="1"/>
      <c r="B13" s="1"/>
      <c r="C13" s="1">
        <v>3</v>
      </c>
      <c r="D13" s="1" t="s">
        <v>94</v>
      </c>
      <c r="E13" s="1">
        <v>55.169999999999995</v>
      </c>
      <c r="F13" s="1"/>
      <c r="G13" s="1"/>
      <c r="H13" s="1">
        <v>5.73</v>
      </c>
      <c r="I13" s="1"/>
      <c r="J13" s="1"/>
      <c r="K13" s="1">
        <v>5.4</v>
      </c>
      <c r="L13" s="1"/>
      <c r="N13" s="1" t="s">
        <v>39</v>
      </c>
      <c r="O13" s="57" t="s">
        <v>149</v>
      </c>
      <c r="P13" s="1" t="s">
        <v>94</v>
      </c>
      <c r="Q13" s="6">
        <v>66.3</v>
      </c>
    </row>
    <row r="14" spans="1:17" ht="15" customHeight="1">
      <c r="A14" s="1"/>
      <c r="B14" s="1"/>
      <c r="C14" s="1">
        <v>3</v>
      </c>
      <c r="D14" s="1" t="s">
        <v>95</v>
      </c>
      <c r="E14" s="1">
        <v>54.27</v>
      </c>
      <c r="F14" s="1"/>
      <c r="G14" s="1"/>
      <c r="H14" s="1">
        <v>4.33</v>
      </c>
      <c r="I14" s="1"/>
      <c r="J14" s="1"/>
      <c r="K14" s="1">
        <v>5.8</v>
      </c>
      <c r="L14" s="1"/>
      <c r="N14" s="1" t="s">
        <v>39</v>
      </c>
      <c r="O14" s="57" t="s">
        <v>149</v>
      </c>
      <c r="P14" s="1" t="s">
        <v>95</v>
      </c>
      <c r="Q14" s="6">
        <v>64.400000000000006</v>
      </c>
    </row>
    <row r="15" spans="1:17" ht="15" customHeight="1">
      <c r="A15" s="1"/>
      <c r="B15" s="1"/>
      <c r="C15" s="1">
        <v>3</v>
      </c>
      <c r="D15" s="1" t="s">
        <v>96</v>
      </c>
      <c r="E15" s="1">
        <v>64.72</v>
      </c>
      <c r="F15" s="1"/>
      <c r="G15" s="1"/>
      <c r="H15" s="1">
        <v>17.41</v>
      </c>
      <c r="I15" s="1"/>
      <c r="J15" s="1"/>
      <c r="K15" s="1">
        <v>6.5</v>
      </c>
      <c r="L15" s="1"/>
      <c r="N15" s="1" t="s">
        <v>39</v>
      </c>
      <c r="O15" s="57" t="s">
        <v>149</v>
      </c>
      <c r="P15" s="1" t="s">
        <v>96</v>
      </c>
      <c r="Q15" s="6">
        <v>88.63</v>
      </c>
    </row>
    <row r="16" spans="1:17" ht="15" customHeight="1">
      <c r="A16" s="1"/>
      <c r="B16" s="1"/>
      <c r="C16" s="1">
        <v>3</v>
      </c>
      <c r="D16" s="1" t="s">
        <v>39</v>
      </c>
      <c r="E16" s="1">
        <v>68.39</v>
      </c>
      <c r="F16" s="1"/>
      <c r="G16" s="1"/>
      <c r="H16" s="1">
        <v>3.9</v>
      </c>
      <c r="I16" s="1"/>
      <c r="J16" s="1"/>
      <c r="K16" s="1">
        <v>14.2</v>
      </c>
      <c r="L16" s="1"/>
      <c r="N16" s="1" t="s">
        <v>39</v>
      </c>
      <c r="O16" s="57" t="s">
        <v>149</v>
      </c>
      <c r="P16" s="1" t="s">
        <v>39</v>
      </c>
      <c r="Q16" s="6">
        <v>86.490000000000009</v>
      </c>
    </row>
    <row r="17" spans="1:17" ht="15" customHeight="1">
      <c r="A17" s="1"/>
      <c r="B17" s="1"/>
      <c r="C17" s="1">
        <v>3</v>
      </c>
      <c r="D17" s="1" t="s">
        <v>97</v>
      </c>
      <c r="E17" s="1">
        <v>55.54</v>
      </c>
      <c r="F17" s="1">
        <f>AVERAGE(E13:E17)</f>
        <v>59.618000000000009</v>
      </c>
      <c r="G17" s="1"/>
      <c r="H17" s="1">
        <v>3.48</v>
      </c>
      <c r="I17" s="1">
        <f>AVERAGE(H13:H17)</f>
        <v>6.9699999999999989</v>
      </c>
      <c r="J17" s="1"/>
      <c r="K17" s="1">
        <v>8.5</v>
      </c>
      <c r="L17" s="1">
        <f>AVERAGE(K13:K17)</f>
        <v>8.08</v>
      </c>
      <c r="N17" s="1" t="s">
        <v>39</v>
      </c>
      <c r="O17" s="57" t="s">
        <v>149</v>
      </c>
      <c r="P17" s="1" t="s">
        <v>97</v>
      </c>
      <c r="Q17" s="6">
        <v>67.52</v>
      </c>
    </row>
    <row r="18" spans="1:17" ht="15" customHeight="1">
      <c r="A18" s="1"/>
      <c r="B18" s="1"/>
      <c r="C18" s="1">
        <v>4</v>
      </c>
      <c r="D18" s="1" t="s">
        <v>94</v>
      </c>
      <c r="E18" s="1">
        <v>64.08</v>
      </c>
      <c r="F18" s="1"/>
      <c r="G18" s="1"/>
      <c r="H18" s="1">
        <v>3.41</v>
      </c>
      <c r="I18" s="1"/>
      <c r="J18" s="1"/>
      <c r="K18" s="1">
        <v>4.9000000000000004</v>
      </c>
      <c r="L18" s="1"/>
      <c r="N18" s="1" t="s">
        <v>39</v>
      </c>
      <c r="O18" s="57" t="s">
        <v>87</v>
      </c>
      <c r="P18" s="1" t="s">
        <v>94</v>
      </c>
      <c r="Q18" s="6">
        <v>72.39</v>
      </c>
    </row>
    <row r="19" spans="1:17" ht="15" customHeight="1">
      <c r="A19" s="1"/>
      <c r="B19" s="1"/>
      <c r="C19" s="1">
        <v>4</v>
      </c>
      <c r="D19" s="1" t="s">
        <v>95</v>
      </c>
      <c r="E19" s="1">
        <v>60.000000000000007</v>
      </c>
      <c r="F19" s="1"/>
      <c r="G19" s="1"/>
      <c r="H19" s="1">
        <v>4.63</v>
      </c>
      <c r="I19" s="1"/>
      <c r="J19" s="1"/>
      <c r="K19" s="1">
        <v>4.8</v>
      </c>
      <c r="L19" s="1"/>
      <c r="N19" s="1" t="s">
        <v>39</v>
      </c>
      <c r="O19" s="57" t="s">
        <v>87</v>
      </c>
      <c r="P19" s="1" t="s">
        <v>95</v>
      </c>
      <c r="Q19" s="6">
        <v>69.430000000000007</v>
      </c>
    </row>
    <row r="20" spans="1:17" ht="15" customHeight="1">
      <c r="A20" s="1"/>
      <c r="B20" s="1"/>
      <c r="C20" s="1">
        <v>4</v>
      </c>
      <c r="D20" s="1" t="s">
        <v>96</v>
      </c>
      <c r="E20" s="1">
        <v>62.190000000000005</v>
      </c>
      <c r="F20" s="1"/>
      <c r="G20" s="1"/>
      <c r="H20" s="1">
        <v>4.1399999999999997</v>
      </c>
      <c r="I20" s="1"/>
      <c r="J20" s="1"/>
      <c r="K20" s="1">
        <v>3.9</v>
      </c>
      <c r="L20" s="1"/>
      <c r="N20" s="1" t="s">
        <v>39</v>
      </c>
      <c r="O20" s="57" t="s">
        <v>87</v>
      </c>
      <c r="P20" s="1" t="s">
        <v>96</v>
      </c>
      <c r="Q20" s="6">
        <v>70.23</v>
      </c>
    </row>
    <row r="21" spans="1:17" ht="15" customHeight="1">
      <c r="A21" s="1"/>
      <c r="B21" s="1"/>
      <c r="C21" s="1">
        <v>4</v>
      </c>
      <c r="D21" s="1" t="s">
        <v>39</v>
      </c>
      <c r="E21" s="1">
        <v>69.36</v>
      </c>
      <c r="F21" s="1"/>
      <c r="G21" s="1"/>
      <c r="H21" s="1">
        <v>6.18</v>
      </c>
      <c r="I21" s="1"/>
      <c r="J21" s="1"/>
      <c r="K21" s="1">
        <v>4.0999999999999996</v>
      </c>
      <c r="L21" s="1"/>
      <c r="N21" s="1" t="s">
        <v>39</v>
      </c>
      <c r="O21" s="57" t="s">
        <v>87</v>
      </c>
      <c r="P21" s="1" t="s">
        <v>39</v>
      </c>
      <c r="Q21" s="6">
        <v>79.639999999999986</v>
      </c>
    </row>
    <row r="22" spans="1:17" ht="15" customHeight="1">
      <c r="A22" s="1"/>
      <c r="B22" s="1"/>
      <c r="C22" s="1">
        <v>4</v>
      </c>
      <c r="D22" s="1" t="s">
        <v>97</v>
      </c>
      <c r="E22" s="1">
        <v>60.839999999999996</v>
      </c>
      <c r="F22" s="1">
        <f>AVERAGE(E18:E22)</f>
        <v>63.293999999999997</v>
      </c>
      <c r="G22" s="1"/>
      <c r="H22" s="1">
        <v>6.18</v>
      </c>
      <c r="I22" s="1">
        <f>AVERAGE(H18:H22)</f>
        <v>4.9079999999999995</v>
      </c>
      <c r="J22" s="1"/>
      <c r="K22" s="1">
        <v>7.8</v>
      </c>
      <c r="L22" s="1">
        <f>AVERAGE(K18:K22)</f>
        <v>5.0999999999999996</v>
      </c>
      <c r="N22" s="1" t="s">
        <v>39</v>
      </c>
      <c r="O22" s="57" t="s">
        <v>87</v>
      </c>
      <c r="P22" s="1" t="s">
        <v>97</v>
      </c>
      <c r="Q22" s="6">
        <v>74.819999999999993</v>
      </c>
    </row>
    <row r="23" spans="1:17" ht="15" customHeight="1">
      <c r="A23" s="1" t="s">
        <v>37</v>
      </c>
      <c r="B23" s="1" t="s">
        <v>77</v>
      </c>
      <c r="C23" s="1">
        <v>1</v>
      </c>
      <c r="D23" s="1" t="s">
        <v>94</v>
      </c>
      <c r="E23" s="1">
        <v>75.949999999999989</v>
      </c>
      <c r="F23" s="1"/>
      <c r="G23" s="1"/>
      <c r="H23" s="1">
        <v>7.18</v>
      </c>
      <c r="I23" s="1"/>
      <c r="J23" s="1"/>
      <c r="K23" s="1">
        <v>3.5</v>
      </c>
      <c r="L23" s="1"/>
      <c r="N23" s="1" t="s">
        <v>77</v>
      </c>
      <c r="O23" s="57" t="s">
        <v>87</v>
      </c>
      <c r="P23" s="1" t="s">
        <v>94</v>
      </c>
      <c r="Q23" s="6">
        <v>86.63</v>
      </c>
    </row>
    <row r="24" spans="1:17" ht="15" customHeight="1">
      <c r="A24" s="1"/>
      <c r="B24" s="1"/>
      <c r="C24" s="1">
        <v>1</v>
      </c>
      <c r="D24" s="1" t="s">
        <v>95</v>
      </c>
      <c r="E24" s="1">
        <v>50.03</v>
      </c>
      <c r="F24" s="1"/>
      <c r="G24" s="1"/>
      <c r="H24" s="1">
        <v>5.79</v>
      </c>
      <c r="I24" s="1"/>
      <c r="J24" s="1"/>
      <c r="K24" s="1">
        <v>2.8</v>
      </c>
      <c r="L24" s="1"/>
      <c r="N24" s="1" t="s">
        <v>77</v>
      </c>
      <c r="O24" s="57" t="s">
        <v>87</v>
      </c>
      <c r="P24" s="1" t="s">
        <v>95</v>
      </c>
      <c r="Q24" s="6">
        <v>58.62</v>
      </c>
    </row>
    <row r="25" spans="1:17" ht="15" customHeight="1">
      <c r="A25" s="1" t="s">
        <v>162</v>
      </c>
      <c r="B25" s="1"/>
      <c r="C25" s="1">
        <v>1</v>
      </c>
      <c r="D25" s="1" t="s">
        <v>96</v>
      </c>
      <c r="E25" s="1">
        <v>74</v>
      </c>
      <c r="F25" s="1"/>
      <c r="G25" s="1"/>
      <c r="H25" s="1">
        <v>6.92</v>
      </c>
      <c r="I25" s="1"/>
      <c r="J25" s="1"/>
      <c r="K25" s="1">
        <v>3.2</v>
      </c>
      <c r="L25" s="1"/>
      <c r="N25" s="1" t="s">
        <v>77</v>
      </c>
      <c r="O25" s="57" t="s">
        <v>87</v>
      </c>
      <c r="P25" s="1" t="s">
        <v>96</v>
      </c>
      <c r="Q25" s="6">
        <v>84.12</v>
      </c>
    </row>
    <row r="26" spans="1:17" ht="15" customHeight="1">
      <c r="A26" s="1"/>
      <c r="B26" s="1"/>
      <c r="C26" s="1">
        <v>1</v>
      </c>
      <c r="D26" s="8" t="s">
        <v>97</v>
      </c>
      <c r="E26" s="1">
        <v>50.46</v>
      </c>
      <c r="F26" s="1"/>
      <c r="G26" s="1"/>
      <c r="H26" s="1">
        <v>4.78</v>
      </c>
      <c r="I26" s="1"/>
      <c r="J26" s="1"/>
      <c r="K26" s="1">
        <v>3.2</v>
      </c>
      <c r="L26" s="1"/>
      <c r="N26" s="1" t="s">
        <v>77</v>
      </c>
      <c r="O26" s="57" t="s">
        <v>87</v>
      </c>
      <c r="P26" s="1" t="s">
        <v>97</v>
      </c>
      <c r="Q26" s="6">
        <v>58.440000000000005</v>
      </c>
    </row>
    <row r="27" spans="1:17" ht="15" customHeight="1">
      <c r="A27" s="1"/>
      <c r="B27" s="1"/>
      <c r="C27" s="1">
        <v>1</v>
      </c>
      <c r="D27" s="1" t="s">
        <v>97</v>
      </c>
      <c r="E27" s="1">
        <v>41.29</v>
      </c>
      <c r="F27" s="1">
        <f>AVERAGE(E23:E27)</f>
        <v>58.346000000000004</v>
      </c>
      <c r="G27" s="1"/>
      <c r="H27" s="1">
        <v>4.59</v>
      </c>
      <c r="I27" s="1">
        <f>AVERAGE(H23:H27)</f>
        <v>5.8520000000000003</v>
      </c>
      <c r="J27" s="1"/>
      <c r="K27" s="1">
        <v>3.1</v>
      </c>
      <c r="L27" s="1">
        <f>AVERAGE(K23:K27)</f>
        <v>3.1599999999999997</v>
      </c>
      <c r="N27" s="1" t="s">
        <v>77</v>
      </c>
      <c r="O27" s="57" t="s">
        <v>87</v>
      </c>
      <c r="P27" s="1" t="s">
        <v>97</v>
      </c>
      <c r="Q27" s="6">
        <v>48.98</v>
      </c>
    </row>
    <row r="28" spans="1:17" ht="15" customHeight="1">
      <c r="A28" s="1"/>
      <c r="B28" s="1"/>
      <c r="C28" s="1">
        <v>2</v>
      </c>
      <c r="D28" s="1" t="s">
        <v>94</v>
      </c>
      <c r="E28" s="1">
        <v>63.9</v>
      </c>
      <c r="F28" s="1"/>
      <c r="G28" s="1"/>
      <c r="H28" s="1">
        <v>7.46</v>
      </c>
      <c r="I28" s="1"/>
      <c r="J28" s="1"/>
      <c r="K28" s="1">
        <v>3.3</v>
      </c>
      <c r="L28" s="1"/>
      <c r="N28" s="1" t="s">
        <v>77</v>
      </c>
      <c r="O28" s="57" t="s">
        <v>149</v>
      </c>
      <c r="P28" s="1" t="s">
        <v>94</v>
      </c>
      <c r="Q28" s="6">
        <v>74.66</v>
      </c>
    </row>
    <row r="29" spans="1:17" ht="15" customHeight="1">
      <c r="A29" s="1"/>
      <c r="B29" s="1"/>
      <c r="C29" s="1">
        <v>2</v>
      </c>
      <c r="D29" s="1" t="s">
        <v>95</v>
      </c>
      <c r="E29" s="1">
        <v>69.08</v>
      </c>
      <c r="F29" s="1"/>
      <c r="G29" s="1"/>
      <c r="H29" s="1">
        <v>12.57</v>
      </c>
      <c r="I29" s="1"/>
      <c r="J29" s="1"/>
      <c r="K29" s="1">
        <v>8.6999999999999993</v>
      </c>
      <c r="L29" s="1"/>
      <c r="N29" s="1" t="s">
        <v>77</v>
      </c>
      <c r="O29" s="57" t="s">
        <v>149</v>
      </c>
      <c r="P29" s="1" t="s">
        <v>95</v>
      </c>
      <c r="Q29" s="6">
        <v>90.350000000000009</v>
      </c>
    </row>
    <row r="30" spans="1:17" ht="15" customHeight="1">
      <c r="A30" s="1"/>
      <c r="B30" s="1"/>
      <c r="C30" s="1">
        <v>2</v>
      </c>
      <c r="D30" s="1" t="s">
        <v>96</v>
      </c>
      <c r="E30" s="1">
        <v>72.36999999999999</v>
      </c>
      <c r="F30" s="1"/>
      <c r="G30" s="1"/>
      <c r="H30" s="1">
        <v>5.68</v>
      </c>
      <c r="I30" s="1"/>
      <c r="J30" s="1"/>
      <c r="K30" s="1">
        <v>2.9</v>
      </c>
      <c r="L30" s="1"/>
      <c r="N30" s="1" t="s">
        <v>77</v>
      </c>
      <c r="O30" s="57" t="s">
        <v>149</v>
      </c>
      <c r="P30" s="1" t="s">
        <v>96</v>
      </c>
      <c r="Q30" s="6">
        <v>80.949999999999989</v>
      </c>
    </row>
    <row r="31" spans="1:17" ht="15" customHeight="1">
      <c r="A31" s="1"/>
      <c r="B31" s="1"/>
      <c r="C31" s="1">
        <v>2</v>
      </c>
      <c r="D31" s="1" t="s">
        <v>39</v>
      </c>
      <c r="E31" s="1">
        <v>66.86999999999999</v>
      </c>
      <c r="F31" s="1"/>
      <c r="G31" s="1"/>
      <c r="H31" s="1">
        <v>7.64</v>
      </c>
      <c r="I31" s="1"/>
      <c r="J31" s="1"/>
      <c r="K31" s="1">
        <v>5.9</v>
      </c>
      <c r="L31" s="1"/>
      <c r="N31" s="1" t="s">
        <v>77</v>
      </c>
      <c r="O31" s="57" t="s">
        <v>149</v>
      </c>
      <c r="P31" s="1" t="s">
        <v>39</v>
      </c>
      <c r="Q31" s="6">
        <v>80.41</v>
      </c>
    </row>
    <row r="32" spans="1:17" ht="15" customHeight="1">
      <c r="A32" s="1"/>
      <c r="B32" s="1"/>
      <c r="C32" s="1">
        <v>2</v>
      </c>
      <c r="D32" s="1" t="s">
        <v>97</v>
      </c>
      <c r="E32" s="1">
        <v>42.84</v>
      </c>
      <c r="F32" s="1">
        <f>AVERAGE(E28:E32)</f>
        <v>63.011999999999986</v>
      </c>
      <c r="G32" s="1"/>
      <c r="H32" s="1">
        <v>5.24</v>
      </c>
      <c r="I32" s="1">
        <f>AVERAGE(H28:H32)</f>
        <v>7.7180000000000009</v>
      </c>
      <c r="J32" s="1"/>
      <c r="K32" s="8">
        <f>AVERAGE(K28:K31)</f>
        <v>5.2</v>
      </c>
      <c r="L32" s="1">
        <f>AVERAGE(K28:K32)</f>
        <v>5.2</v>
      </c>
      <c r="N32" s="1" t="s">
        <v>77</v>
      </c>
      <c r="O32" s="57" t="s">
        <v>149</v>
      </c>
      <c r="P32" s="1" t="s">
        <v>97</v>
      </c>
      <c r="Q32" s="6">
        <v>53.280000000000008</v>
      </c>
    </row>
    <row r="33" spans="1:17" ht="15" customHeight="1">
      <c r="A33" s="1"/>
      <c r="B33" s="1"/>
      <c r="C33" s="1">
        <v>3</v>
      </c>
      <c r="D33" s="1" t="s">
        <v>94</v>
      </c>
      <c r="E33" s="1">
        <v>79.13</v>
      </c>
      <c r="F33" s="1"/>
      <c r="G33" s="1"/>
      <c r="H33" s="1">
        <v>11.93</v>
      </c>
      <c r="I33" s="1"/>
      <c r="J33" s="1"/>
      <c r="K33" s="1">
        <v>3.4</v>
      </c>
      <c r="L33" s="1"/>
      <c r="N33" s="1" t="s">
        <v>77</v>
      </c>
      <c r="O33" s="57" t="s">
        <v>89</v>
      </c>
      <c r="P33" s="1" t="s">
        <v>94</v>
      </c>
      <c r="Q33" s="6">
        <v>94.460000000000008</v>
      </c>
    </row>
    <row r="34" spans="1:17" ht="15" customHeight="1">
      <c r="A34" s="1"/>
      <c r="B34" s="1"/>
      <c r="C34" s="1">
        <v>3</v>
      </c>
      <c r="D34" s="1" t="s">
        <v>95</v>
      </c>
      <c r="E34" s="1">
        <v>46.47</v>
      </c>
      <c r="F34" s="1"/>
      <c r="G34" s="1"/>
      <c r="H34" s="1">
        <v>2.79</v>
      </c>
      <c r="I34" s="1"/>
      <c r="J34" s="1"/>
      <c r="K34" s="1">
        <v>2.5</v>
      </c>
      <c r="L34" s="1"/>
      <c r="N34" s="1" t="s">
        <v>77</v>
      </c>
      <c r="O34" s="57" t="s">
        <v>89</v>
      </c>
      <c r="P34" s="1" t="s">
        <v>95</v>
      </c>
      <c r="Q34" s="6">
        <v>51.76</v>
      </c>
    </row>
    <row r="35" spans="1:17" ht="15" customHeight="1">
      <c r="A35" s="1"/>
      <c r="B35" s="1"/>
      <c r="C35" s="1">
        <v>3</v>
      </c>
      <c r="D35" s="1" t="s">
        <v>96</v>
      </c>
      <c r="E35" s="1">
        <v>57.49</v>
      </c>
      <c r="F35" s="1"/>
      <c r="G35" s="1"/>
      <c r="H35" s="1">
        <v>5</v>
      </c>
      <c r="I35" s="1"/>
      <c r="J35" s="1"/>
      <c r="K35" s="1">
        <v>1.4</v>
      </c>
      <c r="L35" s="1"/>
      <c r="N35" s="1" t="s">
        <v>77</v>
      </c>
      <c r="O35" s="57" t="s">
        <v>89</v>
      </c>
      <c r="P35" s="1" t="s">
        <v>96</v>
      </c>
      <c r="Q35" s="6">
        <v>63.89</v>
      </c>
    </row>
    <row r="36" spans="1:17" ht="15" customHeight="1">
      <c r="A36" s="1"/>
      <c r="B36" s="1"/>
      <c r="C36" s="1">
        <v>3</v>
      </c>
      <c r="D36" s="1" t="s">
        <v>39</v>
      </c>
      <c r="E36" s="1">
        <v>68.569999999999993</v>
      </c>
      <c r="F36" s="1"/>
      <c r="G36" s="1"/>
      <c r="H36" s="1">
        <v>8.75</v>
      </c>
      <c r="I36" s="1"/>
      <c r="J36" s="1"/>
      <c r="K36" s="1">
        <v>3.9</v>
      </c>
      <c r="L36" s="1"/>
      <c r="N36" s="1" t="s">
        <v>77</v>
      </c>
      <c r="O36" s="57" t="s">
        <v>89</v>
      </c>
      <c r="P36" s="1" t="s">
        <v>39</v>
      </c>
      <c r="Q36" s="6">
        <v>81.22</v>
      </c>
    </row>
    <row r="37" spans="1:17" ht="15" customHeight="1">
      <c r="A37" s="1"/>
      <c r="B37" s="1"/>
      <c r="C37" s="1">
        <v>3</v>
      </c>
      <c r="D37" s="1" t="s">
        <v>97</v>
      </c>
      <c r="E37" s="1">
        <v>73.5</v>
      </c>
      <c r="F37" s="1">
        <f>AVERAGE(E33:E37)</f>
        <v>65.031999999999996</v>
      </c>
      <c r="G37" s="1"/>
      <c r="H37" s="1">
        <v>8.82</v>
      </c>
      <c r="I37" s="1">
        <f>AVERAGE(H33:H37)</f>
        <v>7.4580000000000002</v>
      </c>
      <c r="J37" s="1"/>
      <c r="K37" s="1">
        <v>3.9</v>
      </c>
      <c r="L37" s="1">
        <f>AVERAGE(K33:K37)</f>
        <v>3.0200000000000005</v>
      </c>
      <c r="N37" s="1" t="s">
        <v>77</v>
      </c>
      <c r="O37" s="57" t="s">
        <v>89</v>
      </c>
      <c r="P37" s="1" t="s">
        <v>97</v>
      </c>
      <c r="Q37" s="6">
        <v>86.22</v>
      </c>
    </row>
    <row r="38" spans="1:17" ht="15" customHeight="1">
      <c r="A38" s="1"/>
      <c r="B38" s="1"/>
      <c r="C38" s="1">
        <v>4</v>
      </c>
      <c r="D38" s="1" t="s">
        <v>94</v>
      </c>
      <c r="E38" s="1">
        <v>67.47</v>
      </c>
      <c r="F38" s="1"/>
      <c r="G38" s="1"/>
      <c r="H38" s="1">
        <v>5.2</v>
      </c>
      <c r="I38" s="1"/>
      <c r="J38" s="1"/>
      <c r="K38" s="1">
        <v>4.2</v>
      </c>
      <c r="L38" s="1"/>
      <c r="N38" s="1" t="s">
        <v>77</v>
      </c>
      <c r="O38" s="57" t="s">
        <v>90</v>
      </c>
      <c r="P38" s="1" t="s">
        <v>94</v>
      </c>
      <c r="Q38" s="6">
        <v>76.87</v>
      </c>
    </row>
    <row r="39" spans="1:17" ht="15" customHeight="1">
      <c r="A39" s="1"/>
      <c r="B39" s="1"/>
      <c r="C39" s="1">
        <v>4</v>
      </c>
      <c r="D39" s="1" t="s">
        <v>95</v>
      </c>
      <c r="E39" s="1">
        <v>48.190000000000005</v>
      </c>
      <c r="F39" s="1"/>
      <c r="G39" s="1"/>
      <c r="H39" s="1">
        <v>10.029999999999999</v>
      </c>
      <c r="I39" s="1"/>
      <c r="J39" s="1"/>
      <c r="K39" s="1">
        <v>5.0999999999999996</v>
      </c>
      <c r="L39" s="1"/>
      <c r="N39" s="1" t="s">
        <v>77</v>
      </c>
      <c r="O39" s="57" t="s">
        <v>90</v>
      </c>
      <c r="P39" s="1" t="s">
        <v>95</v>
      </c>
      <c r="Q39" s="6">
        <v>63.320000000000007</v>
      </c>
    </row>
    <row r="40" spans="1:17" ht="15" customHeight="1">
      <c r="A40" s="1"/>
      <c r="B40" s="1"/>
      <c r="C40" s="1">
        <v>4</v>
      </c>
      <c r="D40" s="1" t="s">
        <v>96</v>
      </c>
      <c r="E40" s="1">
        <v>65.849999999999994</v>
      </c>
      <c r="F40" s="1"/>
      <c r="G40" s="1"/>
      <c r="H40" s="1">
        <v>7.03</v>
      </c>
      <c r="I40" s="1"/>
      <c r="J40" s="1"/>
      <c r="K40" s="1">
        <v>2.6</v>
      </c>
      <c r="L40" s="1"/>
      <c r="N40" s="1" t="s">
        <v>77</v>
      </c>
      <c r="O40" s="57" t="s">
        <v>90</v>
      </c>
      <c r="P40" s="1" t="s">
        <v>96</v>
      </c>
      <c r="Q40" s="6">
        <v>75.47999999999999</v>
      </c>
    </row>
    <row r="41" spans="1:17" ht="15" customHeight="1">
      <c r="A41" s="1"/>
      <c r="B41" s="1"/>
      <c r="C41" s="1">
        <v>4</v>
      </c>
      <c r="D41" s="1" t="s">
        <v>39</v>
      </c>
      <c r="E41" s="1">
        <v>62.79</v>
      </c>
      <c r="F41" s="1"/>
      <c r="G41" s="1"/>
      <c r="H41" s="1">
        <v>6.27</v>
      </c>
      <c r="I41" s="1"/>
      <c r="J41" s="1"/>
      <c r="K41" s="1">
        <v>4.9000000000000004</v>
      </c>
      <c r="L41" s="1"/>
      <c r="N41" s="1" t="s">
        <v>77</v>
      </c>
      <c r="O41" s="57" t="s">
        <v>90</v>
      </c>
      <c r="P41" s="1" t="s">
        <v>39</v>
      </c>
      <c r="Q41" s="6">
        <v>73.960000000000008</v>
      </c>
    </row>
    <row r="42" spans="1:17" ht="15" customHeight="1">
      <c r="A42" s="1"/>
      <c r="B42" s="1"/>
      <c r="C42" s="1">
        <v>4</v>
      </c>
      <c r="D42" s="1" t="s">
        <v>97</v>
      </c>
      <c r="E42" s="1">
        <v>62.390000000000008</v>
      </c>
      <c r="F42" s="1">
        <f>AVERAGE(E38:E42)</f>
        <v>61.338000000000001</v>
      </c>
      <c r="G42" s="1"/>
      <c r="H42" s="1">
        <v>5.1100000000000003</v>
      </c>
      <c r="I42" s="1">
        <f>AVERAGE(H38:H42)</f>
        <v>6.7279999999999998</v>
      </c>
      <c r="J42" s="1"/>
      <c r="K42" s="1">
        <v>3.1</v>
      </c>
      <c r="L42" s="1">
        <f>AVERAGE(K38:K42)</f>
        <v>3.9800000000000004</v>
      </c>
      <c r="N42" s="1" t="s">
        <v>77</v>
      </c>
      <c r="O42" s="57" t="s">
        <v>90</v>
      </c>
      <c r="P42" s="1" t="s">
        <v>97</v>
      </c>
      <c r="Q42" s="6">
        <v>70.600000000000009</v>
      </c>
    </row>
    <row r="43" spans="1:17" ht="15" customHeight="1">
      <c r="A43" s="1" t="s">
        <v>37</v>
      </c>
      <c r="B43" s="1" t="s">
        <v>85</v>
      </c>
      <c r="C43" s="1">
        <v>1</v>
      </c>
      <c r="D43" s="1" t="s">
        <v>94</v>
      </c>
      <c r="E43" s="1">
        <v>84.649999999999991</v>
      </c>
      <c r="F43" s="1"/>
      <c r="G43" s="1"/>
      <c r="H43" s="1">
        <v>1.47</v>
      </c>
      <c r="I43" s="1"/>
      <c r="J43" s="1"/>
      <c r="K43" s="1">
        <v>2.5</v>
      </c>
      <c r="L43" s="1"/>
      <c r="N43" s="1" t="s">
        <v>85</v>
      </c>
      <c r="O43" s="57" t="s">
        <v>87</v>
      </c>
      <c r="P43" s="1" t="s">
        <v>94</v>
      </c>
      <c r="Q43" s="6">
        <v>88.61999999999999</v>
      </c>
    </row>
    <row r="44" spans="1:17" ht="15" customHeight="1">
      <c r="A44" s="1"/>
      <c r="B44" s="1"/>
      <c r="C44" s="1">
        <v>1</v>
      </c>
      <c r="D44" s="1" t="s">
        <v>95</v>
      </c>
      <c r="E44" s="1">
        <v>85.97</v>
      </c>
      <c r="F44" s="1"/>
      <c r="G44" s="1"/>
      <c r="H44" s="1">
        <v>4.28</v>
      </c>
      <c r="I44" s="1"/>
      <c r="J44" s="1"/>
      <c r="K44" s="8">
        <f>AVERAGE(K43,K45:K47)</f>
        <v>4.9749999999999996</v>
      </c>
      <c r="L44" s="1"/>
      <c r="N44" s="1" t="s">
        <v>85</v>
      </c>
      <c r="O44" s="57" t="s">
        <v>87</v>
      </c>
      <c r="P44" s="1" t="s">
        <v>95</v>
      </c>
      <c r="Q44" s="6">
        <v>95.224999999999994</v>
      </c>
    </row>
    <row r="45" spans="1:17" ht="15" customHeight="1">
      <c r="A45" s="1" t="s">
        <v>167</v>
      </c>
      <c r="B45" s="1"/>
      <c r="C45" s="1">
        <v>1</v>
      </c>
      <c r="D45" s="1" t="s">
        <v>96</v>
      </c>
      <c r="E45" s="1">
        <v>83.88</v>
      </c>
      <c r="F45" s="1"/>
      <c r="G45" s="1"/>
      <c r="H45" s="1">
        <v>3.2</v>
      </c>
      <c r="I45" s="1"/>
      <c r="J45" s="1"/>
      <c r="K45" s="1">
        <v>4.2</v>
      </c>
      <c r="L45" s="1"/>
      <c r="N45" s="1" t="s">
        <v>85</v>
      </c>
      <c r="O45" s="57" t="s">
        <v>87</v>
      </c>
      <c r="P45" s="1" t="s">
        <v>96</v>
      </c>
      <c r="Q45" s="6">
        <v>91.28</v>
      </c>
    </row>
    <row r="46" spans="1:17" ht="15" customHeight="1">
      <c r="A46" s="1"/>
      <c r="B46" s="1"/>
      <c r="C46" s="1">
        <v>1</v>
      </c>
      <c r="D46" s="1" t="s">
        <v>39</v>
      </c>
      <c r="E46" s="1">
        <v>84.309999999999988</v>
      </c>
      <c r="F46" s="1"/>
      <c r="G46" s="1"/>
      <c r="H46" s="1">
        <v>4.13</v>
      </c>
      <c r="I46" s="1"/>
      <c r="J46" s="1"/>
      <c r="K46" s="1">
        <v>7.8</v>
      </c>
      <c r="L46" s="1"/>
      <c r="N46" s="1" t="s">
        <v>85</v>
      </c>
      <c r="O46" s="57" t="s">
        <v>87</v>
      </c>
      <c r="P46" s="1" t="s">
        <v>39</v>
      </c>
      <c r="Q46" s="6">
        <v>96.239999999999981</v>
      </c>
    </row>
    <row r="47" spans="1:17" ht="15" customHeight="1">
      <c r="A47" s="1"/>
      <c r="B47" s="1"/>
      <c r="C47" s="1">
        <v>1</v>
      </c>
      <c r="D47" s="1" t="s">
        <v>97</v>
      </c>
      <c r="E47" s="1">
        <v>69.86999999999999</v>
      </c>
      <c r="F47" s="1">
        <f>AVERAGE(E43:E47)</f>
        <v>81.736000000000004</v>
      </c>
      <c r="G47" s="1"/>
      <c r="H47" s="1">
        <v>6.08</v>
      </c>
      <c r="I47" s="1">
        <f>AVERAGE(H43:H47)</f>
        <v>3.8319999999999994</v>
      </c>
      <c r="J47" s="1"/>
      <c r="K47" s="1">
        <v>5.4</v>
      </c>
      <c r="L47" s="1">
        <f>AVERAGE(K43:K47)</f>
        <v>4.9749999999999996</v>
      </c>
      <c r="N47" s="1" t="s">
        <v>85</v>
      </c>
      <c r="O47" s="57" t="s">
        <v>87</v>
      </c>
      <c r="P47" s="1" t="s">
        <v>97</v>
      </c>
      <c r="Q47" s="6">
        <v>81.349999999999994</v>
      </c>
    </row>
    <row r="48" spans="1:17" ht="15" customHeight="1">
      <c r="A48" s="1"/>
      <c r="B48" s="1"/>
      <c r="C48" s="1">
        <v>2</v>
      </c>
      <c r="D48" s="1" t="s">
        <v>94</v>
      </c>
      <c r="E48" s="1">
        <v>80.83</v>
      </c>
      <c r="F48" s="1"/>
      <c r="G48" s="1"/>
      <c r="H48" s="1">
        <v>2.56</v>
      </c>
      <c r="I48" s="1"/>
      <c r="J48" s="1"/>
      <c r="K48" s="1">
        <v>4</v>
      </c>
      <c r="L48" s="1"/>
      <c r="N48" s="1" t="s">
        <v>85</v>
      </c>
      <c r="O48" s="57" t="s">
        <v>90</v>
      </c>
      <c r="P48" s="1" t="s">
        <v>94</v>
      </c>
      <c r="Q48" s="6">
        <v>87.39</v>
      </c>
    </row>
    <row r="49" spans="1:17" ht="15" customHeight="1">
      <c r="A49" s="1"/>
      <c r="B49" s="1"/>
      <c r="C49" s="1">
        <v>2</v>
      </c>
      <c r="D49" s="1" t="s">
        <v>95</v>
      </c>
      <c r="E49" s="1">
        <v>90.289999999999992</v>
      </c>
      <c r="F49" s="1"/>
      <c r="G49" s="1"/>
      <c r="H49" s="1">
        <v>3.67</v>
      </c>
      <c r="I49" s="1"/>
      <c r="J49" s="1"/>
      <c r="K49" s="1">
        <v>2.6</v>
      </c>
      <c r="L49" s="1"/>
      <c r="N49" s="1" t="s">
        <v>85</v>
      </c>
      <c r="O49" s="57" t="s">
        <v>90</v>
      </c>
      <c r="P49" s="1" t="s">
        <v>95</v>
      </c>
      <c r="Q49" s="6">
        <v>96.559999999999988</v>
      </c>
    </row>
    <row r="50" spans="1:17" ht="15" customHeight="1">
      <c r="A50" s="1"/>
      <c r="B50" s="1"/>
      <c r="C50" s="1">
        <v>2</v>
      </c>
      <c r="D50" s="1" t="s">
        <v>96</v>
      </c>
      <c r="E50" s="1">
        <v>71.86</v>
      </c>
      <c r="F50" s="1"/>
      <c r="G50" s="1"/>
      <c r="H50" s="1">
        <v>2.29</v>
      </c>
      <c r="I50" s="1"/>
      <c r="J50" s="1"/>
      <c r="K50" s="1">
        <v>2.1</v>
      </c>
      <c r="L50" s="1"/>
      <c r="N50" s="1" t="s">
        <v>85</v>
      </c>
      <c r="O50" s="57" t="s">
        <v>90</v>
      </c>
      <c r="P50" s="1" t="s">
        <v>96</v>
      </c>
      <c r="Q50" s="6">
        <v>76.25</v>
      </c>
    </row>
    <row r="51" spans="1:17" ht="15" customHeight="1">
      <c r="A51" s="1"/>
      <c r="B51" s="1"/>
      <c r="C51" s="1">
        <v>2</v>
      </c>
      <c r="D51" s="1" t="s">
        <v>39</v>
      </c>
      <c r="E51" s="1">
        <v>76.11999999999999</v>
      </c>
      <c r="F51" s="1"/>
      <c r="G51" s="1"/>
      <c r="H51" s="1">
        <v>2.85</v>
      </c>
      <c r="I51" s="1"/>
      <c r="J51" s="1"/>
      <c r="K51" s="1">
        <v>2.2999999999999998</v>
      </c>
      <c r="L51" s="1"/>
      <c r="N51" s="1" t="s">
        <v>85</v>
      </c>
      <c r="O51" s="57" t="s">
        <v>90</v>
      </c>
      <c r="P51" s="1" t="s">
        <v>39</v>
      </c>
      <c r="Q51" s="6">
        <v>81.269999999999982</v>
      </c>
    </row>
    <row r="52" spans="1:17" ht="15" customHeight="1">
      <c r="A52" s="1"/>
      <c r="B52" s="1"/>
      <c r="C52" s="1">
        <v>2</v>
      </c>
      <c r="D52" s="1" t="s">
        <v>97</v>
      </c>
      <c r="E52" s="1">
        <v>61.74</v>
      </c>
      <c r="F52" s="1">
        <f>AVERAGE(E48:E52)</f>
        <v>76.168000000000006</v>
      </c>
      <c r="G52" s="1"/>
      <c r="H52" s="1">
        <v>1.9</v>
      </c>
      <c r="I52" s="1">
        <f>AVERAGE(H48:H52)</f>
        <v>2.6539999999999999</v>
      </c>
      <c r="J52" s="1"/>
      <c r="K52" s="1">
        <v>2.2000000000000002</v>
      </c>
      <c r="L52" s="1">
        <f>AVERAGE(K48:K52)</f>
        <v>2.6399999999999997</v>
      </c>
      <c r="N52" s="1" t="s">
        <v>85</v>
      </c>
      <c r="O52" s="57" t="s">
        <v>90</v>
      </c>
      <c r="P52" s="1" t="s">
        <v>97</v>
      </c>
      <c r="Q52" s="6">
        <v>65.84</v>
      </c>
    </row>
    <row r="53" spans="1:17" ht="15" customHeight="1">
      <c r="A53" s="1"/>
      <c r="B53" s="1"/>
      <c r="C53" s="1">
        <v>3</v>
      </c>
      <c r="D53" s="1" t="s">
        <v>94</v>
      </c>
      <c r="E53" s="1">
        <v>68.449999999999989</v>
      </c>
      <c r="F53" s="1"/>
      <c r="G53" s="1"/>
      <c r="H53" s="1">
        <v>1.95</v>
      </c>
      <c r="I53" s="1"/>
      <c r="J53" s="1"/>
      <c r="K53" s="1">
        <v>2.6</v>
      </c>
      <c r="L53" s="1"/>
      <c r="N53" s="1" t="s">
        <v>85</v>
      </c>
      <c r="O53" s="57" t="s">
        <v>149</v>
      </c>
      <c r="P53" s="1" t="s">
        <v>94</v>
      </c>
      <c r="Q53" s="6">
        <v>72.999999999999986</v>
      </c>
    </row>
    <row r="54" spans="1:17" ht="15" customHeight="1">
      <c r="A54" s="1"/>
      <c r="B54" s="1"/>
      <c r="C54" s="1">
        <v>3</v>
      </c>
      <c r="D54" s="1" t="s">
        <v>95</v>
      </c>
      <c r="E54" s="1">
        <v>63.470000000000006</v>
      </c>
      <c r="F54" s="1"/>
      <c r="G54" s="1"/>
      <c r="H54" s="1">
        <v>2.19</v>
      </c>
      <c r="I54" s="1"/>
      <c r="J54" s="1"/>
      <c r="K54" s="1">
        <v>4</v>
      </c>
      <c r="L54" s="1"/>
      <c r="N54" s="1" t="s">
        <v>85</v>
      </c>
      <c r="O54" s="57" t="s">
        <v>149</v>
      </c>
      <c r="P54" s="1" t="s">
        <v>95</v>
      </c>
      <c r="Q54" s="6">
        <v>69.660000000000011</v>
      </c>
    </row>
    <row r="55" spans="1:17" ht="15" customHeight="1">
      <c r="A55" s="1"/>
      <c r="B55" s="1"/>
      <c r="C55" s="1">
        <v>3</v>
      </c>
      <c r="D55" s="1" t="s">
        <v>96</v>
      </c>
      <c r="E55" s="1">
        <v>75.539999999999992</v>
      </c>
      <c r="F55" s="1"/>
      <c r="G55" s="1"/>
      <c r="H55" s="1">
        <v>3.34</v>
      </c>
      <c r="I55" s="1"/>
      <c r="J55" s="1"/>
      <c r="K55" s="1">
        <v>2.1</v>
      </c>
      <c r="L55" s="1"/>
      <c r="N55" s="1" t="s">
        <v>85</v>
      </c>
      <c r="O55" s="57" t="s">
        <v>149</v>
      </c>
      <c r="P55" s="1" t="s">
        <v>96</v>
      </c>
      <c r="Q55" s="6">
        <v>80.97999999999999</v>
      </c>
    </row>
    <row r="56" spans="1:17" ht="15" customHeight="1">
      <c r="A56" s="1"/>
      <c r="B56" s="1"/>
      <c r="C56" s="1">
        <v>3</v>
      </c>
      <c r="D56" s="1" t="s">
        <v>39</v>
      </c>
      <c r="E56" s="1">
        <v>68.44</v>
      </c>
      <c r="F56" s="1"/>
      <c r="G56" s="1"/>
      <c r="H56" s="1">
        <v>3.59</v>
      </c>
      <c r="I56" s="1"/>
      <c r="J56" s="1"/>
      <c r="K56" s="1">
        <v>2</v>
      </c>
      <c r="L56" s="1"/>
      <c r="N56" s="1" t="s">
        <v>85</v>
      </c>
      <c r="O56" s="57" t="s">
        <v>149</v>
      </c>
      <c r="P56" s="1" t="s">
        <v>39</v>
      </c>
      <c r="Q56" s="6">
        <v>74.03</v>
      </c>
    </row>
    <row r="57" spans="1:17" ht="15" customHeight="1">
      <c r="A57" s="1"/>
      <c r="B57" s="1"/>
      <c r="C57" s="1">
        <v>3</v>
      </c>
      <c r="D57" s="1" t="s">
        <v>97</v>
      </c>
      <c r="E57" s="1">
        <v>68.25</v>
      </c>
      <c r="F57" s="1">
        <f>AVERAGE(E53:E57)</f>
        <v>68.83</v>
      </c>
      <c r="G57" s="1"/>
      <c r="H57" s="1">
        <v>2.58</v>
      </c>
      <c r="I57" s="1">
        <f>AVERAGE(H53:H57)</f>
        <v>2.73</v>
      </c>
      <c r="J57" s="1"/>
      <c r="K57" s="1">
        <v>4.5</v>
      </c>
      <c r="L57" s="1">
        <f>AVERAGE(K53:K57)</f>
        <v>3.04</v>
      </c>
      <c r="N57" s="1" t="s">
        <v>85</v>
      </c>
      <c r="O57" s="57" t="s">
        <v>149</v>
      </c>
      <c r="P57" s="1" t="s">
        <v>97</v>
      </c>
      <c r="Q57" s="6">
        <v>75.33</v>
      </c>
    </row>
    <row r="58" spans="1:17" ht="15" customHeight="1">
      <c r="A58" s="1"/>
      <c r="B58" s="1"/>
      <c r="C58" s="1">
        <v>4</v>
      </c>
      <c r="D58" s="1" t="s">
        <v>94</v>
      </c>
      <c r="E58" s="1">
        <v>57.470000000000006</v>
      </c>
      <c r="F58" s="1"/>
      <c r="G58" s="1"/>
      <c r="H58" s="1">
        <v>4.6500000000000004</v>
      </c>
      <c r="I58" s="1"/>
      <c r="J58" s="1"/>
      <c r="K58" s="1">
        <v>1.3</v>
      </c>
      <c r="L58" s="1"/>
      <c r="N58" s="1" t="s">
        <v>85</v>
      </c>
      <c r="O58" s="57" t="s">
        <v>89</v>
      </c>
      <c r="P58" s="1" t="s">
        <v>94</v>
      </c>
      <c r="Q58" s="6">
        <v>63.42</v>
      </c>
    </row>
    <row r="59" spans="1:17" ht="15" customHeight="1">
      <c r="A59" s="1"/>
      <c r="B59" s="1"/>
      <c r="C59" s="1">
        <v>4</v>
      </c>
      <c r="D59" s="1" t="s">
        <v>95</v>
      </c>
      <c r="E59" s="1">
        <v>68.11999999999999</v>
      </c>
      <c r="F59" s="1"/>
      <c r="G59" s="1"/>
      <c r="H59" s="1">
        <v>7.99</v>
      </c>
      <c r="I59" s="1"/>
      <c r="J59" s="1"/>
      <c r="K59" s="1">
        <v>3.2</v>
      </c>
      <c r="L59" s="1"/>
      <c r="N59" s="1" t="s">
        <v>85</v>
      </c>
      <c r="O59" s="57" t="s">
        <v>89</v>
      </c>
      <c r="P59" s="1" t="s">
        <v>95</v>
      </c>
      <c r="Q59" s="6">
        <v>79.309999999999988</v>
      </c>
    </row>
    <row r="60" spans="1:17" ht="15" customHeight="1">
      <c r="A60" s="1"/>
      <c r="B60" s="1"/>
      <c r="C60" s="1">
        <v>4</v>
      </c>
      <c r="D60" s="1" t="s">
        <v>96</v>
      </c>
      <c r="E60" s="1">
        <v>45.36</v>
      </c>
      <c r="F60" s="1"/>
      <c r="G60" s="1"/>
      <c r="H60" s="1">
        <v>8.67</v>
      </c>
      <c r="I60" s="1"/>
      <c r="J60" s="1"/>
      <c r="K60" s="8">
        <f>AVERAGE(K61:K62,K58:K59)</f>
        <v>3.125</v>
      </c>
      <c r="L60" s="1"/>
      <c r="N60" s="1" t="s">
        <v>85</v>
      </c>
      <c r="O60" s="57" t="s">
        <v>89</v>
      </c>
      <c r="P60" s="1" t="s">
        <v>96</v>
      </c>
      <c r="Q60" s="6">
        <v>57.155000000000001</v>
      </c>
    </row>
    <row r="61" spans="1:17" ht="15" customHeight="1">
      <c r="A61" s="1"/>
      <c r="B61" s="1"/>
      <c r="C61" s="1">
        <v>4</v>
      </c>
      <c r="D61" s="1" t="s">
        <v>39</v>
      </c>
      <c r="E61" s="1">
        <v>66.039999999999992</v>
      </c>
      <c r="F61" s="1"/>
      <c r="G61" s="1"/>
      <c r="H61" s="1">
        <v>4.8499999999999996</v>
      </c>
      <c r="I61" s="1"/>
      <c r="J61" s="1"/>
      <c r="K61" s="1">
        <v>4.0999999999999996</v>
      </c>
      <c r="L61" s="1"/>
      <c r="N61" s="1" t="s">
        <v>85</v>
      </c>
      <c r="O61" s="57" t="s">
        <v>89</v>
      </c>
      <c r="P61" s="1" t="s">
        <v>39</v>
      </c>
      <c r="Q61" s="6">
        <v>74.989999999999981</v>
      </c>
    </row>
    <row r="62" spans="1:17" ht="15" customHeight="1">
      <c r="A62" s="1"/>
      <c r="B62" s="1"/>
      <c r="C62" s="1">
        <v>4</v>
      </c>
      <c r="D62" s="1" t="s">
        <v>97</v>
      </c>
      <c r="E62" s="1">
        <v>62.169999999999995</v>
      </c>
      <c r="F62" s="1">
        <f>AVERAGE(E58:E62)</f>
        <v>59.831999999999994</v>
      </c>
      <c r="G62" s="1"/>
      <c r="H62" s="1">
        <v>4.8600000000000003</v>
      </c>
      <c r="I62" s="1">
        <f>AVERAGE(H58:H62)</f>
        <v>6.2040000000000006</v>
      </c>
      <c r="J62" s="1"/>
      <c r="K62" s="1">
        <v>3.9</v>
      </c>
      <c r="L62" s="1">
        <f>AVERAGE(K58:K62)</f>
        <v>3.125</v>
      </c>
      <c r="N62" s="1" t="s">
        <v>85</v>
      </c>
      <c r="O62" s="57" t="s">
        <v>89</v>
      </c>
      <c r="P62" s="1" t="s">
        <v>97</v>
      </c>
      <c r="Q62" s="6">
        <v>70.930000000000007</v>
      </c>
    </row>
    <row r="63" spans="1:17" ht="15" customHeight="1">
      <c r="A63" s="1" t="s">
        <v>37</v>
      </c>
      <c r="B63" s="1" t="s">
        <v>98</v>
      </c>
      <c r="C63" s="1">
        <v>1</v>
      </c>
      <c r="D63" s="1" t="s">
        <v>94</v>
      </c>
      <c r="E63" s="1">
        <v>65.75</v>
      </c>
      <c r="F63" s="1"/>
      <c r="G63" s="1"/>
      <c r="H63" s="1">
        <v>7.56</v>
      </c>
      <c r="I63" s="1"/>
      <c r="J63" s="1"/>
      <c r="K63" s="1">
        <v>7.6</v>
      </c>
      <c r="L63" s="1"/>
      <c r="N63" s="1" t="s">
        <v>98</v>
      </c>
      <c r="O63" s="57" t="s">
        <v>87</v>
      </c>
      <c r="P63" s="1" t="s">
        <v>94</v>
      </c>
      <c r="Q63" s="6">
        <v>80.91</v>
      </c>
    </row>
    <row r="64" spans="1:17" ht="15" customHeight="1">
      <c r="A64" s="1"/>
      <c r="B64" s="1"/>
      <c r="C64" s="1">
        <v>1</v>
      </c>
      <c r="D64" s="1" t="s">
        <v>95</v>
      </c>
      <c r="E64" s="1">
        <v>82.5</v>
      </c>
      <c r="F64" s="1"/>
      <c r="G64" s="1"/>
      <c r="H64" s="1">
        <v>5.88</v>
      </c>
      <c r="I64" s="1"/>
      <c r="J64" s="1"/>
      <c r="K64" s="1">
        <v>10.4</v>
      </c>
      <c r="L64" s="1"/>
      <c r="N64" s="1" t="s">
        <v>98</v>
      </c>
      <c r="O64" s="57" t="s">
        <v>87</v>
      </c>
      <c r="P64" s="1" t="s">
        <v>95</v>
      </c>
      <c r="Q64" s="6">
        <v>98.78</v>
      </c>
    </row>
    <row r="65" spans="1:17" ht="15" customHeight="1">
      <c r="A65" s="1" t="s">
        <v>171</v>
      </c>
      <c r="B65" s="1"/>
      <c r="C65" s="1">
        <v>1</v>
      </c>
      <c r="D65" s="1" t="s">
        <v>96</v>
      </c>
      <c r="E65" s="1">
        <v>68.72</v>
      </c>
      <c r="F65" s="1"/>
      <c r="G65" s="1"/>
      <c r="H65" s="1">
        <v>7.05</v>
      </c>
      <c r="I65" s="1"/>
      <c r="J65" s="1"/>
      <c r="K65" s="1">
        <v>6.1</v>
      </c>
      <c r="L65" s="1"/>
      <c r="N65" s="1" t="s">
        <v>98</v>
      </c>
      <c r="O65" s="57" t="s">
        <v>87</v>
      </c>
      <c r="P65" s="1" t="s">
        <v>96</v>
      </c>
      <c r="Q65" s="6">
        <v>81.86999999999999</v>
      </c>
    </row>
    <row r="66" spans="1:17" ht="15" customHeight="1">
      <c r="A66" s="1"/>
      <c r="B66" s="1"/>
      <c r="C66" s="1">
        <v>1</v>
      </c>
      <c r="D66" s="1" t="s">
        <v>39</v>
      </c>
      <c r="E66" s="1">
        <v>69.809999999999988</v>
      </c>
      <c r="F66" s="1"/>
      <c r="G66" s="1"/>
      <c r="H66" s="1">
        <v>7.52</v>
      </c>
      <c r="I66" s="1"/>
      <c r="J66" s="1"/>
      <c r="K66" s="1">
        <v>3.2</v>
      </c>
      <c r="L66" s="1"/>
      <c r="N66" s="1" t="s">
        <v>98</v>
      </c>
      <c r="O66" s="57" t="s">
        <v>87</v>
      </c>
      <c r="P66" s="1" t="s">
        <v>39</v>
      </c>
      <c r="Q66" s="6">
        <v>80.529999999999987</v>
      </c>
    </row>
    <row r="67" spans="1:17" ht="15" customHeight="1">
      <c r="A67" s="1"/>
      <c r="B67" s="1"/>
      <c r="C67" s="1">
        <v>1</v>
      </c>
      <c r="D67" s="1" t="s">
        <v>97</v>
      </c>
      <c r="E67" s="1">
        <v>76.19</v>
      </c>
      <c r="F67" s="1">
        <f>AVERAGE(E63:E67)</f>
        <v>72.593999999999994</v>
      </c>
      <c r="G67" s="1"/>
      <c r="H67" s="1">
        <v>5.69</v>
      </c>
      <c r="I67" s="1">
        <f>AVERAGE(H63:H67)</f>
        <v>6.7399999999999993</v>
      </c>
      <c r="J67" s="1"/>
      <c r="K67" s="1">
        <v>6.6</v>
      </c>
      <c r="L67" s="1">
        <f>AVERAGE(K63:K67)</f>
        <v>6.7799999999999994</v>
      </c>
      <c r="N67" s="1" t="s">
        <v>98</v>
      </c>
      <c r="O67" s="57" t="s">
        <v>87</v>
      </c>
      <c r="P67" s="1" t="s">
        <v>97</v>
      </c>
      <c r="Q67" s="6">
        <v>88.47999999999999</v>
      </c>
    </row>
    <row r="68" spans="1:17" ht="15" customHeight="1">
      <c r="A68" s="1"/>
      <c r="B68" s="1"/>
      <c r="C68" s="1">
        <v>2</v>
      </c>
      <c r="D68" s="1" t="s">
        <v>94</v>
      </c>
      <c r="E68" s="1">
        <v>65.05</v>
      </c>
      <c r="F68" s="1"/>
      <c r="G68" s="1"/>
      <c r="H68" s="1">
        <v>5.59</v>
      </c>
      <c r="I68" s="1"/>
      <c r="J68" s="1"/>
      <c r="K68" s="1">
        <v>7.7</v>
      </c>
      <c r="L68" s="1"/>
      <c r="N68" s="1" t="s">
        <v>98</v>
      </c>
      <c r="O68" s="57" t="s">
        <v>149</v>
      </c>
      <c r="P68" s="1" t="s">
        <v>94</v>
      </c>
      <c r="Q68" s="6">
        <v>78.34</v>
      </c>
    </row>
    <row r="69" spans="1:17" ht="15" customHeight="1">
      <c r="A69" s="1"/>
      <c r="B69" s="1"/>
      <c r="C69" s="1">
        <v>2</v>
      </c>
      <c r="D69" s="1" t="s">
        <v>95</v>
      </c>
      <c r="E69" s="1">
        <v>59.830000000000005</v>
      </c>
      <c r="F69" s="1"/>
      <c r="G69" s="1"/>
      <c r="H69" s="1">
        <v>7.29</v>
      </c>
      <c r="I69" s="1"/>
      <c r="J69" s="1"/>
      <c r="K69" s="1">
        <v>3.7</v>
      </c>
      <c r="L69" s="1"/>
      <c r="N69" s="1" t="s">
        <v>98</v>
      </c>
      <c r="O69" s="57" t="s">
        <v>149</v>
      </c>
      <c r="P69" s="1" t="s">
        <v>95</v>
      </c>
      <c r="Q69" s="6">
        <v>70.820000000000007</v>
      </c>
    </row>
    <row r="70" spans="1:17" ht="15" customHeight="1">
      <c r="A70" s="1"/>
      <c r="B70" s="1"/>
      <c r="C70" s="1">
        <v>2</v>
      </c>
      <c r="D70" s="1" t="s">
        <v>96</v>
      </c>
      <c r="E70" s="1">
        <v>65.959999999999994</v>
      </c>
      <c r="F70" s="1"/>
      <c r="G70" s="1"/>
      <c r="H70" s="1">
        <v>4.1900000000000004</v>
      </c>
      <c r="I70" s="1"/>
      <c r="J70" s="1"/>
      <c r="K70" s="1">
        <v>4.5</v>
      </c>
      <c r="L70" s="1"/>
      <c r="N70" s="1" t="s">
        <v>98</v>
      </c>
      <c r="O70" s="57" t="s">
        <v>149</v>
      </c>
      <c r="P70" s="1" t="s">
        <v>96</v>
      </c>
      <c r="Q70" s="6">
        <v>74.649999999999991</v>
      </c>
    </row>
    <row r="71" spans="1:17" ht="15" customHeight="1">
      <c r="A71" s="1"/>
      <c r="B71" s="1"/>
      <c r="C71" s="1">
        <v>2</v>
      </c>
      <c r="D71" s="1" t="s">
        <v>39</v>
      </c>
      <c r="E71" s="1">
        <v>65.039999999999992</v>
      </c>
      <c r="F71" s="1"/>
      <c r="G71" s="1"/>
      <c r="H71" s="1">
        <v>7.61</v>
      </c>
      <c r="I71" s="1"/>
      <c r="J71" s="1"/>
      <c r="K71" s="1">
        <v>3.8</v>
      </c>
      <c r="L71" s="1"/>
      <c r="N71" s="1" t="s">
        <v>98</v>
      </c>
      <c r="O71" s="57" t="s">
        <v>149</v>
      </c>
      <c r="P71" s="1" t="s">
        <v>39</v>
      </c>
      <c r="Q71" s="6">
        <v>76.449999999999989</v>
      </c>
    </row>
    <row r="72" spans="1:17" ht="15" customHeight="1">
      <c r="A72" s="1"/>
      <c r="B72" s="1"/>
      <c r="C72" s="1">
        <v>2</v>
      </c>
      <c r="D72" s="1" t="s">
        <v>97</v>
      </c>
      <c r="E72" s="1">
        <v>85.929999999999993</v>
      </c>
      <c r="F72" s="1">
        <f>AVERAGE(E68:E72)</f>
        <v>68.361999999999995</v>
      </c>
      <c r="G72" s="1"/>
      <c r="H72" s="1">
        <v>10.99</v>
      </c>
      <c r="I72" s="1">
        <f>AVERAGE(H68:H72)</f>
        <v>7.1340000000000003</v>
      </c>
      <c r="J72" s="1"/>
      <c r="K72" s="1">
        <v>4.2</v>
      </c>
      <c r="L72" s="1">
        <f>AVERAGE(K68:K72)</f>
        <v>4.7799999999999994</v>
      </c>
      <c r="N72" s="1" t="s">
        <v>98</v>
      </c>
      <c r="O72" s="57" t="s">
        <v>149</v>
      </c>
      <c r="P72" s="1" t="s">
        <v>97</v>
      </c>
      <c r="Q72" s="6">
        <v>101.11999999999999</v>
      </c>
    </row>
    <row r="73" spans="1:17" ht="15" customHeight="1">
      <c r="A73" s="1"/>
      <c r="B73" s="1"/>
      <c r="C73" s="1">
        <v>3</v>
      </c>
      <c r="D73" s="1" t="s">
        <v>94</v>
      </c>
      <c r="E73" s="1">
        <v>69.89</v>
      </c>
      <c r="F73" s="1"/>
      <c r="G73" s="1"/>
      <c r="H73" s="1">
        <v>5.69</v>
      </c>
      <c r="I73" s="1"/>
      <c r="J73" s="1"/>
      <c r="K73" s="1">
        <v>1.5</v>
      </c>
      <c r="L73" s="1"/>
      <c r="N73" s="1" t="s">
        <v>98</v>
      </c>
      <c r="O73" s="57" t="s">
        <v>90</v>
      </c>
      <c r="P73" s="1" t="s">
        <v>94</v>
      </c>
      <c r="Q73" s="6">
        <v>77.08</v>
      </c>
    </row>
    <row r="74" spans="1:17" ht="15" customHeight="1">
      <c r="A74" s="1"/>
      <c r="B74" s="1"/>
      <c r="C74" s="1">
        <v>3</v>
      </c>
      <c r="D74" s="1" t="s">
        <v>95</v>
      </c>
      <c r="E74" s="1">
        <v>58.35</v>
      </c>
      <c r="F74" s="1"/>
      <c r="G74" s="1"/>
      <c r="H74" s="1">
        <v>10.11</v>
      </c>
      <c r="I74" s="1"/>
      <c r="J74" s="1"/>
      <c r="K74" s="1">
        <v>3.4</v>
      </c>
      <c r="L74" s="1"/>
      <c r="N74" s="1" t="s">
        <v>98</v>
      </c>
      <c r="O74" s="57" t="s">
        <v>90</v>
      </c>
      <c r="P74" s="1" t="s">
        <v>95</v>
      </c>
      <c r="Q74" s="6">
        <v>71.860000000000014</v>
      </c>
    </row>
    <row r="75" spans="1:17" ht="15" customHeight="1">
      <c r="A75" s="1"/>
      <c r="B75" s="1"/>
      <c r="C75" s="1">
        <v>3</v>
      </c>
      <c r="D75" s="1" t="s">
        <v>96</v>
      </c>
      <c r="E75" s="1">
        <v>76.569999999999993</v>
      </c>
      <c r="F75" s="1"/>
      <c r="G75" s="1"/>
      <c r="H75" s="1">
        <v>8.23</v>
      </c>
      <c r="I75" s="1"/>
      <c r="J75" s="1"/>
      <c r="K75" s="1">
        <v>4.0999999999999996</v>
      </c>
      <c r="L75" s="1"/>
      <c r="N75" s="1" t="s">
        <v>98</v>
      </c>
      <c r="O75" s="57" t="s">
        <v>90</v>
      </c>
      <c r="P75" s="1" t="s">
        <v>96</v>
      </c>
      <c r="Q75" s="6">
        <v>88.899999999999991</v>
      </c>
    </row>
    <row r="76" spans="1:17" ht="15" customHeight="1">
      <c r="A76" s="1"/>
      <c r="B76" s="1"/>
      <c r="C76" s="1">
        <v>3</v>
      </c>
      <c r="D76" s="1" t="s">
        <v>39</v>
      </c>
      <c r="E76" s="1">
        <v>84.97999999999999</v>
      </c>
      <c r="F76" s="1"/>
      <c r="G76" s="1"/>
      <c r="H76" s="1">
        <v>8.19</v>
      </c>
      <c r="I76" s="1"/>
      <c r="J76" s="1"/>
      <c r="K76" s="1">
        <v>4.2</v>
      </c>
      <c r="L76" s="1"/>
      <c r="N76" s="1" t="s">
        <v>98</v>
      </c>
      <c r="O76" s="57" t="s">
        <v>90</v>
      </c>
      <c r="P76" s="1" t="s">
        <v>39</v>
      </c>
      <c r="Q76" s="6">
        <v>97.36999999999999</v>
      </c>
    </row>
    <row r="77" spans="1:17" ht="15" customHeight="1">
      <c r="A77" s="1"/>
      <c r="B77" s="1"/>
      <c r="C77" s="1">
        <v>3</v>
      </c>
      <c r="D77" s="1" t="s">
        <v>97</v>
      </c>
      <c r="E77" s="1">
        <v>74.679999999999993</v>
      </c>
      <c r="F77" s="1">
        <f>AVERAGE(E73:E77)</f>
        <v>72.893999999999991</v>
      </c>
      <c r="G77" s="1"/>
      <c r="H77" s="1">
        <v>8.18</v>
      </c>
      <c r="I77" s="1">
        <f>AVERAGE(H73:H77)</f>
        <v>8.08</v>
      </c>
      <c r="J77" s="1"/>
      <c r="K77" s="1">
        <v>2.5</v>
      </c>
      <c r="L77" s="1">
        <f>AVERAGE(K73:K77)</f>
        <v>3.1399999999999997</v>
      </c>
      <c r="N77" s="1" t="s">
        <v>98</v>
      </c>
      <c r="O77" s="57" t="s">
        <v>90</v>
      </c>
      <c r="P77" s="1" t="s">
        <v>97</v>
      </c>
      <c r="Q77" s="6">
        <v>85.359999999999985</v>
      </c>
    </row>
    <row r="78" spans="1:17" ht="15" customHeight="1">
      <c r="A78" s="1"/>
      <c r="B78" s="1"/>
      <c r="C78" s="1">
        <v>4</v>
      </c>
      <c r="D78" s="1" t="s">
        <v>94</v>
      </c>
      <c r="E78" s="1">
        <v>61.530000000000008</v>
      </c>
      <c r="F78" s="1"/>
      <c r="G78" s="1"/>
      <c r="H78" s="1">
        <v>3.78</v>
      </c>
      <c r="I78" s="1"/>
      <c r="J78" s="1"/>
      <c r="K78" s="1">
        <v>3</v>
      </c>
      <c r="L78" s="1"/>
      <c r="N78" s="1" t="s">
        <v>98</v>
      </c>
      <c r="O78" s="57" t="s">
        <v>89</v>
      </c>
      <c r="P78" s="1" t="s">
        <v>94</v>
      </c>
      <c r="Q78" s="6">
        <v>68.31</v>
      </c>
    </row>
    <row r="79" spans="1:17" ht="15" customHeight="1">
      <c r="A79" s="1"/>
      <c r="B79" s="1"/>
      <c r="C79" s="1">
        <v>4</v>
      </c>
      <c r="D79" s="1" t="s">
        <v>95</v>
      </c>
      <c r="E79" s="1">
        <v>71.429999999999993</v>
      </c>
      <c r="F79" s="1"/>
      <c r="G79" s="1"/>
      <c r="H79" s="1">
        <v>8.2100000000000009</v>
      </c>
      <c r="I79" s="1"/>
      <c r="J79" s="1"/>
      <c r="K79" s="1">
        <v>2.2000000000000002</v>
      </c>
      <c r="L79" s="1"/>
      <c r="N79" s="1" t="s">
        <v>98</v>
      </c>
      <c r="O79" s="57" t="s">
        <v>89</v>
      </c>
      <c r="P79" s="1" t="s">
        <v>95</v>
      </c>
      <c r="Q79" s="6">
        <v>81.839999999999989</v>
      </c>
    </row>
    <row r="80" spans="1:17" ht="15" customHeight="1">
      <c r="A80" s="1"/>
      <c r="B80" s="1"/>
      <c r="C80" s="1">
        <v>4</v>
      </c>
      <c r="D80" s="1" t="s">
        <v>96</v>
      </c>
      <c r="E80" s="1">
        <v>92.03</v>
      </c>
      <c r="F80" s="1"/>
      <c r="G80" s="1"/>
      <c r="H80" s="1">
        <v>4.99</v>
      </c>
      <c r="I80" s="1"/>
      <c r="J80" s="1"/>
      <c r="K80" s="1">
        <v>3.7</v>
      </c>
      <c r="L80" s="1"/>
      <c r="N80" s="1" t="s">
        <v>98</v>
      </c>
      <c r="O80" s="57" t="s">
        <v>89</v>
      </c>
      <c r="P80" s="1" t="s">
        <v>96</v>
      </c>
      <c r="Q80" s="6">
        <v>100.72</v>
      </c>
    </row>
    <row r="81" spans="1:17" ht="15" customHeight="1">
      <c r="A81" s="1"/>
      <c r="B81" s="1"/>
      <c r="C81" s="1">
        <v>4</v>
      </c>
      <c r="D81" s="1" t="s">
        <v>39</v>
      </c>
      <c r="E81" s="1">
        <v>60.87</v>
      </c>
      <c r="F81" s="1"/>
      <c r="G81" s="1"/>
      <c r="H81" s="1">
        <v>5.21</v>
      </c>
      <c r="I81" s="1"/>
      <c r="J81" s="1"/>
      <c r="K81" s="1">
        <v>2</v>
      </c>
      <c r="L81" s="1"/>
      <c r="N81" s="1" t="s">
        <v>98</v>
      </c>
      <c r="O81" s="57" t="s">
        <v>89</v>
      </c>
      <c r="P81" s="1" t="s">
        <v>39</v>
      </c>
      <c r="Q81" s="6">
        <v>68.08</v>
      </c>
    </row>
    <row r="82" spans="1:17" ht="15" customHeight="1">
      <c r="A82" s="1"/>
      <c r="B82" s="1"/>
      <c r="C82" s="1">
        <v>4</v>
      </c>
      <c r="D82" s="1" t="s">
        <v>97</v>
      </c>
      <c r="E82" s="1">
        <v>95.679999999999993</v>
      </c>
      <c r="F82" s="1">
        <f>AVERAGE(E78:E82)</f>
        <v>76.308000000000007</v>
      </c>
      <c r="G82" s="1"/>
      <c r="H82" s="1">
        <v>11.96</v>
      </c>
      <c r="I82" s="1">
        <f>AVERAGE(H78:H82)</f>
        <v>6.830000000000001</v>
      </c>
      <c r="J82" s="1"/>
      <c r="K82" s="1">
        <v>8.4</v>
      </c>
      <c r="L82" s="1">
        <f>AVERAGE(K78:K82)</f>
        <v>3.8600000000000003</v>
      </c>
      <c r="N82" s="1" t="s">
        <v>98</v>
      </c>
      <c r="O82" s="57" t="s">
        <v>89</v>
      </c>
      <c r="P82" s="1" t="s">
        <v>97</v>
      </c>
      <c r="Q82" s="6">
        <v>116.03999999999999</v>
      </c>
    </row>
    <row r="83" spans="1:17" ht="15" customHeight="1">
      <c r="A83" s="1" t="s">
        <v>37</v>
      </c>
      <c r="B83" s="1" t="s">
        <v>99</v>
      </c>
      <c r="C83" s="1">
        <v>1</v>
      </c>
      <c r="D83" s="1" t="s">
        <v>94</v>
      </c>
      <c r="E83" s="1">
        <v>72.059999999999988</v>
      </c>
      <c r="F83" s="1"/>
      <c r="G83" s="1"/>
      <c r="H83" s="1">
        <v>9.73</v>
      </c>
      <c r="I83" s="1"/>
      <c r="J83" s="1"/>
      <c r="K83" s="1">
        <v>3.1</v>
      </c>
      <c r="L83" s="1"/>
      <c r="N83" s="1" t="s">
        <v>99</v>
      </c>
      <c r="O83" s="57" t="s">
        <v>90</v>
      </c>
      <c r="P83" s="1" t="s">
        <v>94</v>
      </c>
      <c r="Q83" s="6">
        <v>84.889999999999986</v>
      </c>
    </row>
    <row r="84" spans="1:17" ht="15" customHeight="1">
      <c r="A84" s="1"/>
      <c r="B84" s="1"/>
      <c r="C84" s="1">
        <v>1</v>
      </c>
      <c r="D84" s="1" t="s">
        <v>95</v>
      </c>
      <c r="E84" s="1">
        <v>57.440000000000005</v>
      </c>
      <c r="F84" s="1"/>
      <c r="G84" s="1"/>
      <c r="H84" s="1">
        <v>11.08</v>
      </c>
      <c r="I84" s="1"/>
      <c r="J84" s="1"/>
      <c r="K84" s="1">
        <v>5.6999999999999993</v>
      </c>
      <c r="L84" s="1"/>
      <c r="N84" s="1" t="s">
        <v>99</v>
      </c>
      <c r="O84" s="57" t="s">
        <v>90</v>
      </c>
      <c r="P84" s="1" t="s">
        <v>95</v>
      </c>
      <c r="Q84" s="6">
        <v>74.220000000000013</v>
      </c>
    </row>
    <row r="85" spans="1:17" ht="15" customHeight="1">
      <c r="A85" s="1" t="s">
        <v>173</v>
      </c>
      <c r="B85" s="1"/>
      <c r="C85" s="1">
        <v>1</v>
      </c>
      <c r="D85" s="1" t="s">
        <v>96</v>
      </c>
      <c r="E85" s="1">
        <v>52.24</v>
      </c>
      <c r="F85" s="1"/>
      <c r="G85" s="1"/>
      <c r="H85" s="1">
        <v>9.9</v>
      </c>
      <c r="I85" s="1"/>
      <c r="J85" s="1"/>
      <c r="K85" s="8">
        <f>AVERAGE(K86:K87,K83:K84)</f>
        <v>4.75</v>
      </c>
      <c r="L85" s="1"/>
      <c r="N85" s="1" t="s">
        <v>99</v>
      </c>
      <c r="O85" s="57" t="s">
        <v>90</v>
      </c>
      <c r="P85" s="1" t="s">
        <v>96</v>
      </c>
      <c r="Q85" s="6">
        <v>66.89</v>
      </c>
    </row>
    <row r="86" spans="1:17" ht="15" customHeight="1">
      <c r="A86" s="1"/>
      <c r="B86" s="1"/>
      <c r="C86" s="1">
        <v>1</v>
      </c>
      <c r="D86" s="1" t="s">
        <v>39</v>
      </c>
      <c r="E86" s="1">
        <v>57.339999999999996</v>
      </c>
      <c r="F86" s="1"/>
      <c r="G86" s="1"/>
      <c r="H86" s="1">
        <v>13.32</v>
      </c>
      <c r="I86" s="1"/>
      <c r="J86" s="1"/>
      <c r="K86" s="1">
        <v>2.2999999999999998</v>
      </c>
      <c r="L86" s="1"/>
      <c r="N86" s="1" t="s">
        <v>99</v>
      </c>
      <c r="O86" s="57" t="s">
        <v>90</v>
      </c>
      <c r="P86" s="1" t="s">
        <v>39</v>
      </c>
      <c r="Q86" s="6">
        <v>72.959999999999994</v>
      </c>
    </row>
    <row r="87" spans="1:17" ht="15" customHeight="1">
      <c r="A87" s="1"/>
      <c r="B87" s="1"/>
      <c r="C87" s="1">
        <v>1</v>
      </c>
      <c r="D87" s="1" t="s">
        <v>97</v>
      </c>
      <c r="E87" s="1">
        <v>62.800000000000004</v>
      </c>
      <c r="F87" s="1">
        <f>AVERAGE(E83:E87)</f>
        <v>60.375999999999998</v>
      </c>
      <c r="G87" s="1"/>
      <c r="H87" s="1">
        <v>8.57</v>
      </c>
      <c r="I87" s="1">
        <f>AVERAGE(H83:H87)</f>
        <v>10.52</v>
      </c>
      <c r="J87" s="1"/>
      <c r="K87" s="1">
        <v>7.9</v>
      </c>
      <c r="L87" s="1">
        <f>AVERAGE(K83:K87)</f>
        <v>4.75</v>
      </c>
      <c r="N87" s="1" t="s">
        <v>99</v>
      </c>
      <c r="O87" s="57" t="s">
        <v>90</v>
      </c>
      <c r="P87" s="1" t="s">
        <v>97</v>
      </c>
      <c r="Q87" s="6">
        <v>79.27000000000001</v>
      </c>
    </row>
    <row r="88" spans="1:17" ht="15" customHeight="1">
      <c r="A88" s="1"/>
      <c r="B88" s="1"/>
      <c r="C88" s="1">
        <v>2</v>
      </c>
      <c r="D88" s="1" t="s">
        <v>94</v>
      </c>
      <c r="E88" s="1">
        <v>45.92</v>
      </c>
      <c r="F88" s="1"/>
      <c r="G88" s="1"/>
      <c r="H88" s="1">
        <v>17.079999999999998</v>
      </c>
      <c r="I88" s="1"/>
      <c r="J88" s="1"/>
      <c r="K88" s="1">
        <v>4.0999999999999996</v>
      </c>
      <c r="L88" s="1"/>
      <c r="N88" s="1" t="s">
        <v>99</v>
      </c>
      <c r="O88" s="57" t="s">
        <v>87</v>
      </c>
      <c r="P88" s="1" t="s">
        <v>94</v>
      </c>
      <c r="Q88" s="6">
        <v>67.099999999999994</v>
      </c>
    </row>
    <row r="89" spans="1:17" ht="15" customHeight="1">
      <c r="A89" s="1"/>
      <c r="B89" s="1"/>
      <c r="C89" s="1">
        <v>2</v>
      </c>
      <c r="D89" s="1" t="s">
        <v>95</v>
      </c>
      <c r="E89" s="1">
        <v>78.929999999999993</v>
      </c>
      <c r="F89" s="1"/>
      <c r="G89" s="1"/>
      <c r="H89" s="1">
        <v>8.91</v>
      </c>
      <c r="I89" s="1"/>
      <c r="J89" s="1"/>
      <c r="K89" s="1">
        <v>2.6</v>
      </c>
      <c r="L89" s="1"/>
      <c r="N89" s="1" t="s">
        <v>99</v>
      </c>
      <c r="O89" s="57" t="s">
        <v>87</v>
      </c>
      <c r="P89" s="1" t="s">
        <v>95</v>
      </c>
      <c r="Q89" s="6">
        <v>90.439999999999984</v>
      </c>
    </row>
    <row r="90" spans="1:17" ht="15" customHeight="1">
      <c r="A90" s="1"/>
      <c r="B90" s="1"/>
      <c r="C90" s="1">
        <v>2</v>
      </c>
      <c r="D90" s="1" t="s">
        <v>96</v>
      </c>
      <c r="E90" s="1">
        <v>63.37</v>
      </c>
      <c r="F90" s="1"/>
      <c r="G90" s="1"/>
      <c r="H90" s="1">
        <v>12.1</v>
      </c>
      <c r="I90" s="1"/>
      <c r="J90" s="1"/>
      <c r="K90" s="1">
        <v>2.9</v>
      </c>
      <c r="L90" s="1"/>
      <c r="N90" s="1" t="s">
        <v>99</v>
      </c>
      <c r="O90" s="57" t="s">
        <v>87</v>
      </c>
      <c r="P90" s="1" t="s">
        <v>96</v>
      </c>
      <c r="Q90" s="6">
        <v>78.37</v>
      </c>
    </row>
    <row r="91" spans="1:17" ht="15" customHeight="1">
      <c r="A91" s="1"/>
      <c r="B91" s="1"/>
      <c r="C91" s="1">
        <v>2</v>
      </c>
      <c r="D91" s="1" t="s">
        <v>39</v>
      </c>
      <c r="E91" s="1">
        <v>60.690000000000005</v>
      </c>
      <c r="F91" s="1"/>
      <c r="G91" s="1"/>
      <c r="H91" s="1">
        <v>21.07</v>
      </c>
      <c r="I91" s="1"/>
      <c r="J91" s="1"/>
      <c r="K91" s="1">
        <v>3.4</v>
      </c>
      <c r="L91" s="1"/>
      <c r="N91" s="1" t="s">
        <v>99</v>
      </c>
      <c r="O91" s="57" t="s">
        <v>87</v>
      </c>
      <c r="P91" s="1" t="s">
        <v>39</v>
      </c>
      <c r="Q91" s="6">
        <v>85.160000000000011</v>
      </c>
    </row>
    <row r="92" spans="1:17" ht="15" customHeight="1">
      <c r="A92" s="1"/>
      <c r="B92" s="1"/>
      <c r="C92" s="1">
        <v>2</v>
      </c>
      <c r="D92" s="1" t="s">
        <v>97</v>
      </c>
      <c r="E92" s="1">
        <v>50.01</v>
      </c>
      <c r="F92" s="1">
        <f>AVERAGE(E88:E92)</f>
        <v>59.784000000000006</v>
      </c>
      <c r="G92" s="1"/>
      <c r="H92" s="1">
        <v>12.15</v>
      </c>
      <c r="I92" s="1">
        <f>AVERAGE(H88:H92)</f>
        <v>14.262</v>
      </c>
      <c r="J92" s="1"/>
      <c r="K92" s="1">
        <v>3.8</v>
      </c>
      <c r="L92" s="1">
        <f>AVERAGE(K88:K92)</f>
        <v>3.3600000000000003</v>
      </c>
      <c r="N92" s="1" t="s">
        <v>99</v>
      </c>
      <c r="O92" s="57" t="s">
        <v>87</v>
      </c>
      <c r="P92" s="1" t="s">
        <v>97</v>
      </c>
      <c r="Q92" s="6">
        <v>65.959999999999994</v>
      </c>
    </row>
    <row r="93" spans="1:17" ht="15" customHeight="1">
      <c r="A93" s="1"/>
      <c r="B93" s="1"/>
      <c r="C93" s="1">
        <v>3</v>
      </c>
      <c r="D93" s="1" t="s">
        <v>94</v>
      </c>
      <c r="E93" s="1">
        <v>50.7</v>
      </c>
      <c r="F93" s="1"/>
      <c r="G93" s="1"/>
      <c r="H93" s="1">
        <v>14.04</v>
      </c>
      <c r="I93" s="1"/>
      <c r="J93" s="1"/>
      <c r="K93" s="1">
        <v>1.8</v>
      </c>
      <c r="L93" s="1"/>
      <c r="N93" s="1" t="s">
        <v>99</v>
      </c>
      <c r="O93" s="57" t="s">
        <v>89</v>
      </c>
      <c r="P93" s="1" t="s">
        <v>94</v>
      </c>
      <c r="Q93" s="6">
        <v>66.540000000000006</v>
      </c>
    </row>
    <row r="94" spans="1:17" ht="15" customHeight="1">
      <c r="A94" s="1"/>
      <c r="B94" s="1"/>
      <c r="C94" s="1">
        <v>3</v>
      </c>
      <c r="D94" s="1" t="s">
        <v>95</v>
      </c>
      <c r="E94" s="1">
        <v>57.449999999999996</v>
      </c>
      <c r="F94" s="1"/>
      <c r="G94" s="1"/>
      <c r="H94" s="1">
        <v>22.36</v>
      </c>
      <c r="I94" s="1"/>
      <c r="J94" s="1"/>
      <c r="K94" s="1">
        <v>1.7</v>
      </c>
      <c r="L94" s="1"/>
      <c r="N94" s="1" t="s">
        <v>99</v>
      </c>
      <c r="O94" s="57" t="s">
        <v>89</v>
      </c>
      <c r="P94" s="1" t="s">
        <v>95</v>
      </c>
      <c r="Q94" s="6">
        <v>81.510000000000005</v>
      </c>
    </row>
    <row r="95" spans="1:17" ht="15" customHeight="1">
      <c r="A95" s="1"/>
      <c r="B95" s="1"/>
      <c r="C95" s="1">
        <v>3</v>
      </c>
      <c r="D95" s="1" t="s">
        <v>96</v>
      </c>
      <c r="E95" s="1">
        <v>58.470000000000006</v>
      </c>
      <c r="F95" s="1"/>
      <c r="G95" s="1"/>
      <c r="H95" s="1">
        <v>10.95</v>
      </c>
      <c r="I95" s="1"/>
      <c r="J95" s="1"/>
      <c r="K95" s="1">
        <v>2.2000000000000002</v>
      </c>
      <c r="L95" s="1"/>
      <c r="N95" s="1" t="s">
        <v>99</v>
      </c>
      <c r="O95" s="57" t="s">
        <v>89</v>
      </c>
      <c r="P95" s="1" t="s">
        <v>96</v>
      </c>
      <c r="Q95" s="6">
        <v>71.62</v>
      </c>
    </row>
    <row r="96" spans="1:17" ht="15" customHeight="1">
      <c r="A96" s="1"/>
      <c r="B96" s="1"/>
      <c r="C96" s="1">
        <v>3</v>
      </c>
      <c r="D96" s="1" t="s">
        <v>39</v>
      </c>
      <c r="E96" s="1">
        <v>49.660000000000004</v>
      </c>
      <c r="F96" s="1"/>
      <c r="G96" s="1"/>
      <c r="H96" s="1">
        <v>9.51</v>
      </c>
      <c r="I96" s="1"/>
      <c r="J96" s="1"/>
      <c r="K96" s="1">
        <v>2</v>
      </c>
      <c r="L96" s="1"/>
      <c r="N96" s="1" t="s">
        <v>99</v>
      </c>
      <c r="O96" s="57" t="s">
        <v>89</v>
      </c>
      <c r="P96" s="1" t="s">
        <v>39</v>
      </c>
      <c r="Q96" s="6">
        <v>61.17</v>
      </c>
    </row>
    <row r="97" spans="1:17" ht="15" customHeight="1">
      <c r="A97" s="1"/>
      <c r="B97" s="1"/>
      <c r="C97" s="1">
        <v>3</v>
      </c>
      <c r="D97" s="1" t="s">
        <v>97</v>
      </c>
      <c r="E97" s="1">
        <v>49.15</v>
      </c>
      <c r="F97" s="1">
        <f>AVERAGE(E93:E97)</f>
        <v>53.085999999999999</v>
      </c>
      <c r="G97" s="1"/>
      <c r="H97" s="1">
        <v>21</v>
      </c>
      <c r="I97" s="1">
        <f>AVERAGE(H93:H97)</f>
        <v>15.571999999999997</v>
      </c>
      <c r="J97" s="1"/>
      <c r="K97" s="1">
        <v>2</v>
      </c>
      <c r="L97" s="1">
        <f>AVERAGE(K93:K97)</f>
        <v>1.94</v>
      </c>
      <c r="N97" s="1" t="s">
        <v>99</v>
      </c>
      <c r="O97" s="57" t="s">
        <v>89</v>
      </c>
      <c r="P97" s="1" t="s">
        <v>97</v>
      </c>
      <c r="Q97" s="6">
        <v>72.150000000000006</v>
      </c>
    </row>
    <row r="98" spans="1:17" ht="15" customHeight="1">
      <c r="A98" s="1"/>
      <c r="B98" s="1"/>
      <c r="C98" s="1">
        <v>4</v>
      </c>
      <c r="D98" s="1" t="s">
        <v>94</v>
      </c>
      <c r="E98" s="1">
        <v>94.03</v>
      </c>
      <c r="F98" s="1"/>
      <c r="G98" s="1"/>
      <c r="H98" s="8">
        <f>AVERAGE(H99:H102)</f>
        <v>10.615</v>
      </c>
      <c r="I98" s="1"/>
      <c r="J98" s="1"/>
      <c r="K98" s="1">
        <v>4.9000000000000004</v>
      </c>
      <c r="L98" s="1"/>
      <c r="N98" s="1" t="s">
        <v>99</v>
      </c>
      <c r="O98" s="57" t="s">
        <v>149</v>
      </c>
      <c r="P98" s="1" t="s">
        <v>94</v>
      </c>
      <c r="Q98" s="6">
        <v>109.545</v>
      </c>
    </row>
    <row r="99" spans="1:17" ht="15" customHeight="1">
      <c r="A99" s="1"/>
      <c r="B99" s="1"/>
      <c r="C99" s="1">
        <v>4</v>
      </c>
      <c r="D99" s="1" t="s">
        <v>95</v>
      </c>
      <c r="E99" s="1">
        <v>60.04</v>
      </c>
      <c r="F99" s="1"/>
      <c r="G99" s="1"/>
      <c r="H99" s="1">
        <v>19.990000000000002</v>
      </c>
      <c r="I99" s="1"/>
      <c r="J99" s="1"/>
      <c r="K99" s="1">
        <v>2.4</v>
      </c>
      <c r="L99" s="1"/>
      <c r="N99" s="1" t="s">
        <v>99</v>
      </c>
      <c r="O99" s="57" t="s">
        <v>149</v>
      </c>
      <c r="P99" s="1" t="s">
        <v>95</v>
      </c>
      <c r="Q99" s="6">
        <v>82.43</v>
      </c>
    </row>
    <row r="100" spans="1:17" ht="15" customHeight="1">
      <c r="A100" s="1"/>
      <c r="B100" s="1"/>
      <c r="C100" s="1">
        <v>4</v>
      </c>
      <c r="D100" s="1" t="s">
        <v>96</v>
      </c>
      <c r="E100" s="1">
        <v>70.64</v>
      </c>
      <c r="F100" s="1"/>
      <c r="G100" s="1"/>
      <c r="H100" s="1">
        <v>7.19</v>
      </c>
      <c r="I100" s="1"/>
      <c r="J100" s="1"/>
      <c r="K100" s="1">
        <v>1.7</v>
      </c>
      <c r="L100" s="1"/>
      <c r="N100" s="1" t="s">
        <v>99</v>
      </c>
      <c r="O100" s="57" t="s">
        <v>149</v>
      </c>
      <c r="P100" s="1" t="s">
        <v>96</v>
      </c>
      <c r="Q100" s="6">
        <v>79.53</v>
      </c>
    </row>
    <row r="101" spans="1:17" ht="15" customHeight="1">
      <c r="A101" s="1"/>
      <c r="B101" s="1"/>
      <c r="C101" s="1">
        <v>4</v>
      </c>
      <c r="D101" s="1" t="s">
        <v>39</v>
      </c>
      <c r="E101" s="1">
        <v>62.610000000000007</v>
      </c>
      <c r="F101" s="1"/>
      <c r="G101" s="1"/>
      <c r="H101" s="1">
        <v>6.64</v>
      </c>
      <c r="I101" s="1"/>
      <c r="J101" s="1"/>
      <c r="K101" s="1">
        <v>3.6</v>
      </c>
      <c r="L101" s="1"/>
      <c r="N101" s="1" t="s">
        <v>99</v>
      </c>
      <c r="O101" s="57" t="s">
        <v>149</v>
      </c>
      <c r="P101" s="1" t="s">
        <v>39</v>
      </c>
      <c r="Q101" s="6">
        <v>72.849999999999994</v>
      </c>
    </row>
    <row r="102" spans="1:17" ht="15" customHeight="1">
      <c r="A102" s="1"/>
      <c r="B102" s="1"/>
      <c r="C102" s="1">
        <v>4</v>
      </c>
      <c r="D102" s="1" t="s">
        <v>97</v>
      </c>
      <c r="E102" s="1">
        <v>44.81</v>
      </c>
      <c r="F102" s="1">
        <f>AVERAGE(E98:E102)</f>
        <v>66.426000000000002</v>
      </c>
      <c r="G102" s="1"/>
      <c r="H102" s="1">
        <v>8.64</v>
      </c>
      <c r="I102" s="1">
        <f>AVERAGE(H98:H102)</f>
        <v>10.615</v>
      </c>
      <c r="J102" s="1"/>
      <c r="K102" s="1">
        <v>2.5</v>
      </c>
      <c r="L102" s="1">
        <f>AVERAGE(K98:K102)</f>
        <v>3.02</v>
      </c>
      <c r="N102" s="1" t="s">
        <v>99</v>
      </c>
      <c r="O102" s="57" t="s">
        <v>149</v>
      </c>
      <c r="P102" s="1" t="s">
        <v>97</v>
      </c>
      <c r="Q102" s="6">
        <v>55.95</v>
      </c>
    </row>
    <row r="103" spans="1:17" ht="15" customHeight="1">
      <c r="A103" s="1" t="s">
        <v>37</v>
      </c>
      <c r="B103" s="1" t="s">
        <v>101</v>
      </c>
      <c r="C103" s="1">
        <v>1</v>
      </c>
      <c r="D103" s="1" t="s">
        <v>94</v>
      </c>
      <c r="E103" s="1">
        <v>55.419999999999995</v>
      </c>
      <c r="F103" s="1"/>
      <c r="G103" s="1"/>
      <c r="H103" s="1">
        <v>4.9400000000000004</v>
      </c>
      <c r="I103" s="1"/>
      <c r="J103" s="1"/>
      <c r="K103" s="1">
        <v>1.2</v>
      </c>
      <c r="L103" s="1"/>
      <c r="N103" s="1" t="s">
        <v>101</v>
      </c>
      <c r="O103" s="57" t="s">
        <v>89</v>
      </c>
      <c r="P103" s="1" t="s">
        <v>94</v>
      </c>
      <c r="Q103" s="6">
        <v>61.559999999999995</v>
      </c>
    </row>
    <row r="104" spans="1:17" ht="15" customHeight="1">
      <c r="A104" s="1"/>
      <c r="B104" s="1"/>
      <c r="C104" s="1">
        <v>1</v>
      </c>
      <c r="D104" s="1" t="s">
        <v>95</v>
      </c>
      <c r="E104" s="1">
        <v>79.929999999999993</v>
      </c>
      <c r="F104" s="1"/>
      <c r="G104" s="1"/>
      <c r="H104" s="1">
        <v>9.14</v>
      </c>
      <c r="I104" s="1"/>
      <c r="J104" s="1"/>
      <c r="K104" s="1">
        <v>2.4</v>
      </c>
      <c r="L104" s="1"/>
      <c r="N104" s="1" t="s">
        <v>101</v>
      </c>
      <c r="O104" s="57" t="s">
        <v>89</v>
      </c>
      <c r="P104" s="1" t="s">
        <v>95</v>
      </c>
      <c r="Q104" s="6">
        <v>91.47</v>
      </c>
    </row>
    <row r="105" spans="1:17" ht="15" customHeight="1">
      <c r="A105" s="1" t="s">
        <v>196</v>
      </c>
      <c r="B105" s="1"/>
      <c r="C105" s="1">
        <v>1</v>
      </c>
      <c r="D105" s="1" t="s">
        <v>96</v>
      </c>
      <c r="E105" s="1">
        <v>67.77</v>
      </c>
      <c r="F105" s="1"/>
      <c r="G105" s="1"/>
      <c r="H105" s="1">
        <v>4.32</v>
      </c>
      <c r="I105" s="1"/>
      <c r="J105" s="1"/>
      <c r="K105" s="1">
        <v>1.8</v>
      </c>
      <c r="L105" s="1"/>
      <c r="N105" s="1" t="s">
        <v>101</v>
      </c>
      <c r="O105" s="57" t="s">
        <v>89</v>
      </c>
      <c r="P105" s="1" t="s">
        <v>96</v>
      </c>
      <c r="Q105" s="6">
        <v>73.89</v>
      </c>
    </row>
    <row r="106" spans="1:17" ht="15" customHeight="1">
      <c r="A106" s="1"/>
      <c r="B106" s="1"/>
      <c r="C106" s="1">
        <v>1</v>
      </c>
      <c r="D106" s="1" t="s">
        <v>39</v>
      </c>
      <c r="E106" s="1">
        <v>87.88</v>
      </c>
      <c r="F106" s="1"/>
      <c r="G106" s="1"/>
      <c r="H106" s="1">
        <v>13.02</v>
      </c>
      <c r="I106" s="1"/>
      <c r="J106" s="1"/>
      <c r="K106" s="1">
        <v>1.9</v>
      </c>
      <c r="L106" s="1"/>
      <c r="N106" s="1" t="s">
        <v>101</v>
      </c>
      <c r="O106" s="57" t="s">
        <v>89</v>
      </c>
      <c r="P106" s="1" t="s">
        <v>39</v>
      </c>
      <c r="Q106" s="6">
        <v>102.8</v>
      </c>
    </row>
    <row r="107" spans="1:17" ht="15" customHeight="1">
      <c r="A107" s="1"/>
      <c r="B107" s="1"/>
      <c r="C107" s="1">
        <v>1</v>
      </c>
      <c r="D107" s="1" t="s">
        <v>97</v>
      </c>
      <c r="E107" s="1">
        <v>61.410000000000004</v>
      </c>
      <c r="F107" s="1">
        <f>AVERAGE(E103:E107)</f>
        <v>70.481999999999999</v>
      </c>
      <c r="G107" s="1"/>
      <c r="H107" s="1">
        <v>6.24</v>
      </c>
      <c r="I107" s="1">
        <f>AVERAGE(H103:H107)</f>
        <v>7.5320000000000009</v>
      </c>
      <c r="J107" s="1"/>
      <c r="K107" s="1">
        <v>1.9</v>
      </c>
      <c r="L107" s="1">
        <f>AVERAGE(K103:K107)</f>
        <v>1.8399999999999999</v>
      </c>
      <c r="N107" s="1" t="s">
        <v>101</v>
      </c>
      <c r="O107" s="57" t="s">
        <v>89</v>
      </c>
      <c r="P107" s="1" t="s">
        <v>97</v>
      </c>
      <c r="Q107" s="6">
        <v>69.550000000000011</v>
      </c>
    </row>
    <row r="108" spans="1:17" ht="15" customHeight="1">
      <c r="A108" s="1"/>
      <c r="B108" s="1"/>
      <c r="C108" s="1">
        <v>2</v>
      </c>
      <c r="D108" s="1" t="s">
        <v>94</v>
      </c>
      <c r="E108" s="1">
        <v>64.44</v>
      </c>
      <c r="F108" s="1"/>
      <c r="G108" s="1"/>
      <c r="H108" s="1">
        <v>31</v>
      </c>
      <c r="I108" s="1"/>
      <c r="J108" s="1"/>
      <c r="K108" s="1">
        <v>3.1</v>
      </c>
      <c r="L108" s="1"/>
      <c r="N108" s="1" t="s">
        <v>101</v>
      </c>
      <c r="O108" s="57" t="s">
        <v>149</v>
      </c>
      <c r="P108" s="1" t="s">
        <v>94</v>
      </c>
      <c r="Q108" s="6">
        <v>98.539999999999992</v>
      </c>
    </row>
    <row r="109" spans="1:17" ht="15" customHeight="1">
      <c r="A109" s="1"/>
      <c r="B109" s="1"/>
      <c r="C109" s="1">
        <v>2</v>
      </c>
      <c r="D109" s="1" t="s">
        <v>95</v>
      </c>
      <c r="E109" s="1">
        <v>68.89</v>
      </c>
      <c r="F109" s="1"/>
      <c r="G109" s="1"/>
      <c r="H109" s="8">
        <f>AVERAGE(H108,H110:H112)</f>
        <v>13.1325</v>
      </c>
      <c r="I109" s="1"/>
      <c r="J109" s="1"/>
      <c r="K109" s="1">
        <v>2.4</v>
      </c>
      <c r="L109" s="1"/>
      <c r="N109" s="1" t="s">
        <v>101</v>
      </c>
      <c r="O109" s="57" t="s">
        <v>149</v>
      </c>
      <c r="P109" s="1" t="s">
        <v>95</v>
      </c>
      <c r="Q109" s="6">
        <v>84.422500000000014</v>
      </c>
    </row>
    <row r="110" spans="1:17" ht="15" customHeight="1">
      <c r="A110" s="1"/>
      <c r="B110" s="1"/>
      <c r="C110" s="1">
        <v>2</v>
      </c>
      <c r="D110" s="1" t="s">
        <v>96</v>
      </c>
      <c r="E110" s="1">
        <v>76.239999999999995</v>
      </c>
      <c r="F110" s="1"/>
      <c r="G110" s="1"/>
      <c r="H110" s="1">
        <v>7.88</v>
      </c>
      <c r="I110" s="1"/>
      <c r="J110" s="1"/>
      <c r="K110" s="1">
        <v>3.5</v>
      </c>
      <c r="L110" s="1"/>
      <c r="N110" s="1" t="s">
        <v>101</v>
      </c>
      <c r="O110" s="57" t="s">
        <v>149</v>
      </c>
      <c r="P110" s="1" t="s">
        <v>96</v>
      </c>
      <c r="Q110" s="6">
        <v>87.61999999999999</v>
      </c>
    </row>
    <row r="111" spans="1:17" ht="15" customHeight="1">
      <c r="A111" s="1"/>
      <c r="B111" s="1"/>
      <c r="C111" s="1">
        <v>2</v>
      </c>
      <c r="D111" s="1" t="s">
        <v>39</v>
      </c>
      <c r="E111" s="1">
        <v>59.32</v>
      </c>
      <c r="F111" s="1"/>
      <c r="G111" s="1"/>
      <c r="H111" s="1">
        <v>6.92</v>
      </c>
      <c r="I111" s="1"/>
      <c r="J111" s="1"/>
      <c r="K111" s="1">
        <v>1.4</v>
      </c>
      <c r="L111" s="1"/>
      <c r="N111" s="1" t="s">
        <v>101</v>
      </c>
      <c r="O111" s="57" t="s">
        <v>149</v>
      </c>
      <c r="P111" s="1" t="s">
        <v>39</v>
      </c>
      <c r="Q111" s="6">
        <v>67.64</v>
      </c>
    </row>
    <row r="112" spans="1:17" ht="15" customHeight="1">
      <c r="A112" s="1"/>
      <c r="B112" s="1"/>
      <c r="C112" s="1">
        <v>2</v>
      </c>
      <c r="D112" s="1" t="s">
        <v>97</v>
      </c>
      <c r="E112" s="1">
        <v>57.02</v>
      </c>
      <c r="F112" s="1">
        <f>AVERAGE(E108:E112)</f>
        <v>65.181999999999988</v>
      </c>
      <c r="G112" s="1"/>
      <c r="H112" s="1">
        <v>6.73</v>
      </c>
      <c r="I112" s="1">
        <f>AVERAGE(H108:H112)</f>
        <v>13.132500000000002</v>
      </c>
      <c r="J112" s="1"/>
      <c r="K112" s="1">
        <v>2.4</v>
      </c>
      <c r="L112" s="1">
        <f>AVERAGE(K108:K112)</f>
        <v>2.56</v>
      </c>
      <c r="N112" s="1" t="s">
        <v>101</v>
      </c>
      <c r="O112" s="57" t="s">
        <v>149</v>
      </c>
      <c r="P112" s="1" t="s">
        <v>97</v>
      </c>
      <c r="Q112" s="6">
        <v>66.150000000000006</v>
      </c>
    </row>
    <row r="113" spans="1:17" ht="15" customHeight="1">
      <c r="A113" s="1"/>
      <c r="B113" s="1"/>
      <c r="C113" s="1">
        <v>3</v>
      </c>
      <c r="D113" s="1" t="s">
        <v>94</v>
      </c>
      <c r="E113" s="1">
        <v>51.6</v>
      </c>
      <c r="F113" s="1"/>
      <c r="G113" s="1"/>
      <c r="H113" s="1">
        <v>7.45</v>
      </c>
      <c r="I113" s="1"/>
      <c r="J113" s="1"/>
      <c r="K113" s="1">
        <v>2.2999999999999998</v>
      </c>
      <c r="L113" s="1"/>
      <c r="N113" s="1" t="s">
        <v>101</v>
      </c>
      <c r="O113" s="57" t="s">
        <v>90</v>
      </c>
      <c r="P113" s="1" t="s">
        <v>94</v>
      </c>
      <c r="Q113" s="6">
        <v>61.35</v>
      </c>
    </row>
    <row r="114" spans="1:17" ht="15" customHeight="1">
      <c r="A114" s="1"/>
      <c r="B114" s="1"/>
      <c r="C114" s="1">
        <v>3</v>
      </c>
      <c r="D114" s="1" t="s">
        <v>95</v>
      </c>
      <c r="E114" s="1">
        <v>67.39</v>
      </c>
      <c r="F114" s="1"/>
      <c r="G114" s="1"/>
      <c r="H114" s="1">
        <v>6.77</v>
      </c>
      <c r="I114" s="1"/>
      <c r="J114" s="1"/>
      <c r="K114" s="1">
        <v>4.5</v>
      </c>
      <c r="L114" s="1"/>
      <c r="N114" s="1" t="s">
        <v>101</v>
      </c>
      <c r="O114" s="57" t="s">
        <v>90</v>
      </c>
      <c r="P114" s="1" t="s">
        <v>95</v>
      </c>
      <c r="Q114" s="6">
        <v>78.66</v>
      </c>
    </row>
    <row r="115" spans="1:17" ht="15" customHeight="1">
      <c r="A115" s="1"/>
      <c r="B115" s="1"/>
      <c r="C115" s="1">
        <v>3</v>
      </c>
      <c r="D115" s="1" t="s">
        <v>96</v>
      </c>
      <c r="E115" s="1">
        <v>69.63</v>
      </c>
      <c r="F115" s="1"/>
      <c r="G115" s="1"/>
      <c r="H115" s="1">
        <v>6.72</v>
      </c>
      <c r="I115" s="1"/>
      <c r="J115" s="1"/>
      <c r="K115" s="1">
        <v>7.2</v>
      </c>
      <c r="L115" s="1"/>
      <c r="N115" s="1" t="s">
        <v>101</v>
      </c>
      <c r="O115" s="57" t="s">
        <v>90</v>
      </c>
      <c r="P115" s="1" t="s">
        <v>96</v>
      </c>
      <c r="Q115" s="6">
        <v>83.55</v>
      </c>
    </row>
    <row r="116" spans="1:17" ht="15" customHeight="1">
      <c r="A116" s="1"/>
      <c r="B116" s="1"/>
      <c r="C116" s="1">
        <v>3</v>
      </c>
      <c r="D116" s="1" t="s">
        <v>39</v>
      </c>
      <c r="E116" s="1">
        <v>64.91</v>
      </c>
      <c r="F116" s="1"/>
      <c r="G116" s="1"/>
      <c r="H116" s="1">
        <v>8.11</v>
      </c>
      <c r="I116" s="1"/>
      <c r="J116" s="1"/>
      <c r="K116" s="1">
        <v>2.5</v>
      </c>
      <c r="L116" s="1"/>
      <c r="N116" s="1" t="s">
        <v>101</v>
      </c>
      <c r="O116" s="57" t="s">
        <v>90</v>
      </c>
      <c r="P116" s="1" t="s">
        <v>39</v>
      </c>
      <c r="Q116" s="6">
        <v>75.52</v>
      </c>
    </row>
    <row r="117" spans="1:17" ht="15" customHeight="1">
      <c r="A117" s="1"/>
      <c r="B117" s="1"/>
      <c r="C117" s="1">
        <v>3</v>
      </c>
      <c r="D117" s="1" t="s">
        <v>97</v>
      </c>
      <c r="E117" s="1">
        <v>70.91</v>
      </c>
      <c r="F117" s="1">
        <f>AVERAGE(E113:E117)</f>
        <v>64.888000000000005</v>
      </c>
      <c r="G117" s="1"/>
      <c r="H117" s="1">
        <v>5.59</v>
      </c>
      <c r="I117" s="1">
        <f>AVERAGE(H113:H117)</f>
        <v>6.9279999999999999</v>
      </c>
      <c r="J117" s="1"/>
      <c r="K117" s="1">
        <v>2.4</v>
      </c>
      <c r="L117" s="1">
        <f>AVERAGE(K113:K117)</f>
        <v>3.78</v>
      </c>
      <c r="N117" s="1" t="s">
        <v>101</v>
      </c>
      <c r="O117" s="57" t="s">
        <v>90</v>
      </c>
      <c r="P117" s="1" t="s">
        <v>97</v>
      </c>
      <c r="Q117" s="6">
        <v>78.900000000000006</v>
      </c>
    </row>
    <row r="118" spans="1:17" ht="15" customHeight="1">
      <c r="A118" s="1"/>
      <c r="B118" s="1"/>
      <c r="C118" s="1">
        <v>4</v>
      </c>
      <c r="D118" s="1" t="s">
        <v>94</v>
      </c>
      <c r="E118" s="1">
        <v>48.84</v>
      </c>
      <c r="F118" s="1"/>
      <c r="G118" s="1"/>
      <c r="H118" s="1">
        <v>10.89</v>
      </c>
      <c r="I118" s="1"/>
      <c r="J118" s="1"/>
      <c r="K118" s="1">
        <v>4.2</v>
      </c>
      <c r="L118" s="1"/>
      <c r="N118" s="1" t="s">
        <v>101</v>
      </c>
      <c r="O118" s="57" t="s">
        <v>87</v>
      </c>
      <c r="P118" s="1" t="s">
        <v>94</v>
      </c>
      <c r="Q118" s="6">
        <v>63.930000000000007</v>
      </c>
    </row>
    <row r="119" spans="1:17" ht="15" customHeight="1">
      <c r="A119" s="1"/>
      <c r="B119" s="1"/>
      <c r="C119" s="1">
        <v>4</v>
      </c>
      <c r="D119" s="1" t="s">
        <v>95</v>
      </c>
      <c r="E119" s="1">
        <v>43.14</v>
      </c>
      <c r="F119" s="1"/>
      <c r="G119" s="1"/>
      <c r="H119" s="1">
        <v>15</v>
      </c>
      <c r="I119" s="1"/>
      <c r="J119" s="1"/>
      <c r="K119" s="1">
        <v>2.2000000000000002</v>
      </c>
      <c r="L119" s="1"/>
      <c r="N119" s="1" t="s">
        <v>101</v>
      </c>
      <c r="O119" s="57" t="s">
        <v>87</v>
      </c>
      <c r="P119" s="1" t="s">
        <v>95</v>
      </c>
      <c r="Q119" s="6">
        <v>60.34</v>
      </c>
    </row>
    <row r="120" spans="1:17" ht="15" customHeight="1">
      <c r="A120" s="1"/>
      <c r="B120" s="1"/>
      <c r="C120" s="1">
        <v>4</v>
      </c>
      <c r="D120" s="1" t="s">
        <v>96</v>
      </c>
      <c r="E120" s="1">
        <v>49.31</v>
      </c>
      <c r="F120" s="1"/>
      <c r="G120" s="1"/>
      <c r="H120" s="1">
        <v>8.82</v>
      </c>
      <c r="I120" s="1"/>
      <c r="J120" s="1"/>
      <c r="K120" s="1">
        <v>1.9</v>
      </c>
      <c r="L120" s="1"/>
      <c r="N120" s="1" t="s">
        <v>101</v>
      </c>
      <c r="O120" s="57" t="s">
        <v>87</v>
      </c>
      <c r="P120" s="1" t="s">
        <v>96</v>
      </c>
      <c r="Q120" s="6">
        <v>60.03</v>
      </c>
    </row>
    <row r="121" spans="1:17" ht="15" customHeight="1">
      <c r="A121" s="1"/>
      <c r="B121" s="1"/>
      <c r="C121" s="1">
        <v>4</v>
      </c>
      <c r="D121" s="1" t="s">
        <v>39</v>
      </c>
      <c r="E121" s="1">
        <v>61.68</v>
      </c>
      <c r="F121" s="1"/>
      <c r="G121" s="1"/>
      <c r="H121" s="1">
        <v>7.55</v>
      </c>
      <c r="I121" s="1"/>
      <c r="J121" s="1"/>
      <c r="K121" s="1">
        <v>3.7</v>
      </c>
      <c r="L121" s="1"/>
      <c r="N121" s="1" t="s">
        <v>101</v>
      </c>
      <c r="O121" s="57" t="s">
        <v>87</v>
      </c>
      <c r="P121" s="1" t="s">
        <v>39</v>
      </c>
      <c r="Q121" s="6">
        <v>72.930000000000007</v>
      </c>
    </row>
    <row r="122" spans="1:17" ht="15" customHeight="1">
      <c r="A122" s="1"/>
      <c r="B122" s="1"/>
      <c r="C122" s="1">
        <v>4</v>
      </c>
      <c r="D122" s="1" t="s">
        <v>97</v>
      </c>
      <c r="E122" s="1">
        <v>62.580000000000005</v>
      </c>
      <c r="F122" s="1">
        <f>AVERAGE(E118:E122)</f>
        <v>53.11</v>
      </c>
      <c r="G122" s="1"/>
      <c r="H122" s="1">
        <v>6.77</v>
      </c>
      <c r="I122" s="1">
        <f>AVERAGE(H118:H122)</f>
        <v>9.8060000000000009</v>
      </c>
      <c r="J122" s="1"/>
      <c r="K122" s="1">
        <v>3.7</v>
      </c>
      <c r="L122" s="1">
        <f>AVERAGE(K118:K122)</f>
        <v>3.1399999999999997</v>
      </c>
      <c r="N122" s="1" t="s">
        <v>101</v>
      </c>
      <c r="O122" s="57" t="s">
        <v>87</v>
      </c>
      <c r="P122" s="1" t="s">
        <v>97</v>
      </c>
      <c r="Q122" s="6">
        <v>73.050000000000011</v>
      </c>
    </row>
    <row r="123" spans="1:17" ht="15" customHeight="1">
      <c r="A123" s="1" t="s">
        <v>37</v>
      </c>
      <c r="B123" s="1" t="s">
        <v>102</v>
      </c>
      <c r="C123" s="1">
        <v>1</v>
      </c>
      <c r="D123" s="1" t="s">
        <v>94</v>
      </c>
      <c r="E123" s="1">
        <v>94.789999999999992</v>
      </c>
      <c r="F123" s="1"/>
      <c r="G123" s="1"/>
      <c r="H123" s="1">
        <v>5.47</v>
      </c>
      <c r="I123" s="1"/>
      <c r="J123" s="1"/>
      <c r="K123" s="1">
        <v>4.8</v>
      </c>
      <c r="L123" s="1"/>
      <c r="N123" s="1" t="s">
        <v>102</v>
      </c>
      <c r="O123" s="57" t="s">
        <v>149</v>
      </c>
      <c r="P123" s="1" t="s">
        <v>94</v>
      </c>
      <c r="Q123" s="6">
        <v>105.05999999999999</v>
      </c>
    </row>
    <row r="124" spans="1:17" ht="15" customHeight="1">
      <c r="A124" s="1"/>
      <c r="B124" s="1"/>
      <c r="C124" s="1">
        <v>1</v>
      </c>
      <c r="D124" s="1" t="s">
        <v>95</v>
      </c>
      <c r="E124" s="1">
        <v>77.589999999999989</v>
      </c>
      <c r="F124" s="1"/>
      <c r="G124" s="1"/>
      <c r="H124" s="1">
        <v>2.2999999999999998</v>
      </c>
      <c r="I124" s="1"/>
      <c r="J124" s="1"/>
      <c r="K124" s="1">
        <v>3.1</v>
      </c>
      <c r="L124" s="1"/>
      <c r="N124" s="1" t="s">
        <v>102</v>
      </c>
      <c r="O124" s="57" t="s">
        <v>149</v>
      </c>
      <c r="P124" s="1" t="s">
        <v>95</v>
      </c>
      <c r="Q124" s="6">
        <v>82.989999999999981</v>
      </c>
    </row>
    <row r="125" spans="1:17" ht="15" customHeight="1">
      <c r="A125" s="1" t="s">
        <v>198</v>
      </c>
      <c r="B125" s="1"/>
      <c r="C125" s="1">
        <v>1</v>
      </c>
      <c r="D125" s="1" t="s">
        <v>96</v>
      </c>
      <c r="E125" s="1">
        <v>81.22999999999999</v>
      </c>
      <c r="F125" s="1"/>
      <c r="G125" s="1"/>
      <c r="H125" s="1">
        <v>5.56</v>
      </c>
      <c r="I125" s="1"/>
      <c r="J125" s="1"/>
      <c r="K125" s="1">
        <v>3.9</v>
      </c>
      <c r="L125" s="1"/>
      <c r="N125" s="1" t="s">
        <v>102</v>
      </c>
      <c r="O125" s="57" t="s">
        <v>149</v>
      </c>
      <c r="P125" s="1" t="s">
        <v>96</v>
      </c>
      <c r="Q125" s="6">
        <v>90.69</v>
      </c>
    </row>
    <row r="126" spans="1:17" ht="15" customHeight="1">
      <c r="A126" s="1"/>
      <c r="B126" s="1"/>
      <c r="C126" s="1">
        <v>1</v>
      </c>
      <c r="D126" s="1" t="s">
        <v>39</v>
      </c>
      <c r="E126" s="1">
        <v>87.14</v>
      </c>
      <c r="F126" s="1"/>
      <c r="G126" s="1"/>
      <c r="H126" s="1">
        <v>2.91</v>
      </c>
      <c r="I126" s="1"/>
      <c r="J126" s="1"/>
      <c r="K126" s="1">
        <v>3</v>
      </c>
      <c r="L126" s="1"/>
      <c r="N126" s="1" t="s">
        <v>102</v>
      </c>
      <c r="O126" s="57" t="s">
        <v>149</v>
      </c>
      <c r="P126" s="1" t="s">
        <v>39</v>
      </c>
      <c r="Q126" s="6">
        <v>93.05</v>
      </c>
    </row>
    <row r="127" spans="1:17" ht="15" customHeight="1">
      <c r="A127" s="1"/>
      <c r="B127" s="1"/>
      <c r="C127" s="1">
        <v>1</v>
      </c>
      <c r="D127" s="1" t="s">
        <v>97</v>
      </c>
      <c r="E127" s="1">
        <v>61.21</v>
      </c>
      <c r="F127" s="1">
        <f>AVERAGE(E123:E127)</f>
        <v>80.391999999999996</v>
      </c>
      <c r="G127" s="1"/>
      <c r="H127" s="1">
        <v>4.6500000000000004</v>
      </c>
      <c r="I127" s="1">
        <f>AVERAGE(H123:H127)</f>
        <v>4.1779999999999999</v>
      </c>
      <c r="J127" s="1"/>
      <c r="K127" s="1">
        <v>1.6</v>
      </c>
      <c r="L127" s="1">
        <f>AVERAGE(K123:K127)</f>
        <v>3.2800000000000002</v>
      </c>
      <c r="N127" s="1" t="s">
        <v>102</v>
      </c>
      <c r="O127" s="57" t="s">
        <v>149</v>
      </c>
      <c r="P127" s="1" t="s">
        <v>97</v>
      </c>
      <c r="Q127" s="6">
        <v>67.459999999999994</v>
      </c>
    </row>
    <row r="128" spans="1:17" ht="15" customHeight="1">
      <c r="A128" s="1"/>
      <c r="B128" s="1"/>
      <c r="C128" s="1">
        <v>2</v>
      </c>
      <c r="D128" s="1" t="s">
        <v>94</v>
      </c>
      <c r="E128" s="1">
        <v>60.21</v>
      </c>
      <c r="F128" s="1"/>
      <c r="G128" s="1"/>
      <c r="H128" s="1">
        <v>7.92</v>
      </c>
      <c r="I128" s="1"/>
      <c r="J128" s="1"/>
      <c r="K128" s="1">
        <v>3.4</v>
      </c>
      <c r="L128" s="1"/>
      <c r="N128" s="1" t="s">
        <v>102</v>
      </c>
      <c r="O128" s="57" t="s">
        <v>89</v>
      </c>
      <c r="P128" s="1" t="s">
        <v>94</v>
      </c>
      <c r="Q128" s="6">
        <v>71.53</v>
      </c>
    </row>
    <row r="129" spans="1:17" ht="15" customHeight="1">
      <c r="A129" s="1"/>
      <c r="B129" s="1"/>
      <c r="C129" s="1">
        <v>2</v>
      </c>
      <c r="D129" s="1" t="s">
        <v>95</v>
      </c>
      <c r="E129" s="1">
        <v>40.35</v>
      </c>
      <c r="F129" s="1"/>
      <c r="G129" s="1"/>
      <c r="H129" s="1">
        <v>1.46</v>
      </c>
      <c r="I129" s="1"/>
      <c r="J129" s="1"/>
      <c r="K129" s="1">
        <v>2</v>
      </c>
      <c r="L129" s="1"/>
      <c r="N129" s="1" t="s">
        <v>102</v>
      </c>
      <c r="O129" s="57" t="s">
        <v>89</v>
      </c>
      <c r="P129" s="1" t="s">
        <v>95</v>
      </c>
      <c r="Q129" s="6">
        <v>43.81</v>
      </c>
    </row>
    <row r="130" spans="1:17" ht="15" customHeight="1">
      <c r="A130" s="1"/>
      <c r="B130" s="1"/>
      <c r="C130" s="1">
        <v>2</v>
      </c>
      <c r="D130" s="1" t="s">
        <v>96</v>
      </c>
      <c r="E130" s="1">
        <v>49.9</v>
      </c>
      <c r="F130" s="1"/>
      <c r="G130" s="1"/>
      <c r="H130" s="1">
        <v>3.44</v>
      </c>
      <c r="I130" s="1"/>
      <c r="J130" s="1"/>
      <c r="K130" s="1">
        <v>2.9</v>
      </c>
      <c r="L130" s="1"/>
      <c r="N130" s="1" t="s">
        <v>102</v>
      </c>
      <c r="O130" s="57" t="s">
        <v>89</v>
      </c>
      <c r="P130" s="1" t="s">
        <v>96</v>
      </c>
      <c r="Q130" s="6">
        <v>56.239999999999995</v>
      </c>
    </row>
    <row r="131" spans="1:17" ht="15" customHeight="1">
      <c r="A131" s="1"/>
      <c r="B131" s="1"/>
      <c r="C131" s="1">
        <v>2</v>
      </c>
      <c r="D131" s="1" t="s">
        <v>39</v>
      </c>
      <c r="E131" s="1">
        <v>72.099999999999994</v>
      </c>
      <c r="F131" s="1"/>
      <c r="G131" s="1"/>
      <c r="H131" s="1">
        <v>4.0999999999999996</v>
      </c>
      <c r="I131" s="1"/>
      <c r="J131" s="1"/>
      <c r="K131" s="1">
        <v>5</v>
      </c>
      <c r="L131" s="1"/>
      <c r="N131" s="1" t="s">
        <v>102</v>
      </c>
      <c r="O131" s="57" t="s">
        <v>89</v>
      </c>
      <c r="P131" s="1" t="s">
        <v>39</v>
      </c>
      <c r="Q131" s="6">
        <v>81.199999999999989</v>
      </c>
    </row>
    <row r="132" spans="1:17" ht="15" customHeight="1">
      <c r="A132" s="1"/>
      <c r="B132" s="1"/>
      <c r="C132" s="1">
        <v>2</v>
      </c>
      <c r="D132" s="1" t="s">
        <v>97</v>
      </c>
      <c r="E132" s="1">
        <v>69.58</v>
      </c>
      <c r="F132" s="1">
        <f>AVERAGE(E128:E132)</f>
        <v>58.427999999999997</v>
      </c>
      <c r="G132" s="1"/>
      <c r="H132" s="1">
        <v>6.9</v>
      </c>
      <c r="I132" s="1">
        <f>AVERAGE(H128:H132)</f>
        <v>4.7640000000000002</v>
      </c>
      <c r="J132" s="1"/>
      <c r="K132" s="1">
        <v>1.5</v>
      </c>
      <c r="L132" s="1">
        <f>AVERAGE(K128:K132)</f>
        <v>2.96</v>
      </c>
      <c r="N132" s="1" t="s">
        <v>102</v>
      </c>
      <c r="O132" s="57" t="s">
        <v>89</v>
      </c>
      <c r="P132" s="1" t="s">
        <v>97</v>
      </c>
      <c r="Q132" s="6">
        <v>77.98</v>
      </c>
    </row>
    <row r="133" spans="1:17" ht="15" customHeight="1">
      <c r="A133" s="1"/>
      <c r="B133" s="1"/>
      <c r="C133" s="1">
        <v>3</v>
      </c>
      <c r="D133" s="1" t="s">
        <v>94</v>
      </c>
      <c r="E133" s="1">
        <v>61.02</v>
      </c>
      <c r="F133" s="1"/>
      <c r="G133" s="1"/>
      <c r="H133" s="1">
        <v>4.0199999999999996</v>
      </c>
      <c r="I133" s="1"/>
      <c r="J133" s="1"/>
      <c r="K133" s="1">
        <v>2.8</v>
      </c>
      <c r="L133" s="1"/>
      <c r="N133" s="1" t="s">
        <v>102</v>
      </c>
      <c r="O133" s="57" t="s">
        <v>87</v>
      </c>
      <c r="P133" s="1" t="s">
        <v>94</v>
      </c>
      <c r="Q133" s="6">
        <v>67.84</v>
      </c>
    </row>
    <row r="134" spans="1:17" ht="15" customHeight="1">
      <c r="A134" s="1"/>
      <c r="B134" s="1"/>
      <c r="C134" s="1">
        <v>3</v>
      </c>
      <c r="D134" s="1" t="s">
        <v>95</v>
      </c>
      <c r="E134" s="1">
        <v>56.720000000000006</v>
      </c>
      <c r="F134" s="1"/>
      <c r="G134" s="1"/>
      <c r="H134" s="1">
        <v>4.5599999999999996</v>
      </c>
      <c r="I134" s="1"/>
      <c r="J134" s="1"/>
      <c r="K134" s="1">
        <v>2.2000000000000002</v>
      </c>
      <c r="L134" s="1"/>
      <c r="N134" s="1" t="s">
        <v>102</v>
      </c>
      <c r="O134" s="57" t="s">
        <v>87</v>
      </c>
      <c r="P134" s="1" t="s">
        <v>95</v>
      </c>
      <c r="Q134" s="6">
        <v>63.480000000000011</v>
      </c>
    </row>
    <row r="135" spans="1:17" ht="15" customHeight="1">
      <c r="A135" s="1"/>
      <c r="B135" s="1"/>
      <c r="C135" s="1">
        <v>3</v>
      </c>
      <c r="D135" s="1" t="s">
        <v>96</v>
      </c>
      <c r="E135" s="1">
        <v>73.919999999999987</v>
      </c>
      <c r="F135" s="1"/>
      <c r="G135" s="1"/>
      <c r="H135" s="1">
        <v>1.36</v>
      </c>
      <c r="I135" s="1"/>
      <c r="J135" s="1"/>
      <c r="K135" s="1">
        <v>1.7</v>
      </c>
      <c r="L135" s="1"/>
      <c r="N135" s="1" t="s">
        <v>102</v>
      </c>
      <c r="O135" s="57" t="s">
        <v>87</v>
      </c>
      <c r="P135" s="1" t="s">
        <v>96</v>
      </c>
      <c r="Q135" s="6">
        <v>76.97999999999999</v>
      </c>
    </row>
    <row r="136" spans="1:17" ht="15" customHeight="1">
      <c r="A136" s="1"/>
      <c r="B136" s="1"/>
      <c r="C136" s="1">
        <v>3</v>
      </c>
      <c r="D136" s="1" t="s">
        <v>39</v>
      </c>
      <c r="E136" s="1">
        <v>73.069999999999993</v>
      </c>
      <c r="F136" s="1"/>
      <c r="G136" s="1"/>
      <c r="H136" s="1">
        <v>7.1</v>
      </c>
      <c r="I136" s="1"/>
      <c r="J136" s="1"/>
      <c r="K136" s="1">
        <v>2.1</v>
      </c>
      <c r="L136" s="1"/>
      <c r="N136" s="1" t="s">
        <v>102</v>
      </c>
      <c r="O136" s="57" t="s">
        <v>87</v>
      </c>
      <c r="P136" s="1" t="s">
        <v>39</v>
      </c>
      <c r="Q136" s="6">
        <v>82.269999999999982</v>
      </c>
    </row>
    <row r="137" spans="1:17" ht="15" customHeight="1">
      <c r="A137" s="1"/>
      <c r="B137" s="1"/>
      <c r="C137" s="1">
        <v>3</v>
      </c>
      <c r="D137" s="1" t="s">
        <v>97</v>
      </c>
      <c r="E137" s="1">
        <v>84.28</v>
      </c>
      <c r="F137" s="1">
        <f>AVERAGE(E133:E137)</f>
        <v>69.801999999999992</v>
      </c>
      <c r="G137" s="1"/>
      <c r="H137" s="1">
        <v>5.67</v>
      </c>
      <c r="I137" s="1">
        <f>AVERAGE(H133:H137)</f>
        <v>4.5419999999999998</v>
      </c>
      <c r="J137" s="1"/>
      <c r="K137" s="1">
        <v>3.3</v>
      </c>
      <c r="L137" s="1">
        <f>AVERAGE(K133:K137)</f>
        <v>2.4200000000000004</v>
      </c>
      <c r="N137" s="1" t="s">
        <v>102</v>
      </c>
      <c r="O137" s="57" t="s">
        <v>87</v>
      </c>
      <c r="P137" s="1" t="s">
        <v>97</v>
      </c>
      <c r="Q137" s="6">
        <v>93.25</v>
      </c>
    </row>
    <row r="138" spans="1:17" ht="15" customHeight="1">
      <c r="A138" s="1"/>
      <c r="B138" s="1"/>
      <c r="C138" s="1">
        <v>4</v>
      </c>
      <c r="D138" s="1" t="s">
        <v>94</v>
      </c>
      <c r="E138" s="1">
        <v>59.71</v>
      </c>
      <c r="F138" s="1"/>
      <c r="G138" s="1"/>
      <c r="H138" s="1">
        <v>1.95</v>
      </c>
      <c r="I138" s="1"/>
      <c r="J138" s="1"/>
      <c r="K138" s="1">
        <v>3.8</v>
      </c>
      <c r="L138" s="1"/>
      <c r="N138" s="1" t="s">
        <v>102</v>
      </c>
      <c r="O138" s="57" t="s">
        <v>90</v>
      </c>
      <c r="P138" s="1" t="s">
        <v>94</v>
      </c>
      <c r="Q138" s="6">
        <v>65.460000000000008</v>
      </c>
    </row>
    <row r="139" spans="1:17" ht="15" customHeight="1">
      <c r="A139" s="1"/>
      <c r="B139" s="1"/>
      <c r="C139" s="1">
        <v>4</v>
      </c>
      <c r="D139" s="1" t="s">
        <v>95</v>
      </c>
      <c r="E139" s="1">
        <v>66.039999999999992</v>
      </c>
      <c r="F139" s="1"/>
      <c r="G139" s="1"/>
      <c r="H139" s="1">
        <v>2.2200000000000002</v>
      </c>
      <c r="I139" s="1"/>
      <c r="J139" s="1"/>
      <c r="K139" s="1">
        <v>4.5</v>
      </c>
      <c r="L139" s="1"/>
      <c r="N139" s="1" t="s">
        <v>102</v>
      </c>
      <c r="O139" s="57" t="s">
        <v>90</v>
      </c>
      <c r="P139" s="1" t="s">
        <v>95</v>
      </c>
      <c r="Q139" s="6">
        <v>72.759999999999991</v>
      </c>
    </row>
    <row r="140" spans="1:17" ht="15" customHeight="1">
      <c r="A140" s="1"/>
      <c r="B140" s="1"/>
      <c r="C140" s="1">
        <v>4</v>
      </c>
      <c r="D140" s="1" t="s">
        <v>96</v>
      </c>
      <c r="E140" s="1">
        <v>65.88</v>
      </c>
      <c r="F140" s="1"/>
      <c r="G140" s="1"/>
      <c r="H140" s="1">
        <v>3.31</v>
      </c>
      <c r="I140" s="1"/>
      <c r="J140" s="1"/>
      <c r="K140" s="1">
        <v>3.1</v>
      </c>
      <c r="L140" s="1"/>
      <c r="N140" s="1" t="s">
        <v>102</v>
      </c>
      <c r="O140" s="57" t="s">
        <v>90</v>
      </c>
      <c r="P140" s="1" t="s">
        <v>96</v>
      </c>
      <c r="Q140" s="6">
        <v>72.289999999999992</v>
      </c>
    </row>
    <row r="141" spans="1:17" ht="15" customHeight="1">
      <c r="A141" s="1"/>
      <c r="B141" s="1"/>
      <c r="C141" s="1">
        <v>4</v>
      </c>
      <c r="D141" s="1" t="s">
        <v>39</v>
      </c>
      <c r="E141" s="1">
        <v>52.36</v>
      </c>
      <c r="F141" s="1"/>
      <c r="G141" s="1"/>
      <c r="H141" s="1">
        <v>1.03</v>
      </c>
      <c r="I141" s="1"/>
      <c r="J141" s="1"/>
      <c r="K141" s="1">
        <v>3.5</v>
      </c>
      <c r="L141" s="1"/>
      <c r="N141" s="1" t="s">
        <v>102</v>
      </c>
      <c r="O141" s="57" t="s">
        <v>90</v>
      </c>
      <c r="P141" s="1" t="s">
        <v>39</v>
      </c>
      <c r="Q141" s="6">
        <v>56.89</v>
      </c>
    </row>
    <row r="142" spans="1:17" ht="15" customHeight="1">
      <c r="A142" s="1"/>
      <c r="B142" s="1"/>
      <c r="C142" s="1">
        <v>4</v>
      </c>
      <c r="D142" s="1" t="s">
        <v>97</v>
      </c>
      <c r="E142" s="1">
        <v>85.64</v>
      </c>
      <c r="F142" s="1">
        <f>AVERAGE(E138:E142)</f>
        <v>65.926000000000002</v>
      </c>
      <c r="G142" s="1"/>
      <c r="H142" s="1">
        <v>7.47</v>
      </c>
      <c r="I142" s="1">
        <f>AVERAGE(H138:H142)</f>
        <v>3.1960000000000002</v>
      </c>
      <c r="J142" s="1"/>
      <c r="K142" s="1">
        <v>4.2</v>
      </c>
      <c r="L142" s="1">
        <f>AVERAGE(K138:K142)</f>
        <v>3.8200000000000003</v>
      </c>
      <c r="N142" s="1" t="s">
        <v>102</v>
      </c>
      <c r="O142" s="57" t="s">
        <v>90</v>
      </c>
      <c r="P142" s="1" t="s">
        <v>97</v>
      </c>
      <c r="Q142" s="6">
        <v>97.31</v>
      </c>
    </row>
    <row r="143" spans="1:17" ht="15" customHeight="1">
      <c r="A143" s="1" t="s">
        <v>103</v>
      </c>
      <c r="B143" s="1" t="s">
        <v>106</v>
      </c>
      <c r="C143" s="1">
        <v>1</v>
      </c>
      <c r="D143" s="1" t="s">
        <v>94</v>
      </c>
      <c r="E143" s="1">
        <v>63.610000000000007</v>
      </c>
      <c r="F143" s="1"/>
      <c r="G143" s="1"/>
      <c r="H143" s="1">
        <v>3.47</v>
      </c>
      <c r="I143" s="1"/>
      <c r="J143" s="1"/>
      <c r="K143" s="1">
        <v>5.2</v>
      </c>
      <c r="L143" s="1"/>
      <c r="N143" s="1" t="s">
        <v>106</v>
      </c>
      <c r="O143" s="57" t="s">
        <v>87</v>
      </c>
      <c r="P143" s="1" t="s">
        <v>94</v>
      </c>
      <c r="Q143" s="6">
        <v>72.280000000000015</v>
      </c>
    </row>
    <row r="144" spans="1:17" ht="15" customHeight="1">
      <c r="A144" s="1"/>
      <c r="B144" s="1"/>
      <c r="C144" s="1">
        <v>1</v>
      </c>
      <c r="D144" s="1" t="s">
        <v>107</v>
      </c>
      <c r="E144" s="1">
        <v>84.57</v>
      </c>
      <c r="F144" s="1"/>
      <c r="G144" s="1"/>
      <c r="H144" s="1">
        <v>5.61</v>
      </c>
      <c r="I144" s="1"/>
      <c r="J144" s="1"/>
      <c r="K144" s="1">
        <v>4.8</v>
      </c>
      <c r="L144" s="1"/>
      <c r="N144" s="1" t="s">
        <v>106</v>
      </c>
      <c r="O144" s="57" t="s">
        <v>87</v>
      </c>
      <c r="P144" s="1" t="s">
        <v>107</v>
      </c>
      <c r="Q144" s="6">
        <v>94.97999999999999</v>
      </c>
    </row>
    <row r="145" spans="1:17" ht="15" customHeight="1">
      <c r="A145" s="1" t="s">
        <v>167</v>
      </c>
      <c r="B145" s="1"/>
      <c r="C145" s="1">
        <v>1</v>
      </c>
      <c r="D145" s="1" t="s">
        <v>108</v>
      </c>
      <c r="E145" s="1">
        <v>83.02</v>
      </c>
      <c r="F145" s="1"/>
      <c r="G145" s="1"/>
      <c r="H145" s="1">
        <v>4.28</v>
      </c>
      <c r="I145" s="1"/>
      <c r="J145" s="1"/>
      <c r="K145" s="1">
        <v>12.6</v>
      </c>
      <c r="L145" s="1"/>
      <c r="N145" s="1" t="s">
        <v>106</v>
      </c>
      <c r="O145" s="57" t="s">
        <v>87</v>
      </c>
      <c r="P145" s="1" t="s">
        <v>108</v>
      </c>
      <c r="Q145" s="6">
        <v>99.899999999999991</v>
      </c>
    </row>
    <row r="146" spans="1:17" ht="15" customHeight="1">
      <c r="A146" s="1"/>
      <c r="B146" s="1"/>
      <c r="C146" s="1">
        <v>1</v>
      </c>
      <c r="D146" s="1" t="s">
        <v>96</v>
      </c>
      <c r="E146" s="35">
        <v>132.09</v>
      </c>
      <c r="F146" s="1"/>
      <c r="G146" s="1"/>
      <c r="H146" s="1">
        <v>15.22</v>
      </c>
      <c r="I146" s="1"/>
      <c r="J146" s="1"/>
      <c r="K146" s="1">
        <v>12.4</v>
      </c>
      <c r="L146" s="1"/>
      <c r="N146" s="1" t="s">
        <v>106</v>
      </c>
      <c r="O146" s="57" t="s">
        <v>87</v>
      </c>
      <c r="P146" s="1" t="s">
        <v>96</v>
      </c>
      <c r="Q146" s="6">
        <v>159.71</v>
      </c>
    </row>
    <row r="147" spans="1:17" ht="15" customHeight="1">
      <c r="A147" s="1"/>
      <c r="B147" s="1"/>
      <c r="C147" s="1">
        <v>1</v>
      </c>
      <c r="D147" s="1" t="s">
        <v>39</v>
      </c>
      <c r="E147" s="1">
        <v>92.94</v>
      </c>
      <c r="F147" s="1">
        <f>AVERAGE(E143:E147)</f>
        <v>91.245999999999995</v>
      </c>
      <c r="G147" s="1"/>
      <c r="H147" s="1">
        <v>6.67</v>
      </c>
      <c r="I147" s="1">
        <f>AVERAGE(H143:H147)</f>
        <v>7.05</v>
      </c>
      <c r="J147" s="1"/>
      <c r="K147" s="1">
        <v>11</v>
      </c>
      <c r="L147" s="1">
        <f>AVERAGE(K143:K147)</f>
        <v>9.1999999999999993</v>
      </c>
      <c r="N147" s="1" t="s">
        <v>106</v>
      </c>
      <c r="O147" s="57" t="s">
        <v>87</v>
      </c>
      <c r="P147" s="1" t="s">
        <v>39</v>
      </c>
      <c r="Q147" s="6">
        <v>110.61</v>
      </c>
    </row>
    <row r="148" spans="1:17" ht="15" customHeight="1">
      <c r="A148" s="1"/>
      <c r="B148" s="1"/>
      <c r="C148" s="1">
        <v>2</v>
      </c>
      <c r="D148" s="1" t="s">
        <v>94</v>
      </c>
      <c r="E148" s="1">
        <v>82.66</v>
      </c>
      <c r="F148" s="1"/>
      <c r="G148" s="1"/>
      <c r="H148" s="1">
        <v>6.46</v>
      </c>
      <c r="I148" s="1"/>
      <c r="J148" s="1"/>
      <c r="K148" s="1">
        <v>5.7</v>
      </c>
      <c r="L148" s="1"/>
      <c r="N148" s="1" t="s">
        <v>106</v>
      </c>
      <c r="O148" s="57" t="s">
        <v>90</v>
      </c>
      <c r="P148" s="1" t="s">
        <v>94</v>
      </c>
      <c r="Q148" s="6">
        <v>94.82</v>
      </c>
    </row>
    <row r="149" spans="1:17" ht="15" customHeight="1">
      <c r="A149" s="1"/>
      <c r="B149" s="1"/>
      <c r="C149" s="1">
        <v>2</v>
      </c>
      <c r="D149" s="1" t="s">
        <v>107</v>
      </c>
      <c r="E149" s="1">
        <v>75.179999999999993</v>
      </c>
      <c r="F149" s="1"/>
      <c r="G149" s="1"/>
      <c r="H149" s="1">
        <v>9.41</v>
      </c>
      <c r="I149" s="1"/>
      <c r="J149" s="1"/>
      <c r="K149" s="1">
        <v>4.9000000000000004</v>
      </c>
      <c r="L149" s="1"/>
      <c r="N149" s="1" t="s">
        <v>106</v>
      </c>
      <c r="O149" s="57" t="s">
        <v>90</v>
      </c>
      <c r="P149" s="1" t="s">
        <v>107</v>
      </c>
      <c r="Q149" s="6">
        <v>89.49</v>
      </c>
    </row>
    <row r="150" spans="1:17" ht="15" customHeight="1">
      <c r="A150" s="1"/>
      <c r="B150" s="1"/>
      <c r="C150" s="1">
        <v>2</v>
      </c>
      <c r="D150" s="1" t="s">
        <v>108</v>
      </c>
      <c r="E150" s="1">
        <v>75.75</v>
      </c>
      <c r="F150" s="1"/>
      <c r="G150" s="1"/>
      <c r="H150" s="1">
        <v>6.75</v>
      </c>
      <c r="I150" s="1"/>
      <c r="J150" s="1"/>
      <c r="K150" s="1">
        <v>3.6</v>
      </c>
      <c r="L150" s="1"/>
      <c r="N150" s="1" t="s">
        <v>106</v>
      </c>
      <c r="O150" s="57" t="s">
        <v>90</v>
      </c>
      <c r="P150" s="1" t="s">
        <v>108</v>
      </c>
      <c r="Q150" s="6">
        <v>86.1</v>
      </c>
    </row>
    <row r="151" spans="1:17" ht="15" customHeight="1">
      <c r="A151" s="1"/>
      <c r="B151" s="1"/>
      <c r="C151" s="1">
        <v>2</v>
      </c>
      <c r="D151" s="1" t="s">
        <v>96</v>
      </c>
      <c r="E151" s="1">
        <v>83.99</v>
      </c>
      <c r="F151" s="1"/>
      <c r="G151" s="1"/>
      <c r="H151" s="1">
        <v>7.27</v>
      </c>
      <c r="I151" s="1"/>
      <c r="J151" s="1"/>
      <c r="K151" s="1">
        <v>5.0999999999999996</v>
      </c>
      <c r="L151" s="1"/>
      <c r="N151" s="1" t="s">
        <v>106</v>
      </c>
      <c r="O151" s="57" t="s">
        <v>90</v>
      </c>
      <c r="P151" s="1" t="s">
        <v>96</v>
      </c>
      <c r="Q151" s="6">
        <v>96.359999999999985</v>
      </c>
    </row>
    <row r="152" spans="1:17" ht="15" customHeight="1">
      <c r="A152" s="1"/>
      <c r="B152" s="1"/>
      <c r="C152" s="1">
        <v>2</v>
      </c>
      <c r="D152" s="1" t="s">
        <v>39</v>
      </c>
      <c r="E152" s="1">
        <v>90.69</v>
      </c>
      <c r="F152" s="1">
        <f>AVERAGE(E148:E152)</f>
        <v>81.653999999999996</v>
      </c>
      <c r="G152" s="1"/>
      <c r="H152" s="1">
        <v>6.88</v>
      </c>
      <c r="I152" s="1">
        <f>AVERAGE(H148:H152)</f>
        <v>7.354000000000001</v>
      </c>
      <c r="J152" s="1"/>
      <c r="K152" s="1">
        <v>8.6999999999999993</v>
      </c>
      <c r="L152" s="1">
        <f>AVERAGE(K148:K152)</f>
        <v>5.6</v>
      </c>
      <c r="N152" s="1" t="s">
        <v>106</v>
      </c>
      <c r="O152" s="57" t="s">
        <v>90</v>
      </c>
      <c r="P152" s="1" t="s">
        <v>39</v>
      </c>
      <c r="Q152" s="6">
        <v>106.27</v>
      </c>
    </row>
    <row r="153" spans="1:17" ht="15" customHeight="1">
      <c r="A153" s="1"/>
      <c r="B153" s="1"/>
      <c r="C153" s="1">
        <v>3</v>
      </c>
      <c r="D153" s="1" t="s">
        <v>94</v>
      </c>
      <c r="E153" s="1">
        <v>62.24</v>
      </c>
      <c r="F153" s="1"/>
      <c r="G153" s="1"/>
      <c r="H153" s="1">
        <v>11.54</v>
      </c>
      <c r="I153" s="1"/>
      <c r="J153" s="1"/>
      <c r="K153" s="1">
        <v>4.5</v>
      </c>
      <c r="L153" s="1"/>
      <c r="N153" s="1" t="s">
        <v>106</v>
      </c>
      <c r="O153" s="57" t="s">
        <v>149</v>
      </c>
      <c r="P153" s="1" t="s">
        <v>94</v>
      </c>
      <c r="Q153" s="6">
        <v>78.28</v>
      </c>
    </row>
    <row r="154" spans="1:17" ht="15" customHeight="1">
      <c r="A154" s="1"/>
      <c r="B154" s="1"/>
      <c r="C154" s="1">
        <v>3</v>
      </c>
      <c r="D154" s="1" t="s">
        <v>107</v>
      </c>
      <c r="E154" s="1">
        <v>84.49</v>
      </c>
      <c r="F154" s="1"/>
      <c r="G154" s="1"/>
      <c r="H154" s="1">
        <v>6.08</v>
      </c>
      <c r="I154" s="1"/>
      <c r="J154" s="1"/>
      <c r="K154" s="1">
        <v>4.8</v>
      </c>
      <c r="L154" s="1"/>
      <c r="N154" s="1" t="s">
        <v>106</v>
      </c>
      <c r="O154" s="57" t="s">
        <v>149</v>
      </c>
      <c r="P154" s="1" t="s">
        <v>107</v>
      </c>
      <c r="Q154" s="6">
        <v>95.36999999999999</v>
      </c>
    </row>
    <row r="155" spans="1:17" ht="15" customHeight="1">
      <c r="A155" s="1"/>
      <c r="B155" s="1"/>
      <c r="C155" s="1">
        <v>3</v>
      </c>
      <c r="D155" s="1" t="s">
        <v>108</v>
      </c>
      <c r="E155" s="1">
        <v>68.489999999999995</v>
      </c>
      <c r="F155" s="1"/>
      <c r="G155" s="1"/>
      <c r="H155" s="1">
        <v>6.87</v>
      </c>
      <c r="I155" s="1"/>
      <c r="J155" s="1"/>
      <c r="K155" s="1">
        <v>8.8000000000000007</v>
      </c>
      <c r="L155" s="1"/>
      <c r="N155" s="1" t="s">
        <v>106</v>
      </c>
      <c r="O155" s="57" t="s">
        <v>149</v>
      </c>
      <c r="P155" s="1" t="s">
        <v>108</v>
      </c>
      <c r="Q155" s="6">
        <v>84.16</v>
      </c>
    </row>
    <row r="156" spans="1:17" ht="15" customHeight="1">
      <c r="A156" s="1"/>
      <c r="B156" s="1"/>
      <c r="C156" s="1">
        <v>3</v>
      </c>
      <c r="D156" s="1" t="s">
        <v>96</v>
      </c>
      <c r="E156" s="1">
        <v>68.209999999999994</v>
      </c>
      <c r="F156" s="1"/>
      <c r="G156" s="1"/>
      <c r="H156" s="1">
        <v>6.83</v>
      </c>
      <c r="I156" s="1"/>
      <c r="J156" s="1"/>
      <c r="K156" s="1">
        <v>7</v>
      </c>
      <c r="L156" s="1"/>
      <c r="N156" s="1" t="s">
        <v>106</v>
      </c>
      <c r="O156" s="57" t="s">
        <v>149</v>
      </c>
      <c r="P156" s="1" t="s">
        <v>96</v>
      </c>
      <c r="Q156" s="6">
        <v>82.039999999999992</v>
      </c>
    </row>
    <row r="157" spans="1:17" ht="15" customHeight="1">
      <c r="A157" s="1"/>
      <c r="B157" s="1"/>
      <c r="C157" s="1">
        <v>3</v>
      </c>
      <c r="D157" s="1" t="s">
        <v>39</v>
      </c>
      <c r="E157" s="1">
        <v>72.259999999999991</v>
      </c>
      <c r="F157" s="1">
        <f>AVERAGE(E153:E157)</f>
        <v>71.137999999999991</v>
      </c>
      <c r="G157" s="1"/>
      <c r="H157" s="1">
        <v>5.95</v>
      </c>
      <c r="I157" s="1">
        <f>AVERAGE(H153:H157)</f>
        <v>7.4540000000000006</v>
      </c>
      <c r="J157" s="1"/>
      <c r="K157" s="1">
        <v>4.4000000000000004</v>
      </c>
      <c r="L157" s="1">
        <f>AVERAGE(K153:K157)</f>
        <v>5.9</v>
      </c>
      <c r="N157" s="1" t="s">
        <v>106</v>
      </c>
      <c r="O157" s="57" t="s">
        <v>149</v>
      </c>
      <c r="P157" s="1" t="s">
        <v>39</v>
      </c>
      <c r="Q157" s="6">
        <v>82.61</v>
      </c>
    </row>
    <row r="158" spans="1:17" ht="15" customHeight="1">
      <c r="A158" s="1"/>
      <c r="B158" s="1"/>
      <c r="C158" s="1">
        <v>4</v>
      </c>
      <c r="D158" s="1" t="s">
        <v>94</v>
      </c>
      <c r="E158" s="8">
        <v>67.400000000000006</v>
      </c>
      <c r="F158" s="1"/>
      <c r="G158" s="1"/>
      <c r="H158" s="1">
        <v>2.65</v>
      </c>
      <c r="I158" s="1"/>
      <c r="J158" s="1"/>
      <c r="K158" s="1">
        <v>7.3</v>
      </c>
      <c r="L158" s="1"/>
      <c r="N158" s="1" t="s">
        <v>106</v>
      </c>
      <c r="O158" s="57" t="s">
        <v>89</v>
      </c>
      <c r="P158" s="1" t="s">
        <v>94</v>
      </c>
      <c r="Q158" s="6">
        <v>77.350000000000009</v>
      </c>
    </row>
    <row r="159" spans="1:17" ht="15" customHeight="1">
      <c r="A159" s="1"/>
      <c r="B159" s="1"/>
      <c r="C159" s="1">
        <v>4</v>
      </c>
      <c r="D159" s="1" t="s">
        <v>107</v>
      </c>
      <c r="E159" s="1">
        <v>80.5</v>
      </c>
      <c r="F159" s="1"/>
      <c r="G159" s="1"/>
      <c r="H159" s="1">
        <v>12.34</v>
      </c>
      <c r="I159" s="1"/>
      <c r="J159" s="1"/>
      <c r="K159" s="1">
        <v>6.7</v>
      </c>
      <c r="L159" s="1"/>
      <c r="N159" s="1" t="s">
        <v>106</v>
      </c>
      <c r="O159" s="57" t="s">
        <v>89</v>
      </c>
      <c r="P159" s="1" t="s">
        <v>107</v>
      </c>
      <c r="Q159" s="6">
        <v>99.54</v>
      </c>
    </row>
    <row r="160" spans="1:17" ht="15" customHeight="1">
      <c r="A160" s="1"/>
      <c r="B160" s="1"/>
      <c r="C160" s="1">
        <v>4</v>
      </c>
      <c r="D160" s="1" t="s">
        <v>108</v>
      </c>
      <c r="E160" s="8">
        <v>75.400000000000006</v>
      </c>
      <c r="F160" s="1"/>
      <c r="G160" s="1"/>
      <c r="H160" s="1">
        <v>5.33</v>
      </c>
      <c r="I160" s="1"/>
      <c r="J160" s="1"/>
      <c r="K160" s="1">
        <v>6.6</v>
      </c>
      <c r="L160" s="1"/>
      <c r="N160" s="1" t="s">
        <v>106</v>
      </c>
      <c r="O160" s="57" t="s">
        <v>89</v>
      </c>
      <c r="P160" s="1" t="s">
        <v>108</v>
      </c>
      <c r="Q160" s="6">
        <v>87.33</v>
      </c>
    </row>
    <row r="161" spans="1:17" ht="15" customHeight="1">
      <c r="A161" s="1"/>
      <c r="B161" s="1"/>
      <c r="C161" s="1">
        <v>4</v>
      </c>
      <c r="D161" s="1" t="s">
        <v>96</v>
      </c>
      <c r="E161" s="1">
        <v>82.4</v>
      </c>
      <c r="F161" s="1"/>
      <c r="G161" s="1"/>
      <c r="H161" s="1">
        <v>8.98</v>
      </c>
      <c r="I161" s="1"/>
      <c r="J161" s="1"/>
      <c r="K161" s="1">
        <v>5.8</v>
      </c>
      <c r="L161" s="1"/>
      <c r="N161" s="1" t="s">
        <v>106</v>
      </c>
      <c r="O161" s="57" t="s">
        <v>89</v>
      </c>
      <c r="P161" s="1" t="s">
        <v>96</v>
      </c>
      <c r="Q161" s="6">
        <v>97.18</v>
      </c>
    </row>
    <row r="162" spans="1:17" ht="15" customHeight="1">
      <c r="A162" s="1"/>
      <c r="B162" s="1"/>
      <c r="C162" s="1">
        <v>4</v>
      </c>
      <c r="D162" s="1" t="s">
        <v>39</v>
      </c>
      <c r="E162" s="1">
        <v>84.7</v>
      </c>
      <c r="F162" s="1">
        <f>AVERAGE(E158:E162)</f>
        <v>78.080000000000013</v>
      </c>
      <c r="G162" s="1"/>
      <c r="H162" s="1">
        <v>4.91</v>
      </c>
      <c r="I162" s="1">
        <f>AVERAGE(H158:H162)</f>
        <v>6.8420000000000005</v>
      </c>
      <c r="J162" s="1"/>
      <c r="K162" s="1">
        <v>5.3</v>
      </c>
      <c r="L162" s="1">
        <f>AVERAGE(K158:K162)</f>
        <v>6.3400000000000007</v>
      </c>
      <c r="N162" s="1" t="s">
        <v>106</v>
      </c>
      <c r="O162" s="57" t="s">
        <v>89</v>
      </c>
      <c r="P162" s="1" t="s">
        <v>39</v>
      </c>
      <c r="Q162" s="6">
        <v>94.91</v>
      </c>
    </row>
    <row r="163" spans="1:17" ht="15" customHeight="1">
      <c r="A163" s="1" t="s">
        <v>103</v>
      </c>
      <c r="B163" s="1" t="s">
        <v>110</v>
      </c>
      <c r="C163" s="1">
        <v>1</v>
      </c>
      <c r="D163" s="1" t="s">
        <v>94</v>
      </c>
      <c r="E163" s="1">
        <v>55.699999999999996</v>
      </c>
      <c r="F163" s="1"/>
      <c r="G163" s="1"/>
      <c r="H163" s="1">
        <v>12.72</v>
      </c>
      <c r="I163" s="1"/>
      <c r="J163" s="1"/>
      <c r="K163" s="1">
        <v>3.9</v>
      </c>
      <c r="L163" s="1"/>
      <c r="N163" s="1" t="s">
        <v>110</v>
      </c>
      <c r="O163" s="57" t="s">
        <v>89</v>
      </c>
      <c r="P163" s="1" t="s">
        <v>94</v>
      </c>
      <c r="Q163" s="6">
        <v>72.320000000000007</v>
      </c>
    </row>
    <row r="164" spans="1:17" ht="15" customHeight="1">
      <c r="A164" s="1"/>
      <c r="B164" s="1"/>
      <c r="C164" s="1">
        <v>1</v>
      </c>
      <c r="D164" s="1" t="s">
        <v>95</v>
      </c>
      <c r="E164" s="1">
        <v>81.679999999999993</v>
      </c>
      <c r="F164" s="1"/>
      <c r="G164" s="1"/>
      <c r="H164" s="1">
        <v>11.71</v>
      </c>
      <c r="I164" s="1"/>
      <c r="J164" s="1"/>
      <c r="K164" s="1">
        <v>4.3</v>
      </c>
      <c r="L164" s="1"/>
      <c r="N164" s="1" t="s">
        <v>110</v>
      </c>
      <c r="O164" s="57" t="s">
        <v>89</v>
      </c>
      <c r="P164" s="1" t="s">
        <v>95</v>
      </c>
      <c r="Q164" s="6">
        <v>97.689999999999984</v>
      </c>
    </row>
    <row r="165" spans="1:17" ht="15" customHeight="1">
      <c r="A165" s="1" t="s">
        <v>199</v>
      </c>
      <c r="B165" s="1"/>
      <c r="C165" s="1">
        <v>1</v>
      </c>
      <c r="D165" s="1" t="s">
        <v>108</v>
      </c>
      <c r="E165" s="1">
        <v>50</v>
      </c>
      <c r="F165" s="1"/>
      <c r="G165" s="1"/>
      <c r="H165" s="1">
        <v>13.77</v>
      </c>
      <c r="I165" s="1"/>
      <c r="J165" s="1"/>
      <c r="K165" s="1">
        <v>3.6</v>
      </c>
      <c r="L165" s="1"/>
      <c r="N165" s="1" t="s">
        <v>110</v>
      </c>
      <c r="O165" s="57" t="s">
        <v>89</v>
      </c>
      <c r="P165" s="1" t="s">
        <v>108</v>
      </c>
      <c r="Q165" s="6">
        <v>67.36999999999999</v>
      </c>
    </row>
    <row r="166" spans="1:17" ht="15" customHeight="1">
      <c r="A166" s="1"/>
      <c r="B166" s="1"/>
      <c r="C166" s="1">
        <v>1</v>
      </c>
      <c r="D166" s="1" t="s">
        <v>111</v>
      </c>
      <c r="E166" s="1">
        <v>69.16</v>
      </c>
      <c r="F166" s="1"/>
      <c r="G166" s="1"/>
      <c r="H166" s="1">
        <v>6.67</v>
      </c>
      <c r="I166" s="1"/>
      <c r="J166" s="1"/>
      <c r="K166" s="1">
        <v>3.9</v>
      </c>
      <c r="L166" s="1"/>
      <c r="N166" s="1" t="s">
        <v>110</v>
      </c>
      <c r="O166" s="57" t="s">
        <v>89</v>
      </c>
      <c r="P166" s="1" t="s">
        <v>111</v>
      </c>
      <c r="Q166" s="6">
        <v>79.73</v>
      </c>
    </row>
    <row r="167" spans="1:17" ht="15" customHeight="1">
      <c r="A167" s="1"/>
      <c r="B167" s="1"/>
      <c r="C167" s="1">
        <v>1</v>
      </c>
      <c r="D167" s="1" t="s">
        <v>39</v>
      </c>
      <c r="E167" s="1">
        <v>68.89</v>
      </c>
      <c r="F167" s="1">
        <f>AVERAGE(E163:E167)</f>
        <v>65.085999999999984</v>
      </c>
      <c r="G167" s="1"/>
      <c r="H167" s="1">
        <v>7.26</v>
      </c>
      <c r="I167" s="1">
        <f>AVERAGE(H163:H167)</f>
        <v>10.426</v>
      </c>
      <c r="J167" s="1"/>
      <c r="K167" s="1">
        <v>4.7</v>
      </c>
      <c r="L167" s="1">
        <f>AVERAGE(K163:K167)</f>
        <v>4.08</v>
      </c>
      <c r="N167" s="1" t="s">
        <v>110</v>
      </c>
      <c r="O167" s="57" t="s">
        <v>89</v>
      </c>
      <c r="P167" s="1" t="s">
        <v>39</v>
      </c>
      <c r="Q167" s="6">
        <v>80.850000000000009</v>
      </c>
    </row>
    <row r="168" spans="1:17" ht="15" customHeight="1">
      <c r="A168" s="1"/>
      <c r="B168" s="1"/>
      <c r="C168" s="1">
        <v>2</v>
      </c>
      <c r="D168" s="1" t="s">
        <v>94</v>
      </c>
      <c r="E168" s="1">
        <v>82.97999999999999</v>
      </c>
      <c r="F168" s="1"/>
      <c r="G168" s="1"/>
      <c r="H168" s="1">
        <v>14.78</v>
      </c>
      <c r="I168" s="1"/>
      <c r="J168" s="1"/>
      <c r="K168" s="1">
        <v>5.9</v>
      </c>
      <c r="L168" s="1"/>
      <c r="N168" s="1" t="s">
        <v>110</v>
      </c>
      <c r="O168" s="57" t="s">
        <v>90</v>
      </c>
      <c r="P168" s="1" t="s">
        <v>94</v>
      </c>
      <c r="Q168" s="6">
        <v>103.66</v>
      </c>
    </row>
    <row r="169" spans="1:17" ht="15" customHeight="1">
      <c r="A169" s="1"/>
      <c r="B169" s="1"/>
      <c r="C169" s="1">
        <v>2</v>
      </c>
      <c r="D169" s="1" t="s">
        <v>95</v>
      </c>
      <c r="E169" s="1">
        <v>66.28</v>
      </c>
      <c r="F169" s="1"/>
      <c r="G169" s="1"/>
      <c r="H169" s="1">
        <v>14.78</v>
      </c>
      <c r="I169" s="1"/>
      <c r="J169" s="1"/>
      <c r="K169" s="1">
        <v>4.9000000000000004</v>
      </c>
      <c r="L169" s="1"/>
      <c r="N169" s="1" t="s">
        <v>110</v>
      </c>
      <c r="O169" s="57" t="s">
        <v>90</v>
      </c>
      <c r="P169" s="1" t="s">
        <v>95</v>
      </c>
      <c r="Q169" s="6">
        <v>85.960000000000008</v>
      </c>
    </row>
    <row r="170" spans="1:17" ht="15" customHeight="1">
      <c r="A170" s="1"/>
      <c r="B170" s="1"/>
      <c r="C170" s="1">
        <v>2</v>
      </c>
      <c r="D170" s="1" t="s">
        <v>111</v>
      </c>
      <c r="E170" s="1">
        <v>70.239999999999995</v>
      </c>
      <c r="F170" s="1"/>
      <c r="G170" s="1"/>
      <c r="H170" s="1">
        <v>14.78</v>
      </c>
      <c r="I170" s="1"/>
      <c r="J170" s="1"/>
      <c r="K170" s="1">
        <v>4.3</v>
      </c>
      <c r="L170" s="1"/>
      <c r="N170" s="1" t="s">
        <v>110</v>
      </c>
      <c r="O170" s="57" t="s">
        <v>90</v>
      </c>
      <c r="P170" s="1" t="s">
        <v>111</v>
      </c>
      <c r="Q170" s="6">
        <v>89.32</v>
      </c>
    </row>
    <row r="171" spans="1:17" ht="15" customHeight="1">
      <c r="A171" s="1"/>
      <c r="B171" s="1"/>
      <c r="C171" s="1">
        <v>2</v>
      </c>
      <c r="D171" s="1" t="s">
        <v>39</v>
      </c>
      <c r="E171" s="1">
        <v>68.47999999999999</v>
      </c>
      <c r="F171" s="1"/>
      <c r="G171" s="1"/>
      <c r="H171" s="1">
        <v>14.78</v>
      </c>
      <c r="I171" s="1"/>
      <c r="J171" s="1"/>
      <c r="K171" s="1">
        <v>7</v>
      </c>
      <c r="L171" s="1"/>
      <c r="N171" s="1" t="s">
        <v>110</v>
      </c>
      <c r="O171" s="57" t="s">
        <v>90</v>
      </c>
      <c r="P171" s="1" t="s">
        <v>39</v>
      </c>
      <c r="Q171" s="6">
        <v>90.259999999999991</v>
      </c>
    </row>
    <row r="172" spans="1:17" ht="15" customHeight="1">
      <c r="A172" s="1"/>
      <c r="B172" s="1"/>
      <c r="C172" s="1">
        <v>2</v>
      </c>
      <c r="D172" s="1" t="s">
        <v>97</v>
      </c>
      <c r="E172" s="1">
        <v>69.25</v>
      </c>
      <c r="F172" s="1">
        <f>AVERAGE(E168:E172)</f>
        <v>71.445999999999998</v>
      </c>
      <c r="G172" s="1"/>
      <c r="H172" s="1">
        <v>14.78</v>
      </c>
      <c r="I172" s="1">
        <f>AVERAGE(H168:H172)</f>
        <v>14.779999999999998</v>
      </c>
      <c r="J172" s="1"/>
      <c r="K172" s="1">
        <v>5.5</v>
      </c>
      <c r="L172" s="1">
        <f>AVERAGE(K168:K172)</f>
        <v>5.5200000000000005</v>
      </c>
      <c r="N172" s="1" t="s">
        <v>110</v>
      </c>
      <c r="O172" s="57" t="s">
        <v>90</v>
      </c>
      <c r="P172" s="1" t="s">
        <v>97</v>
      </c>
      <c r="Q172" s="6">
        <v>89.53</v>
      </c>
    </row>
    <row r="173" spans="1:17" ht="15" customHeight="1">
      <c r="A173" s="1"/>
      <c r="B173" s="1"/>
      <c r="C173" s="1">
        <v>3</v>
      </c>
      <c r="D173" s="1" t="s">
        <v>94</v>
      </c>
      <c r="E173" s="1">
        <v>64.009999999999991</v>
      </c>
      <c r="F173" s="1"/>
      <c r="G173" s="1"/>
      <c r="H173" s="1">
        <v>6.72</v>
      </c>
      <c r="I173" s="1"/>
      <c r="J173" s="1"/>
      <c r="K173" s="1">
        <v>6.5</v>
      </c>
      <c r="L173" s="1"/>
      <c r="N173" s="1" t="s">
        <v>110</v>
      </c>
      <c r="O173" s="57" t="s">
        <v>87</v>
      </c>
      <c r="P173" s="1" t="s">
        <v>94</v>
      </c>
      <c r="Q173" s="6">
        <v>77.22999999999999</v>
      </c>
    </row>
    <row r="174" spans="1:17" ht="15" customHeight="1">
      <c r="A174" s="1"/>
      <c r="B174" s="1"/>
      <c r="C174" s="1">
        <v>3</v>
      </c>
      <c r="D174" s="1" t="s">
        <v>95</v>
      </c>
      <c r="E174" s="1">
        <v>62.330000000000005</v>
      </c>
      <c r="F174" s="1"/>
      <c r="G174" s="1"/>
      <c r="H174" s="1">
        <v>8.19</v>
      </c>
      <c r="I174" s="1"/>
      <c r="J174" s="1"/>
      <c r="K174" s="1">
        <v>3</v>
      </c>
      <c r="L174" s="1"/>
      <c r="N174" s="1" t="s">
        <v>110</v>
      </c>
      <c r="O174" s="57" t="s">
        <v>87</v>
      </c>
      <c r="P174" s="1" t="s">
        <v>95</v>
      </c>
      <c r="Q174" s="6">
        <v>73.52000000000001</v>
      </c>
    </row>
    <row r="175" spans="1:17" ht="15" customHeight="1">
      <c r="A175" s="1"/>
      <c r="B175" s="1"/>
      <c r="C175" s="1">
        <v>3</v>
      </c>
      <c r="D175" s="1" t="s">
        <v>108</v>
      </c>
      <c r="E175" s="1">
        <v>77.449999999999989</v>
      </c>
      <c r="F175" s="1"/>
      <c r="G175" s="1"/>
      <c r="H175" s="1">
        <v>17.059999999999999</v>
      </c>
      <c r="I175" s="1"/>
      <c r="J175" s="1"/>
      <c r="K175" s="1">
        <v>8.6000000000000014</v>
      </c>
      <c r="L175" s="1"/>
      <c r="N175" s="1" t="s">
        <v>110</v>
      </c>
      <c r="O175" s="57" t="s">
        <v>87</v>
      </c>
      <c r="P175" s="1" t="s">
        <v>108</v>
      </c>
      <c r="Q175" s="6">
        <v>103.10999999999999</v>
      </c>
    </row>
    <row r="176" spans="1:17" ht="15" customHeight="1">
      <c r="A176" s="1"/>
      <c r="B176" s="1"/>
      <c r="C176" s="1">
        <v>3</v>
      </c>
      <c r="D176" s="1" t="s">
        <v>39</v>
      </c>
      <c r="E176" s="1">
        <v>75.14</v>
      </c>
      <c r="F176" s="1"/>
      <c r="G176" s="1"/>
      <c r="H176" s="1">
        <v>15.57</v>
      </c>
      <c r="I176" s="1"/>
      <c r="J176" s="1"/>
      <c r="K176" s="1">
        <v>5</v>
      </c>
      <c r="L176" s="1"/>
      <c r="N176" s="1" t="s">
        <v>110</v>
      </c>
      <c r="O176" s="57" t="s">
        <v>87</v>
      </c>
      <c r="P176" s="1" t="s">
        <v>39</v>
      </c>
      <c r="Q176" s="6">
        <v>95.710000000000008</v>
      </c>
    </row>
    <row r="177" spans="1:17" ht="15" customHeight="1">
      <c r="A177" s="1"/>
      <c r="B177" s="1"/>
      <c r="C177" s="1">
        <v>3</v>
      </c>
      <c r="D177" s="1" t="s">
        <v>97</v>
      </c>
      <c r="E177" s="1">
        <v>59.890000000000008</v>
      </c>
      <c r="F177" s="1">
        <f>AVERAGE(E173:E177)</f>
        <v>67.763999999999996</v>
      </c>
      <c r="G177" s="1"/>
      <c r="H177" s="1">
        <v>9.24</v>
      </c>
      <c r="I177" s="1">
        <f>AVERAGE(H173:H177)</f>
        <v>11.356</v>
      </c>
      <c r="J177" s="1"/>
      <c r="K177" s="1">
        <v>6.2</v>
      </c>
      <c r="L177" s="1">
        <f>AVERAGE(K173:K177)</f>
        <v>5.86</v>
      </c>
      <c r="N177" s="1" t="s">
        <v>110</v>
      </c>
      <c r="O177" s="57" t="s">
        <v>87</v>
      </c>
      <c r="P177" s="1" t="s">
        <v>97</v>
      </c>
      <c r="Q177" s="6">
        <v>75.330000000000013</v>
      </c>
    </row>
    <row r="178" spans="1:17" ht="15" customHeight="1">
      <c r="A178" s="1"/>
      <c r="B178" s="1"/>
      <c r="C178" s="1">
        <v>4</v>
      </c>
      <c r="D178" s="1" t="s">
        <v>94</v>
      </c>
      <c r="E178" s="1">
        <v>69.52</v>
      </c>
      <c r="F178" s="1"/>
      <c r="G178" s="1"/>
      <c r="H178" s="1">
        <v>9.48</v>
      </c>
      <c r="I178" s="1"/>
      <c r="J178" s="1"/>
      <c r="K178" s="1">
        <v>12.8</v>
      </c>
      <c r="L178" s="1"/>
      <c r="N178" s="1" t="s">
        <v>110</v>
      </c>
      <c r="O178" s="57" t="s">
        <v>149</v>
      </c>
      <c r="P178" s="1" t="s">
        <v>94</v>
      </c>
      <c r="Q178" s="6">
        <v>91.8</v>
      </c>
    </row>
    <row r="179" spans="1:17" ht="15" customHeight="1">
      <c r="A179" s="1"/>
      <c r="B179" s="1"/>
      <c r="C179" s="1">
        <v>4</v>
      </c>
      <c r="D179" s="1" t="s">
        <v>95</v>
      </c>
      <c r="E179" s="1">
        <v>70.059999999999988</v>
      </c>
      <c r="F179" s="1"/>
      <c r="G179" s="1"/>
      <c r="H179" s="1">
        <v>29.87</v>
      </c>
      <c r="I179" s="1"/>
      <c r="J179" s="1"/>
      <c r="K179" s="1">
        <v>5.9</v>
      </c>
      <c r="L179" s="1"/>
      <c r="N179" s="1" t="s">
        <v>110</v>
      </c>
      <c r="O179" s="57" t="s">
        <v>149</v>
      </c>
      <c r="P179" s="1" t="s">
        <v>95</v>
      </c>
      <c r="Q179" s="6">
        <v>105.83</v>
      </c>
    </row>
    <row r="180" spans="1:17" ht="15" customHeight="1">
      <c r="A180" s="1"/>
      <c r="B180" s="1"/>
      <c r="C180" s="1">
        <v>4</v>
      </c>
      <c r="D180" s="1" t="s">
        <v>96</v>
      </c>
      <c r="E180" s="1">
        <v>78.199999999999989</v>
      </c>
      <c r="F180" s="1"/>
      <c r="G180" s="1"/>
      <c r="H180" s="1">
        <v>21.59</v>
      </c>
      <c r="I180" s="1"/>
      <c r="J180" s="1"/>
      <c r="K180" s="1">
        <v>7.3</v>
      </c>
      <c r="L180" s="1"/>
      <c r="N180" s="1" t="s">
        <v>110</v>
      </c>
      <c r="O180" s="57" t="s">
        <v>149</v>
      </c>
      <c r="P180" s="1" t="s">
        <v>96</v>
      </c>
      <c r="Q180" s="6">
        <v>107.08999999999999</v>
      </c>
    </row>
    <row r="181" spans="1:17" ht="15" customHeight="1">
      <c r="A181" s="1"/>
      <c r="B181" s="1"/>
      <c r="C181" s="1">
        <v>4</v>
      </c>
      <c r="D181" s="1" t="s">
        <v>39</v>
      </c>
      <c r="E181" s="1">
        <v>98.649999999999991</v>
      </c>
      <c r="F181" s="1"/>
      <c r="G181" s="1"/>
      <c r="H181" s="1">
        <v>33.340000000000003</v>
      </c>
      <c r="I181" s="1"/>
      <c r="J181" s="1"/>
      <c r="K181" s="1">
        <v>11.8</v>
      </c>
      <c r="L181" s="1"/>
      <c r="N181" s="1" t="s">
        <v>110</v>
      </c>
      <c r="O181" s="57" t="s">
        <v>149</v>
      </c>
      <c r="P181" s="1" t="s">
        <v>39</v>
      </c>
      <c r="Q181" s="6">
        <v>143.79000000000002</v>
      </c>
    </row>
    <row r="182" spans="1:17" ht="15" customHeight="1">
      <c r="A182" s="1"/>
      <c r="B182" s="1"/>
      <c r="C182" s="1">
        <v>4</v>
      </c>
      <c r="D182" s="1" t="s">
        <v>97</v>
      </c>
      <c r="E182" s="1">
        <v>63.419999999999995</v>
      </c>
      <c r="F182" s="1">
        <f>AVERAGE(E178:E182)</f>
        <v>75.97</v>
      </c>
      <c r="G182" s="1"/>
      <c r="H182" s="1">
        <v>26.49</v>
      </c>
      <c r="I182" s="1">
        <f>AVERAGE(H178:H182)</f>
        <v>24.154</v>
      </c>
      <c r="J182" s="1"/>
      <c r="K182" s="1">
        <v>5.4</v>
      </c>
      <c r="L182" s="1">
        <f>AVERAGE(K178:K182)</f>
        <v>8.64</v>
      </c>
      <c r="N182" s="1" t="s">
        <v>110</v>
      </c>
      <c r="O182" s="57" t="s">
        <v>149</v>
      </c>
      <c r="P182" s="1" t="s">
        <v>97</v>
      </c>
      <c r="Q182" s="6">
        <v>95.31</v>
      </c>
    </row>
    <row r="183" spans="1:17" ht="15" customHeight="1">
      <c r="A183" s="1" t="s">
        <v>109</v>
      </c>
      <c r="B183" s="1" t="s">
        <v>112</v>
      </c>
      <c r="C183" s="1">
        <v>1</v>
      </c>
      <c r="D183" s="1" t="s">
        <v>94</v>
      </c>
      <c r="E183" s="1">
        <v>73.449999999999989</v>
      </c>
      <c r="F183" s="1"/>
      <c r="G183" s="1"/>
      <c r="H183" s="1">
        <v>8.82</v>
      </c>
      <c r="I183" s="1"/>
      <c r="J183" s="1"/>
      <c r="K183" s="1">
        <v>6.8</v>
      </c>
      <c r="L183" s="1"/>
      <c r="N183" s="1" t="s">
        <v>112</v>
      </c>
      <c r="O183" s="57" t="s">
        <v>87</v>
      </c>
      <c r="P183" s="1" t="s">
        <v>94</v>
      </c>
      <c r="Q183" s="6">
        <v>89.069999999999979</v>
      </c>
    </row>
    <row r="184" spans="1:17" ht="15" customHeight="1">
      <c r="A184" s="1"/>
      <c r="B184" s="1"/>
      <c r="C184" s="1">
        <v>1</v>
      </c>
      <c r="D184" s="1" t="s">
        <v>107</v>
      </c>
      <c r="E184" s="1">
        <v>66.63</v>
      </c>
      <c r="F184" s="1"/>
      <c r="G184" s="1"/>
      <c r="H184" s="1">
        <v>10.38</v>
      </c>
      <c r="I184" s="1"/>
      <c r="J184" s="1"/>
      <c r="K184" s="1">
        <v>4.7</v>
      </c>
      <c r="L184" s="1"/>
      <c r="N184" s="1" t="s">
        <v>112</v>
      </c>
      <c r="O184" s="57" t="s">
        <v>87</v>
      </c>
      <c r="P184" s="1" t="s">
        <v>107</v>
      </c>
      <c r="Q184" s="6">
        <v>81.709999999999994</v>
      </c>
    </row>
    <row r="185" spans="1:17" ht="15" customHeight="1">
      <c r="A185" s="1" t="s">
        <v>205</v>
      </c>
      <c r="B185" s="1"/>
      <c r="C185" s="1">
        <v>1</v>
      </c>
      <c r="D185" s="1" t="s">
        <v>108</v>
      </c>
      <c r="E185" s="1">
        <v>59.970000000000006</v>
      </c>
      <c r="F185" s="1"/>
      <c r="G185" s="1"/>
      <c r="H185" s="1">
        <v>9.24</v>
      </c>
      <c r="I185" s="1"/>
      <c r="J185" s="1"/>
      <c r="K185" s="1">
        <v>2.8</v>
      </c>
      <c r="L185" s="1"/>
      <c r="N185" s="1" t="s">
        <v>112</v>
      </c>
      <c r="O185" s="57" t="s">
        <v>87</v>
      </c>
      <c r="P185" s="1" t="s">
        <v>108</v>
      </c>
      <c r="Q185" s="6">
        <v>72.010000000000005</v>
      </c>
    </row>
    <row r="186" spans="1:17" ht="15" customHeight="1">
      <c r="A186" s="1"/>
      <c r="B186" s="1"/>
      <c r="C186" s="1">
        <v>1</v>
      </c>
      <c r="D186" s="1" t="s">
        <v>96</v>
      </c>
      <c r="E186" s="1">
        <v>67.489999999999995</v>
      </c>
      <c r="F186" s="1"/>
      <c r="G186" s="1"/>
      <c r="H186" s="1">
        <v>9.3800000000000008</v>
      </c>
      <c r="I186" s="1"/>
      <c r="J186" s="1"/>
      <c r="K186" s="1">
        <v>5.6</v>
      </c>
      <c r="L186" s="1"/>
      <c r="N186" s="1" t="s">
        <v>112</v>
      </c>
      <c r="O186" s="57" t="s">
        <v>87</v>
      </c>
      <c r="P186" s="1" t="s">
        <v>96</v>
      </c>
      <c r="Q186" s="6">
        <v>82.469999999999985</v>
      </c>
    </row>
    <row r="187" spans="1:17" ht="15" customHeight="1">
      <c r="A187" s="1"/>
      <c r="B187" s="1"/>
      <c r="C187" s="1">
        <v>1</v>
      </c>
      <c r="D187" s="1" t="s">
        <v>39</v>
      </c>
      <c r="E187" s="1">
        <v>69.179999999999993</v>
      </c>
      <c r="F187" s="1">
        <f>AVERAGE(E183:E187)</f>
        <v>67.343999999999994</v>
      </c>
      <c r="G187" s="1"/>
      <c r="H187" s="1">
        <v>7.63</v>
      </c>
      <c r="I187" s="1">
        <f>AVERAGE(H183:H187)</f>
        <v>9.0900000000000016</v>
      </c>
      <c r="J187" s="1"/>
      <c r="K187" s="1">
        <v>3.9</v>
      </c>
      <c r="L187" s="1">
        <f>AVERAGE(K183:K187)</f>
        <v>4.76</v>
      </c>
      <c r="N187" s="1" t="s">
        <v>112</v>
      </c>
      <c r="O187" s="57" t="s">
        <v>87</v>
      </c>
      <c r="P187" s="1" t="s">
        <v>39</v>
      </c>
      <c r="Q187" s="6">
        <v>80.709999999999994</v>
      </c>
    </row>
    <row r="188" spans="1:17" ht="15" customHeight="1">
      <c r="A188" s="1"/>
      <c r="B188" s="1"/>
      <c r="C188" s="1">
        <v>2</v>
      </c>
      <c r="D188" s="1" t="s">
        <v>94</v>
      </c>
      <c r="E188" s="1">
        <v>70.179999999999993</v>
      </c>
      <c r="F188" s="1"/>
      <c r="G188" s="1"/>
      <c r="H188" s="1">
        <v>6.96</v>
      </c>
      <c r="I188" s="1"/>
      <c r="J188" s="1"/>
      <c r="K188" s="1">
        <v>3.3</v>
      </c>
      <c r="L188" s="1"/>
      <c r="N188" s="1" t="s">
        <v>112</v>
      </c>
      <c r="O188" s="57" t="s">
        <v>89</v>
      </c>
      <c r="P188" s="1" t="s">
        <v>94</v>
      </c>
      <c r="Q188" s="6">
        <v>80.439999999999984</v>
      </c>
    </row>
    <row r="189" spans="1:17" ht="15" customHeight="1">
      <c r="A189" s="1"/>
      <c r="B189" s="1"/>
      <c r="C189" s="1">
        <v>2</v>
      </c>
      <c r="D189" s="1" t="s">
        <v>107</v>
      </c>
      <c r="E189" s="1">
        <v>78.58</v>
      </c>
      <c r="F189" s="1"/>
      <c r="G189" s="1"/>
      <c r="H189" s="1">
        <v>5.93</v>
      </c>
      <c r="I189" s="1"/>
      <c r="J189" s="1"/>
      <c r="K189" s="1">
        <v>2.7</v>
      </c>
      <c r="L189" s="1"/>
      <c r="N189" s="1" t="s">
        <v>112</v>
      </c>
      <c r="O189" s="57" t="s">
        <v>89</v>
      </c>
      <c r="P189" s="1" t="s">
        <v>107</v>
      </c>
      <c r="Q189" s="6">
        <v>87.21</v>
      </c>
    </row>
    <row r="190" spans="1:17" ht="15" customHeight="1">
      <c r="A190" s="1"/>
      <c r="B190" s="1"/>
      <c r="C190" s="1">
        <v>2</v>
      </c>
      <c r="D190" s="1" t="s">
        <v>108</v>
      </c>
      <c r="E190" s="1">
        <v>72.94</v>
      </c>
      <c r="F190" s="1"/>
      <c r="G190" s="1"/>
      <c r="H190" s="1">
        <v>8.7200000000000006</v>
      </c>
      <c r="I190" s="1"/>
      <c r="J190" s="1"/>
      <c r="K190" s="1">
        <v>4.2</v>
      </c>
      <c r="L190" s="1"/>
      <c r="N190" s="1" t="s">
        <v>112</v>
      </c>
      <c r="O190" s="57" t="s">
        <v>89</v>
      </c>
      <c r="P190" s="1" t="s">
        <v>108</v>
      </c>
      <c r="Q190" s="6">
        <v>85.86</v>
      </c>
    </row>
    <row r="191" spans="1:17" ht="15" customHeight="1">
      <c r="A191" s="1"/>
      <c r="B191" s="1"/>
      <c r="C191" s="1">
        <v>2</v>
      </c>
      <c r="D191" s="1" t="s">
        <v>96</v>
      </c>
      <c r="E191" s="1">
        <v>68.47</v>
      </c>
      <c r="F191" s="1"/>
      <c r="G191" s="1"/>
      <c r="H191" s="1">
        <v>10.62</v>
      </c>
      <c r="I191" s="1"/>
      <c r="J191" s="1"/>
      <c r="K191" s="1">
        <v>4.3</v>
      </c>
      <c r="L191" s="1"/>
      <c r="N191" s="1" t="s">
        <v>112</v>
      </c>
      <c r="O191" s="57" t="s">
        <v>89</v>
      </c>
      <c r="P191" s="1" t="s">
        <v>96</v>
      </c>
      <c r="Q191" s="6">
        <v>83.39</v>
      </c>
    </row>
    <row r="192" spans="1:17" ht="15" customHeight="1">
      <c r="A192" s="1"/>
      <c r="B192" s="1"/>
      <c r="C192" s="1">
        <v>2</v>
      </c>
      <c r="D192" s="1" t="s">
        <v>39</v>
      </c>
      <c r="E192" s="1">
        <v>73.459999999999994</v>
      </c>
      <c r="F192" s="1">
        <f>AVERAGE(E188:E192)</f>
        <v>72.725999999999985</v>
      </c>
      <c r="G192" s="1"/>
      <c r="H192" s="1">
        <v>6.72</v>
      </c>
      <c r="I192" s="1">
        <f>AVERAGE(H188:H192)</f>
        <v>7.7899999999999991</v>
      </c>
      <c r="J192" s="1"/>
      <c r="K192" s="1">
        <v>5.0999999999999996</v>
      </c>
      <c r="L192" s="1">
        <f>AVERAGE(K188:K192)</f>
        <v>3.9200000000000004</v>
      </c>
      <c r="N192" s="1" t="s">
        <v>112</v>
      </c>
      <c r="O192" s="57" t="s">
        <v>89</v>
      </c>
      <c r="P192" s="1" t="s">
        <v>39</v>
      </c>
      <c r="Q192" s="6">
        <v>85.279999999999987</v>
      </c>
    </row>
    <row r="193" spans="1:17" ht="15" customHeight="1">
      <c r="A193" s="1"/>
      <c r="B193" s="1"/>
      <c r="C193" s="1">
        <v>3</v>
      </c>
      <c r="D193" s="1" t="s">
        <v>94</v>
      </c>
      <c r="E193" s="1">
        <v>74.3</v>
      </c>
      <c r="F193" s="1"/>
      <c r="G193" s="1"/>
      <c r="H193" s="1">
        <v>10.11</v>
      </c>
      <c r="I193" s="1"/>
      <c r="J193" s="1"/>
      <c r="K193" s="1">
        <v>3.1</v>
      </c>
      <c r="L193" s="1"/>
      <c r="N193" s="1" t="s">
        <v>112</v>
      </c>
      <c r="O193" s="57" t="s">
        <v>90</v>
      </c>
      <c r="P193" s="1" t="s">
        <v>94</v>
      </c>
      <c r="Q193" s="6">
        <v>87.509999999999991</v>
      </c>
    </row>
    <row r="194" spans="1:17" ht="15" customHeight="1">
      <c r="A194" s="1"/>
      <c r="B194" s="1"/>
      <c r="C194" s="1">
        <v>3</v>
      </c>
      <c r="D194" s="1" t="s">
        <v>107</v>
      </c>
      <c r="E194" s="1">
        <v>89.3</v>
      </c>
      <c r="F194" s="1"/>
      <c r="G194" s="1"/>
      <c r="H194" s="1">
        <v>13.64</v>
      </c>
      <c r="I194" s="1"/>
      <c r="J194" s="1"/>
      <c r="K194" s="1">
        <v>2.6</v>
      </c>
      <c r="L194" s="1"/>
      <c r="N194" s="1" t="s">
        <v>112</v>
      </c>
      <c r="O194" s="57" t="s">
        <v>90</v>
      </c>
      <c r="P194" s="1" t="s">
        <v>107</v>
      </c>
      <c r="Q194" s="6">
        <v>105.53999999999999</v>
      </c>
    </row>
    <row r="195" spans="1:17" ht="15" customHeight="1">
      <c r="A195" s="1"/>
      <c r="B195" s="1"/>
      <c r="C195" s="1">
        <v>3</v>
      </c>
      <c r="D195" s="1" t="s">
        <v>108</v>
      </c>
      <c r="E195" s="1">
        <v>62.1</v>
      </c>
      <c r="F195" s="1"/>
      <c r="G195" s="1"/>
      <c r="H195" s="1">
        <v>5.41</v>
      </c>
      <c r="I195" s="1"/>
      <c r="J195" s="1"/>
      <c r="K195" s="1">
        <v>3.1</v>
      </c>
      <c r="L195" s="1"/>
      <c r="N195" s="1" t="s">
        <v>112</v>
      </c>
      <c r="O195" s="57" t="s">
        <v>90</v>
      </c>
      <c r="P195" s="1" t="s">
        <v>108</v>
      </c>
      <c r="Q195" s="6">
        <v>70.61</v>
      </c>
    </row>
    <row r="196" spans="1:17" ht="15" customHeight="1">
      <c r="A196" s="1"/>
      <c r="B196" s="1"/>
      <c r="C196" s="1">
        <v>3</v>
      </c>
      <c r="D196" s="1" t="s">
        <v>96</v>
      </c>
      <c r="E196" s="8">
        <v>89</v>
      </c>
      <c r="F196" s="1"/>
      <c r="G196" s="1"/>
      <c r="H196" s="1">
        <v>10.41</v>
      </c>
      <c r="I196" s="1"/>
      <c r="J196" s="1"/>
      <c r="K196" s="1">
        <v>4.0999999999999996</v>
      </c>
      <c r="L196" s="1"/>
      <c r="N196" s="1" t="s">
        <v>112</v>
      </c>
      <c r="O196" s="57" t="s">
        <v>90</v>
      </c>
      <c r="P196" s="1" t="s">
        <v>96</v>
      </c>
      <c r="Q196" s="6">
        <v>103.50999999999999</v>
      </c>
    </row>
    <row r="197" spans="1:17" ht="15" customHeight="1">
      <c r="A197" s="1"/>
      <c r="B197" s="1"/>
      <c r="C197" s="1">
        <v>3</v>
      </c>
      <c r="D197" s="1" t="s">
        <v>39</v>
      </c>
      <c r="E197" s="1">
        <v>90.8</v>
      </c>
      <c r="F197" s="1">
        <f>AVERAGE(E193:E197)</f>
        <v>81.099999999999994</v>
      </c>
      <c r="G197" s="1"/>
      <c r="H197" s="1">
        <v>8.67</v>
      </c>
      <c r="I197" s="1">
        <f>AVERAGE(H193:H197)</f>
        <v>9.6479999999999997</v>
      </c>
      <c r="J197" s="1"/>
      <c r="K197" s="1">
        <v>4.8</v>
      </c>
      <c r="L197" s="1">
        <f>AVERAGE(K193:K197)</f>
        <v>3.54</v>
      </c>
      <c r="N197" s="1" t="s">
        <v>112</v>
      </c>
      <c r="O197" s="57" t="s">
        <v>90</v>
      </c>
      <c r="P197" s="1" t="s">
        <v>39</v>
      </c>
      <c r="Q197" s="6">
        <v>104.27</v>
      </c>
    </row>
    <row r="198" spans="1:17" ht="15" customHeight="1">
      <c r="A198" s="1"/>
      <c r="B198" s="1"/>
      <c r="C198" s="1">
        <v>4</v>
      </c>
      <c r="D198" s="1" t="s">
        <v>94</v>
      </c>
      <c r="E198" s="1">
        <v>69.400000000000006</v>
      </c>
      <c r="F198" s="1"/>
      <c r="G198" s="1"/>
      <c r="H198" s="1">
        <v>7.39</v>
      </c>
      <c r="I198" s="1"/>
      <c r="J198" s="1"/>
      <c r="K198" s="1">
        <v>3.6</v>
      </c>
      <c r="L198" s="1"/>
      <c r="N198" s="1" t="s">
        <v>112</v>
      </c>
      <c r="O198" s="57" t="s">
        <v>149</v>
      </c>
      <c r="P198" s="1" t="s">
        <v>94</v>
      </c>
      <c r="Q198" s="6">
        <v>80.39</v>
      </c>
    </row>
    <row r="199" spans="1:17" ht="15" customHeight="1">
      <c r="A199" s="1"/>
      <c r="B199" s="1"/>
      <c r="C199" s="1">
        <v>4</v>
      </c>
      <c r="D199" s="1" t="s">
        <v>107</v>
      </c>
      <c r="E199" s="1">
        <v>73.7</v>
      </c>
      <c r="F199" s="1"/>
      <c r="G199" s="1"/>
      <c r="H199" s="1">
        <v>6.54</v>
      </c>
      <c r="I199" s="1"/>
      <c r="J199" s="1"/>
      <c r="K199" s="1">
        <v>4.8</v>
      </c>
      <c r="L199" s="1"/>
      <c r="N199" s="1" t="s">
        <v>112</v>
      </c>
      <c r="O199" s="57" t="s">
        <v>149</v>
      </c>
      <c r="P199" s="1" t="s">
        <v>107</v>
      </c>
      <c r="Q199" s="6">
        <v>85.04</v>
      </c>
    </row>
    <row r="200" spans="1:17" ht="15" customHeight="1">
      <c r="A200" s="1"/>
      <c r="B200" s="1"/>
      <c r="C200" s="1">
        <v>4</v>
      </c>
      <c r="D200" s="1" t="s">
        <v>108</v>
      </c>
      <c r="E200" s="1">
        <v>69.3</v>
      </c>
      <c r="F200" s="1"/>
      <c r="G200" s="1"/>
      <c r="H200" s="1">
        <v>7.43</v>
      </c>
      <c r="I200" s="1"/>
      <c r="J200" s="1"/>
      <c r="K200" s="1">
        <v>2.6</v>
      </c>
      <c r="L200" s="1"/>
      <c r="N200" s="1" t="s">
        <v>112</v>
      </c>
      <c r="O200" s="57" t="s">
        <v>149</v>
      </c>
      <c r="P200" s="1" t="s">
        <v>108</v>
      </c>
      <c r="Q200" s="6">
        <v>79.329999999999984</v>
      </c>
    </row>
    <row r="201" spans="1:17" ht="15" customHeight="1">
      <c r="A201" s="1"/>
      <c r="B201" s="1"/>
      <c r="C201" s="1">
        <v>4</v>
      </c>
      <c r="D201" s="1" t="s">
        <v>96</v>
      </c>
      <c r="E201" s="1">
        <v>80.5</v>
      </c>
      <c r="F201" s="1"/>
      <c r="G201" s="1"/>
      <c r="H201" s="1">
        <v>8.57</v>
      </c>
      <c r="I201" s="1"/>
      <c r="J201" s="1"/>
      <c r="K201" s="1">
        <v>4.9000000000000004</v>
      </c>
      <c r="L201" s="1"/>
      <c r="N201" s="1" t="s">
        <v>112</v>
      </c>
      <c r="O201" s="57" t="s">
        <v>149</v>
      </c>
      <c r="P201" s="1" t="s">
        <v>96</v>
      </c>
      <c r="Q201" s="6">
        <v>93.97</v>
      </c>
    </row>
    <row r="202" spans="1:17" ht="15" customHeight="1">
      <c r="A202" s="1"/>
      <c r="B202" s="1"/>
      <c r="C202" s="1">
        <v>4</v>
      </c>
      <c r="D202" s="1" t="s">
        <v>39</v>
      </c>
      <c r="E202" s="8">
        <v>72.2</v>
      </c>
      <c r="F202" s="1">
        <f>AVERAGE(E198:E202)</f>
        <v>73.02000000000001</v>
      </c>
      <c r="G202" s="1"/>
      <c r="H202" s="1">
        <v>9.7899999999999991</v>
      </c>
      <c r="I202" s="1">
        <f>AVERAGE(H198:H202)</f>
        <v>7.944</v>
      </c>
      <c r="J202" s="1"/>
      <c r="K202" s="1">
        <v>1.7</v>
      </c>
      <c r="L202" s="1">
        <f>AVERAGE(K198:K202)</f>
        <v>3.5200000000000005</v>
      </c>
      <c r="N202" s="1" t="s">
        <v>112</v>
      </c>
      <c r="O202" s="57" t="s">
        <v>149</v>
      </c>
      <c r="P202" s="1" t="s">
        <v>39</v>
      </c>
      <c r="Q202" s="6">
        <v>83.690000000000012</v>
      </c>
    </row>
    <row r="203" spans="1:17" ht="15" customHeight="1">
      <c r="A203" s="1" t="s">
        <v>109</v>
      </c>
      <c r="B203" s="1" t="s">
        <v>113</v>
      </c>
      <c r="C203" s="1">
        <v>1</v>
      </c>
      <c r="D203" s="1" t="s">
        <v>94</v>
      </c>
      <c r="E203" s="1">
        <v>59.830000000000005</v>
      </c>
      <c r="F203" s="1"/>
      <c r="G203" s="1"/>
      <c r="H203" s="1">
        <v>6.79</v>
      </c>
      <c r="I203" s="1"/>
      <c r="J203" s="1"/>
      <c r="K203" s="1">
        <v>7.6</v>
      </c>
      <c r="L203" s="1"/>
      <c r="N203" s="1" t="s">
        <v>113</v>
      </c>
      <c r="O203" s="57" t="s">
        <v>87</v>
      </c>
      <c r="P203" s="1" t="s">
        <v>94</v>
      </c>
      <c r="Q203" s="6">
        <v>74.22</v>
      </c>
    </row>
    <row r="204" spans="1:17" ht="15" customHeight="1">
      <c r="A204" s="1"/>
      <c r="B204" s="1"/>
      <c r="C204" s="1">
        <v>1</v>
      </c>
      <c r="D204" s="1" t="s">
        <v>95</v>
      </c>
      <c r="E204" s="1">
        <v>77.63</v>
      </c>
      <c r="F204" s="1"/>
      <c r="G204" s="1"/>
      <c r="H204" s="1">
        <v>8.2200000000000006</v>
      </c>
      <c r="I204" s="1"/>
      <c r="J204" s="1"/>
      <c r="K204" s="1">
        <v>4.9000000000000004</v>
      </c>
      <c r="L204" s="1"/>
      <c r="N204" s="1" t="s">
        <v>113</v>
      </c>
      <c r="O204" s="57" t="s">
        <v>87</v>
      </c>
      <c r="P204" s="1" t="s">
        <v>95</v>
      </c>
      <c r="Q204" s="6">
        <v>90.75</v>
      </c>
    </row>
    <row r="205" spans="1:17" ht="15" customHeight="1">
      <c r="A205" s="1" t="s">
        <v>205</v>
      </c>
      <c r="B205" s="1"/>
      <c r="C205" s="1">
        <v>1</v>
      </c>
      <c r="D205" s="1" t="s">
        <v>96</v>
      </c>
      <c r="E205" s="1">
        <v>68.66</v>
      </c>
      <c r="F205" s="1"/>
      <c r="G205" s="1"/>
      <c r="H205" s="1">
        <v>12.08</v>
      </c>
      <c r="I205" s="1"/>
      <c r="J205" s="1"/>
      <c r="K205" s="1">
        <v>4.2</v>
      </c>
      <c r="L205" s="1"/>
      <c r="N205" s="1" t="s">
        <v>113</v>
      </c>
      <c r="O205" s="57" t="s">
        <v>87</v>
      </c>
      <c r="P205" s="1" t="s">
        <v>96</v>
      </c>
      <c r="Q205" s="6">
        <v>84.94</v>
      </c>
    </row>
    <row r="206" spans="1:17" ht="15" customHeight="1">
      <c r="A206" s="1"/>
      <c r="B206" s="1"/>
      <c r="C206" s="1">
        <v>1</v>
      </c>
      <c r="D206" s="1" t="s">
        <v>39</v>
      </c>
      <c r="E206" s="1">
        <v>64.489999999999995</v>
      </c>
      <c r="F206" s="1"/>
      <c r="G206" s="1"/>
      <c r="H206" s="1">
        <v>13.89</v>
      </c>
      <c r="I206" s="1"/>
      <c r="J206" s="1"/>
      <c r="K206" s="1">
        <v>3.9</v>
      </c>
      <c r="L206" s="1"/>
      <c r="N206" s="1" t="s">
        <v>113</v>
      </c>
      <c r="O206" s="57" t="s">
        <v>87</v>
      </c>
      <c r="P206" s="1" t="s">
        <v>39</v>
      </c>
      <c r="Q206" s="6">
        <v>82.28</v>
      </c>
    </row>
    <row r="207" spans="1:17" ht="15" customHeight="1">
      <c r="A207" s="1"/>
      <c r="B207" s="1"/>
      <c r="C207" s="1">
        <v>1</v>
      </c>
      <c r="D207" s="1" t="s">
        <v>97</v>
      </c>
      <c r="E207" s="1">
        <v>86.899999999999991</v>
      </c>
      <c r="F207" s="1">
        <f>AVERAGE(E203:E207)</f>
        <v>71.501999999999995</v>
      </c>
      <c r="G207" s="1"/>
      <c r="H207" s="1">
        <v>13.41</v>
      </c>
      <c r="I207" s="1">
        <f>AVERAGE(H203:H207)</f>
        <v>10.878</v>
      </c>
      <c r="J207" s="1"/>
      <c r="K207" s="1">
        <v>4.4000000000000004</v>
      </c>
      <c r="L207" s="1">
        <f>AVERAGE(K203:K207)</f>
        <v>5</v>
      </c>
      <c r="N207" s="1" t="s">
        <v>113</v>
      </c>
      <c r="O207" s="57" t="s">
        <v>87</v>
      </c>
      <c r="P207" s="1" t="s">
        <v>97</v>
      </c>
      <c r="Q207" s="6">
        <v>104.71</v>
      </c>
    </row>
    <row r="208" spans="1:17" ht="15" customHeight="1">
      <c r="A208" s="1"/>
      <c r="B208" s="1"/>
      <c r="C208" s="1">
        <v>2</v>
      </c>
      <c r="D208" s="1" t="s">
        <v>94</v>
      </c>
      <c r="E208" s="1">
        <v>61.21</v>
      </c>
      <c r="F208" s="1"/>
      <c r="G208" s="1"/>
      <c r="H208" s="1">
        <v>12.17</v>
      </c>
      <c r="I208" s="1"/>
      <c r="J208" s="1"/>
      <c r="K208" s="1">
        <v>8.1</v>
      </c>
      <c r="L208" s="1"/>
      <c r="N208" s="1" t="s">
        <v>113</v>
      </c>
      <c r="O208" s="57" t="s">
        <v>89</v>
      </c>
      <c r="P208" s="1" t="s">
        <v>94</v>
      </c>
      <c r="Q208" s="6">
        <v>81.47999999999999</v>
      </c>
    </row>
    <row r="209" spans="1:17" ht="15" customHeight="1">
      <c r="A209" s="1"/>
      <c r="B209" s="1"/>
      <c r="C209" s="1">
        <v>2</v>
      </c>
      <c r="D209" s="1" t="s">
        <v>95</v>
      </c>
      <c r="E209" s="1">
        <v>82.36999999999999</v>
      </c>
      <c r="F209" s="1"/>
      <c r="G209" s="1"/>
      <c r="H209" s="1">
        <v>13.59</v>
      </c>
      <c r="I209" s="1"/>
      <c r="J209" s="1"/>
      <c r="K209" s="1">
        <v>4.3</v>
      </c>
      <c r="L209" s="1"/>
      <c r="N209" s="1" t="s">
        <v>113</v>
      </c>
      <c r="O209" s="57" t="s">
        <v>89</v>
      </c>
      <c r="P209" s="1" t="s">
        <v>95</v>
      </c>
      <c r="Q209" s="6">
        <v>100.25999999999999</v>
      </c>
    </row>
    <row r="210" spans="1:17" ht="15" customHeight="1">
      <c r="A210" s="1"/>
      <c r="B210" s="1"/>
      <c r="C210" s="1">
        <v>2</v>
      </c>
      <c r="D210" s="1" t="s">
        <v>96</v>
      </c>
      <c r="E210" s="1">
        <v>78.989999999999995</v>
      </c>
      <c r="F210" s="1"/>
      <c r="G210" s="1"/>
      <c r="H210" s="1">
        <v>12.3</v>
      </c>
      <c r="I210" s="1"/>
      <c r="J210" s="1"/>
      <c r="K210" s="1">
        <v>5.9</v>
      </c>
      <c r="L210" s="1"/>
      <c r="N210" s="1" t="s">
        <v>113</v>
      </c>
      <c r="O210" s="57" t="s">
        <v>89</v>
      </c>
      <c r="P210" s="1" t="s">
        <v>96</v>
      </c>
      <c r="Q210" s="6">
        <v>97.19</v>
      </c>
    </row>
    <row r="211" spans="1:17" ht="15" customHeight="1">
      <c r="A211" s="1"/>
      <c r="B211" s="1"/>
      <c r="C211" s="1">
        <v>2</v>
      </c>
      <c r="D211" s="1" t="s">
        <v>39</v>
      </c>
      <c r="E211" s="1">
        <v>68.22</v>
      </c>
      <c r="F211" s="1"/>
      <c r="G211" s="1"/>
      <c r="H211" s="1">
        <v>9.1</v>
      </c>
      <c r="I211" s="1"/>
      <c r="J211" s="1"/>
      <c r="K211" s="1">
        <v>4.3</v>
      </c>
      <c r="L211" s="1"/>
      <c r="N211" s="1" t="s">
        <v>113</v>
      </c>
      <c r="O211" s="57" t="s">
        <v>89</v>
      </c>
      <c r="P211" s="1" t="s">
        <v>39</v>
      </c>
      <c r="Q211" s="6">
        <v>81.61999999999999</v>
      </c>
    </row>
    <row r="212" spans="1:17" ht="15" customHeight="1">
      <c r="A212" s="1"/>
      <c r="B212" s="1"/>
      <c r="C212" s="1">
        <v>2</v>
      </c>
      <c r="D212" s="1" t="s">
        <v>97</v>
      </c>
      <c r="E212" s="1">
        <v>87.08</v>
      </c>
      <c r="F212" s="1">
        <f>AVERAGE(E208:E212)</f>
        <v>75.573999999999984</v>
      </c>
      <c r="G212" s="1"/>
      <c r="H212" s="1">
        <v>12.88</v>
      </c>
      <c r="I212" s="1">
        <f>AVERAGE(H208:H212)</f>
        <v>12.008000000000001</v>
      </c>
      <c r="J212" s="1"/>
      <c r="K212" s="1">
        <v>3.8</v>
      </c>
      <c r="L212" s="1">
        <f>AVERAGE(K208:K212)</f>
        <v>5.2799999999999994</v>
      </c>
      <c r="N212" s="1" t="s">
        <v>113</v>
      </c>
      <c r="O212" s="57" t="s">
        <v>89</v>
      </c>
      <c r="P212" s="1" t="s">
        <v>97</v>
      </c>
      <c r="Q212" s="6">
        <v>103.75999999999999</v>
      </c>
    </row>
    <row r="213" spans="1:17" ht="15" customHeight="1">
      <c r="A213" s="1"/>
      <c r="B213" s="1"/>
      <c r="C213" s="1">
        <v>3</v>
      </c>
      <c r="D213" s="1" t="s">
        <v>94</v>
      </c>
      <c r="E213" s="1">
        <v>61.449999999999996</v>
      </c>
      <c r="F213" s="1"/>
      <c r="G213" s="1"/>
      <c r="H213" s="1">
        <v>11.33</v>
      </c>
      <c r="I213" s="1"/>
      <c r="J213" s="1"/>
      <c r="K213" s="1">
        <v>7.3</v>
      </c>
      <c r="L213" s="1"/>
      <c r="N213" s="1" t="s">
        <v>113</v>
      </c>
      <c r="O213" s="57" t="s">
        <v>90</v>
      </c>
      <c r="P213" s="1" t="s">
        <v>94</v>
      </c>
      <c r="Q213" s="6">
        <v>80.08</v>
      </c>
    </row>
    <row r="214" spans="1:17" ht="15" customHeight="1">
      <c r="A214" s="1"/>
      <c r="B214" s="1"/>
      <c r="C214" s="1">
        <v>3</v>
      </c>
      <c r="D214" s="1" t="s">
        <v>95</v>
      </c>
      <c r="E214" s="1">
        <v>81.179999999999993</v>
      </c>
      <c r="F214" s="1"/>
      <c r="G214" s="1"/>
      <c r="H214" s="1">
        <v>15.02</v>
      </c>
      <c r="I214" s="1"/>
      <c r="J214" s="1"/>
      <c r="K214" s="1">
        <v>5.3</v>
      </c>
      <c r="L214" s="1"/>
      <c r="N214" s="1" t="s">
        <v>113</v>
      </c>
      <c r="O214" s="57" t="s">
        <v>90</v>
      </c>
      <c r="P214" s="1" t="s">
        <v>95</v>
      </c>
      <c r="Q214" s="6">
        <v>101.49999999999999</v>
      </c>
    </row>
    <row r="215" spans="1:17" ht="15" customHeight="1">
      <c r="A215" s="1"/>
      <c r="B215" s="1"/>
      <c r="C215" s="1">
        <v>3</v>
      </c>
      <c r="D215" s="1" t="s">
        <v>96</v>
      </c>
      <c r="E215" s="1">
        <v>78.38</v>
      </c>
      <c r="F215" s="1"/>
      <c r="G215" s="1"/>
      <c r="H215" s="1">
        <v>12.72</v>
      </c>
      <c r="I215" s="1"/>
      <c r="J215" s="1"/>
      <c r="K215" s="1">
        <v>4.4000000000000004</v>
      </c>
      <c r="L215" s="1"/>
      <c r="N215" s="1" t="s">
        <v>113</v>
      </c>
      <c r="O215" s="57" t="s">
        <v>90</v>
      </c>
      <c r="P215" s="1" t="s">
        <v>96</v>
      </c>
      <c r="Q215" s="6">
        <v>95.5</v>
      </c>
    </row>
    <row r="216" spans="1:17" ht="15" customHeight="1">
      <c r="A216" s="1"/>
      <c r="B216" s="1"/>
      <c r="C216" s="1">
        <v>3</v>
      </c>
      <c r="D216" s="1" t="s">
        <v>39</v>
      </c>
      <c r="E216" s="1">
        <v>72.11999999999999</v>
      </c>
      <c r="F216" s="1"/>
      <c r="G216" s="1"/>
      <c r="H216" s="1">
        <v>9.9700000000000006</v>
      </c>
      <c r="I216" s="1"/>
      <c r="J216" s="1"/>
      <c r="K216" s="1">
        <v>7.3000000000000007</v>
      </c>
      <c r="L216" s="1"/>
      <c r="N216" s="1" t="s">
        <v>113</v>
      </c>
      <c r="O216" s="57" t="s">
        <v>90</v>
      </c>
      <c r="P216" s="1" t="s">
        <v>39</v>
      </c>
      <c r="Q216" s="6">
        <v>89.389999999999986</v>
      </c>
    </row>
    <row r="217" spans="1:17" ht="15" customHeight="1">
      <c r="A217" s="1"/>
      <c r="B217" s="1"/>
      <c r="C217" s="1">
        <v>3</v>
      </c>
      <c r="D217" s="1" t="s">
        <v>97</v>
      </c>
      <c r="E217" s="1">
        <v>81.679999999999993</v>
      </c>
      <c r="F217" s="1">
        <f>AVERAGE(E213:E217)</f>
        <v>74.962000000000003</v>
      </c>
      <c r="G217" s="1"/>
      <c r="H217" s="1">
        <v>12.11</v>
      </c>
      <c r="I217" s="1">
        <f>AVERAGE(H213:H217)</f>
        <v>12.23</v>
      </c>
      <c r="J217" s="1"/>
      <c r="K217" s="1">
        <v>8.1</v>
      </c>
      <c r="L217" s="1">
        <f>AVERAGE(K213:K217)</f>
        <v>6.4799999999999995</v>
      </c>
      <c r="N217" s="1" t="s">
        <v>113</v>
      </c>
      <c r="O217" s="57" t="s">
        <v>90</v>
      </c>
      <c r="P217" s="1" t="s">
        <v>97</v>
      </c>
      <c r="Q217" s="6">
        <v>101.88999999999999</v>
      </c>
    </row>
    <row r="218" spans="1:17" ht="15" customHeight="1">
      <c r="A218" s="1"/>
      <c r="B218" s="1"/>
      <c r="C218" s="1">
        <v>4</v>
      </c>
      <c r="D218" s="1" t="s">
        <v>94</v>
      </c>
      <c r="E218" s="1">
        <v>71.66</v>
      </c>
      <c r="F218" s="1"/>
      <c r="G218" s="1"/>
      <c r="H218" s="1">
        <v>8.89</v>
      </c>
      <c r="I218" s="1"/>
      <c r="J218" s="1"/>
      <c r="K218" s="1">
        <v>4.4000000000000004</v>
      </c>
      <c r="L218" s="1"/>
      <c r="N218" s="1" t="s">
        <v>113</v>
      </c>
      <c r="O218" s="57" t="s">
        <v>149</v>
      </c>
      <c r="P218" s="1" t="s">
        <v>94</v>
      </c>
      <c r="Q218" s="6">
        <v>84.95</v>
      </c>
    </row>
    <row r="219" spans="1:17" ht="15" customHeight="1">
      <c r="A219" s="1"/>
      <c r="B219" s="1"/>
      <c r="C219" s="1">
        <v>4</v>
      </c>
      <c r="D219" s="1" t="s">
        <v>95</v>
      </c>
      <c r="E219" s="1">
        <v>73.339999999999989</v>
      </c>
      <c r="F219" s="1"/>
      <c r="G219" s="1"/>
      <c r="H219" s="1">
        <v>17.47</v>
      </c>
      <c r="I219" s="1"/>
      <c r="J219" s="1"/>
      <c r="K219" s="1">
        <v>3.9</v>
      </c>
      <c r="L219" s="1"/>
      <c r="N219" s="1" t="s">
        <v>113</v>
      </c>
      <c r="O219" s="57" t="s">
        <v>149</v>
      </c>
      <c r="P219" s="1" t="s">
        <v>95</v>
      </c>
      <c r="Q219" s="6">
        <v>94.71</v>
      </c>
    </row>
    <row r="220" spans="1:17" ht="15" customHeight="1">
      <c r="A220" s="1"/>
      <c r="B220" s="1"/>
      <c r="C220" s="1">
        <v>4</v>
      </c>
      <c r="D220" s="1" t="s">
        <v>96</v>
      </c>
      <c r="E220" s="1">
        <v>71.539999999999992</v>
      </c>
      <c r="F220" s="1"/>
      <c r="G220" s="1"/>
      <c r="H220" s="1">
        <v>13.83</v>
      </c>
      <c r="I220" s="1"/>
      <c r="J220" s="1"/>
      <c r="K220" s="1">
        <v>4</v>
      </c>
      <c r="L220" s="1"/>
      <c r="N220" s="1" t="s">
        <v>113</v>
      </c>
      <c r="O220" s="57" t="s">
        <v>149</v>
      </c>
      <c r="P220" s="1" t="s">
        <v>96</v>
      </c>
      <c r="Q220" s="6">
        <v>89.36999999999999</v>
      </c>
    </row>
    <row r="221" spans="1:17" ht="15" customHeight="1">
      <c r="A221" s="1"/>
      <c r="B221" s="1"/>
      <c r="C221" s="1">
        <v>4</v>
      </c>
      <c r="D221" s="1" t="s">
        <v>39</v>
      </c>
      <c r="E221" s="1">
        <v>79.27</v>
      </c>
      <c r="F221" s="1"/>
      <c r="G221" s="1"/>
      <c r="H221" s="1">
        <v>8.7100000000000009</v>
      </c>
      <c r="I221" s="1"/>
      <c r="J221" s="1"/>
      <c r="K221" s="1">
        <v>3.4</v>
      </c>
      <c r="L221" s="1"/>
      <c r="N221" s="1" t="s">
        <v>113</v>
      </c>
      <c r="O221" s="57" t="s">
        <v>149</v>
      </c>
      <c r="P221" s="1" t="s">
        <v>39</v>
      </c>
      <c r="Q221" s="6">
        <v>91.38</v>
      </c>
    </row>
    <row r="222" spans="1:17" ht="15" customHeight="1">
      <c r="A222" s="1"/>
      <c r="B222" s="1"/>
      <c r="C222" s="1">
        <v>4</v>
      </c>
      <c r="D222" s="1" t="s">
        <v>97</v>
      </c>
      <c r="E222" s="1">
        <v>62.26</v>
      </c>
      <c r="F222" s="1">
        <f>AVERAGE(E218:E222)</f>
        <v>71.614000000000004</v>
      </c>
      <c r="G222" s="1"/>
      <c r="H222" s="1">
        <v>11.19</v>
      </c>
      <c r="I222" s="1">
        <f>AVERAGE(H218:H222)</f>
        <v>12.017999999999999</v>
      </c>
      <c r="J222" s="1"/>
      <c r="K222" s="1">
        <v>4.7</v>
      </c>
      <c r="L222" s="1">
        <f>AVERAGE(K218:K222)</f>
        <v>4.08</v>
      </c>
      <c r="N222" s="1" t="s">
        <v>113</v>
      </c>
      <c r="O222" s="57" t="s">
        <v>149</v>
      </c>
      <c r="P222" s="1" t="s">
        <v>97</v>
      </c>
      <c r="Q222" s="6">
        <v>78.150000000000006</v>
      </c>
    </row>
    <row r="223" spans="1:17" ht="15.75" customHeight="1">
      <c r="A223" s="6"/>
      <c r="B223" s="6"/>
      <c r="C223" s="6"/>
      <c r="D223" s="6"/>
      <c r="E223" s="6"/>
      <c r="F223" s="6"/>
      <c r="G223" s="6"/>
      <c r="H223" s="6"/>
      <c r="I223" s="6"/>
      <c r="J223" s="6"/>
      <c r="K223" s="6"/>
      <c r="L223" s="6"/>
      <c r="N223" s="57"/>
      <c r="O223" s="6"/>
      <c r="P223" s="57"/>
    </row>
    <row r="224" spans="1:17" ht="15.75" customHeight="1">
      <c r="A224" s="6"/>
      <c r="B224" s="6"/>
      <c r="C224" s="6"/>
      <c r="D224" s="6"/>
      <c r="E224" s="57">
        <f>MAX(E3:E222)</f>
        <v>132.09</v>
      </c>
      <c r="F224" s="6"/>
      <c r="G224" s="6"/>
      <c r="H224" s="6">
        <f>MAX(H3:H222)</f>
        <v>33.340000000000003</v>
      </c>
      <c r="I224" s="6"/>
      <c r="J224" s="6"/>
      <c r="K224" s="57">
        <f>MAX(K3:K222)</f>
        <v>14.2</v>
      </c>
      <c r="L224" s="6"/>
      <c r="N224" s="57"/>
      <c r="O224" s="6"/>
      <c r="P224" s="57"/>
    </row>
    <row r="225" spans="1:16" ht="15.75" customHeight="1">
      <c r="A225" s="6"/>
      <c r="B225" s="6"/>
      <c r="C225" s="6"/>
      <c r="D225" s="6"/>
      <c r="E225" s="6">
        <f>MIN(E3:E222)</f>
        <v>40.35</v>
      </c>
      <c r="F225" s="6"/>
      <c r="G225" s="6"/>
      <c r="H225" s="6"/>
      <c r="I225" s="6"/>
      <c r="J225" s="6"/>
      <c r="K225" s="6"/>
      <c r="L225" s="6"/>
      <c r="N225" s="57"/>
      <c r="O225" s="6"/>
      <c r="P225" s="57"/>
    </row>
    <row r="226" spans="1:16" ht="15.75" customHeight="1">
      <c r="A226" s="6"/>
      <c r="B226" s="6"/>
      <c r="C226" s="6"/>
      <c r="D226" s="6"/>
      <c r="E226" s="6"/>
      <c r="F226" s="6"/>
      <c r="G226" s="6"/>
      <c r="H226" s="6"/>
      <c r="I226" s="6"/>
      <c r="J226" s="6"/>
      <c r="K226" s="6"/>
      <c r="L226" s="6"/>
      <c r="N226" s="57"/>
      <c r="O226" s="6"/>
      <c r="P226" s="57"/>
    </row>
    <row r="227" spans="1:16" ht="15.75" customHeight="1">
      <c r="A227" s="6"/>
      <c r="B227" s="6"/>
      <c r="C227" s="6"/>
      <c r="D227" s="6"/>
      <c r="E227" s="6"/>
      <c r="F227" s="6"/>
      <c r="G227" s="6"/>
      <c r="H227" s="6"/>
      <c r="I227" s="6"/>
      <c r="J227" s="6"/>
      <c r="K227" s="6"/>
      <c r="L227" s="6"/>
      <c r="N227" s="57"/>
      <c r="O227" s="6"/>
      <c r="P227" s="57"/>
    </row>
    <row r="228" spans="1:16" ht="15.75" customHeight="1">
      <c r="A228" s="6"/>
      <c r="B228" s="6"/>
      <c r="C228" s="6"/>
      <c r="D228" s="6"/>
      <c r="E228" s="6" t="s">
        <v>131</v>
      </c>
      <c r="F228" s="6"/>
      <c r="G228" s="6"/>
      <c r="H228" s="6" t="s">
        <v>209</v>
      </c>
      <c r="I228" s="6"/>
      <c r="J228" s="6"/>
      <c r="K228" s="6"/>
      <c r="L228" s="6"/>
      <c r="N228" s="57"/>
      <c r="O228" s="6"/>
      <c r="P228" s="57"/>
    </row>
    <row r="229" spans="1:16" ht="15.75" customHeight="1">
      <c r="A229" s="6"/>
      <c r="B229" s="6"/>
      <c r="C229" s="6"/>
      <c r="D229" s="6"/>
      <c r="E229" s="6" t="s">
        <v>129</v>
      </c>
      <c r="F229" s="6"/>
      <c r="G229" s="6"/>
      <c r="H229" s="6"/>
      <c r="I229" s="6"/>
      <c r="J229" s="6"/>
      <c r="K229" s="6"/>
      <c r="L229" s="6"/>
      <c r="N229" s="57"/>
      <c r="O229" s="6"/>
      <c r="P229" s="5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35"/>
  <sheetViews>
    <sheetView workbookViewId="0"/>
  </sheetViews>
  <sheetFormatPr defaultColWidth="17.28515625" defaultRowHeight="15" customHeight="1"/>
  <cols>
    <col min="1" max="3" width="9.140625" customWidth="1"/>
    <col min="4" max="4" width="6.5703125" customWidth="1"/>
    <col min="5" max="19" width="6.5703125" hidden="1" customWidth="1"/>
    <col min="20" max="20" width="11.85546875" hidden="1" customWidth="1"/>
    <col min="21" max="22" width="9.140625" hidden="1" customWidth="1"/>
    <col min="23" max="28" width="9.140625" customWidth="1"/>
    <col min="29" max="29" width="8.7109375" customWidth="1"/>
    <col min="30" max="35" width="17.28515625" customWidth="1"/>
  </cols>
  <sheetData>
    <row r="1" spans="1:35" ht="18" customHeight="1">
      <c r="A1" s="1"/>
      <c r="B1" s="1"/>
      <c r="C1" s="1"/>
      <c r="D1" s="1"/>
      <c r="E1" s="125" t="s">
        <v>150</v>
      </c>
      <c r="F1" s="115"/>
      <c r="G1" s="115"/>
      <c r="H1" s="115"/>
      <c r="I1" s="115"/>
      <c r="J1" s="115"/>
      <c r="K1" s="115"/>
      <c r="L1" s="115"/>
      <c r="M1" s="115"/>
      <c r="N1" s="115"/>
      <c r="O1" s="115"/>
      <c r="P1" s="115"/>
      <c r="Q1" s="115"/>
      <c r="R1" s="115"/>
      <c r="S1" s="115"/>
      <c r="T1" s="1"/>
      <c r="U1" s="1"/>
      <c r="V1" s="1"/>
      <c r="W1" s="2" t="s">
        <v>151</v>
      </c>
      <c r="X1" s="1"/>
      <c r="Y1" s="1"/>
      <c r="Z1" s="1"/>
      <c r="AA1" s="2" t="s">
        <v>152</v>
      </c>
      <c r="AB1" s="1"/>
      <c r="AC1" s="6"/>
      <c r="AD1" s="66"/>
    </row>
    <row r="2" spans="1:35" ht="15" customHeight="1">
      <c r="A2" s="3" t="s">
        <v>3</v>
      </c>
      <c r="B2" s="3" t="s">
        <v>5</v>
      </c>
      <c r="C2" s="3" t="s">
        <v>6</v>
      </c>
      <c r="D2" s="3" t="s">
        <v>7</v>
      </c>
      <c r="E2" s="3" t="s">
        <v>8</v>
      </c>
      <c r="F2" s="3" t="s">
        <v>12</v>
      </c>
      <c r="G2" s="3" t="s">
        <v>153</v>
      </c>
      <c r="H2" s="3" t="s">
        <v>154</v>
      </c>
      <c r="I2" s="3" t="s">
        <v>11</v>
      </c>
      <c r="J2" s="3" t="s">
        <v>12</v>
      </c>
      <c r="K2" s="3" t="s">
        <v>13</v>
      </c>
      <c r="L2" s="3" t="s">
        <v>14</v>
      </c>
      <c r="M2" s="3" t="s">
        <v>15</v>
      </c>
      <c r="N2" s="1" t="s">
        <v>16</v>
      </c>
      <c r="O2" s="1" t="s">
        <v>19</v>
      </c>
      <c r="P2" s="1" t="s">
        <v>20</v>
      </c>
      <c r="Q2" s="1" t="s">
        <v>155</v>
      </c>
      <c r="R2" s="1" t="s">
        <v>156</v>
      </c>
      <c r="S2" s="1" t="s">
        <v>157</v>
      </c>
      <c r="T2" s="1" t="s">
        <v>26</v>
      </c>
      <c r="U2" s="1" t="s">
        <v>27</v>
      </c>
      <c r="V2" s="1"/>
      <c r="W2" s="1" t="s">
        <v>36</v>
      </c>
      <c r="X2" s="1" t="s">
        <v>27</v>
      </c>
      <c r="Y2" s="1"/>
      <c r="Z2" s="1"/>
      <c r="AA2" s="1" t="s">
        <v>36</v>
      </c>
      <c r="AB2" s="1" t="s">
        <v>27</v>
      </c>
      <c r="AC2" s="6"/>
      <c r="AD2" s="66" t="s">
        <v>158</v>
      </c>
    </row>
    <row r="3" spans="1:35" ht="15" customHeight="1">
      <c r="A3" s="1" t="s">
        <v>37</v>
      </c>
      <c r="B3" s="1" t="s">
        <v>39</v>
      </c>
      <c r="C3" s="1">
        <v>1</v>
      </c>
      <c r="D3" s="1" t="s">
        <v>94</v>
      </c>
      <c r="E3" s="10"/>
      <c r="F3" s="10"/>
      <c r="G3" s="10"/>
      <c r="H3" s="10"/>
      <c r="I3" s="10"/>
      <c r="J3" s="10"/>
      <c r="K3" s="10"/>
      <c r="L3" s="10"/>
      <c r="M3" s="10"/>
      <c r="N3" s="10"/>
      <c r="O3" s="10"/>
      <c r="P3" s="10"/>
      <c r="Q3" s="10"/>
      <c r="R3" s="10"/>
      <c r="S3" s="10"/>
      <c r="T3" s="1">
        <v>59.7</v>
      </c>
      <c r="U3" s="1"/>
      <c r="V3" s="1"/>
      <c r="W3" s="1">
        <v>8.4</v>
      </c>
      <c r="X3" s="1"/>
      <c r="Y3" s="1"/>
      <c r="Z3" s="1"/>
      <c r="AA3" s="1">
        <v>4.29</v>
      </c>
      <c r="AB3" s="1"/>
      <c r="AC3" s="1"/>
      <c r="AD3" s="66">
        <f t="shared" ref="AD3:AD222" si="0">SUM(T3,W3,AA3)</f>
        <v>72.390000000000015</v>
      </c>
    </row>
    <row r="4" spans="1:35" ht="15" customHeight="1">
      <c r="A4" s="1"/>
      <c r="B4" s="1"/>
      <c r="C4" s="1">
        <v>1</v>
      </c>
      <c r="D4" s="1" t="s">
        <v>95</v>
      </c>
      <c r="E4" s="10"/>
      <c r="F4" s="10"/>
      <c r="G4" s="10"/>
      <c r="H4" s="10"/>
      <c r="I4" s="10"/>
      <c r="J4" s="10"/>
      <c r="K4" s="10"/>
      <c r="L4" s="10"/>
      <c r="M4" s="10"/>
      <c r="N4" s="10"/>
      <c r="O4" s="10"/>
      <c r="P4" s="10"/>
      <c r="Q4" s="10"/>
      <c r="R4" s="10"/>
      <c r="S4" s="10"/>
      <c r="T4" s="1">
        <v>49.7</v>
      </c>
      <c r="U4" s="1"/>
      <c r="V4" s="1"/>
      <c r="W4" s="1">
        <v>14.1</v>
      </c>
      <c r="X4" s="1"/>
      <c r="Y4" s="1"/>
      <c r="Z4" s="1"/>
      <c r="AA4" s="1">
        <v>4.37</v>
      </c>
      <c r="AB4" s="1"/>
      <c r="AC4" s="1"/>
      <c r="AD4" s="66">
        <f t="shared" si="0"/>
        <v>68.17</v>
      </c>
    </row>
    <row r="5" spans="1:35" ht="15" customHeight="1">
      <c r="A5" s="1"/>
      <c r="B5" s="1"/>
      <c r="C5" s="1">
        <v>1</v>
      </c>
      <c r="D5" s="1" t="s">
        <v>96</v>
      </c>
      <c r="E5" s="10"/>
      <c r="F5" s="10"/>
      <c r="G5" s="10"/>
      <c r="H5" s="10"/>
      <c r="I5" s="10"/>
      <c r="J5" s="10"/>
      <c r="K5" s="10"/>
      <c r="L5" s="10"/>
      <c r="M5" s="10"/>
      <c r="N5" s="10"/>
      <c r="O5" s="10"/>
      <c r="P5" s="10"/>
      <c r="Q5" s="10"/>
      <c r="R5" s="10"/>
      <c r="S5" s="10"/>
      <c r="T5" s="35">
        <v>155.39999999999998</v>
      </c>
      <c r="U5" s="1"/>
      <c r="V5" s="1"/>
      <c r="W5" s="1">
        <v>12.1</v>
      </c>
      <c r="X5" s="1"/>
      <c r="Y5" s="1"/>
      <c r="Z5" s="1"/>
      <c r="AA5" s="1">
        <v>5.75</v>
      </c>
      <c r="AB5" s="1"/>
      <c r="AC5" s="1"/>
      <c r="AD5" s="66">
        <f t="shared" si="0"/>
        <v>173.24999999999997</v>
      </c>
    </row>
    <row r="6" spans="1:35" ht="15" customHeight="1">
      <c r="A6" s="1"/>
      <c r="B6" s="1"/>
      <c r="C6" s="1">
        <v>1</v>
      </c>
      <c r="D6" s="1" t="s">
        <v>39</v>
      </c>
      <c r="E6" s="10"/>
      <c r="F6" s="10"/>
      <c r="G6" s="10"/>
      <c r="H6" s="10"/>
      <c r="I6" s="10"/>
      <c r="J6" s="10"/>
      <c r="K6" s="10"/>
      <c r="L6" s="10"/>
      <c r="M6" s="10"/>
      <c r="N6" s="10"/>
      <c r="O6" s="10"/>
      <c r="P6" s="10"/>
      <c r="Q6" s="10"/>
      <c r="R6" s="10"/>
      <c r="S6" s="10"/>
      <c r="T6" s="1">
        <v>64.599999999999994</v>
      </c>
      <c r="U6" s="1"/>
      <c r="V6" s="1"/>
      <c r="W6" s="1">
        <v>32.799999999999997</v>
      </c>
      <c r="X6" s="1"/>
      <c r="Y6" s="1"/>
      <c r="Z6" s="1"/>
      <c r="AA6" s="1">
        <v>4.4800000000000004</v>
      </c>
      <c r="AB6" s="1"/>
      <c r="AC6" s="1"/>
      <c r="AD6" s="66">
        <f t="shared" si="0"/>
        <v>101.88</v>
      </c>
    </row>
    <row r="7" spans="1:35" ht="15" customHeight="1">
      <c r="A7" s="1"/>
      <c r="B7" s="1"/>
      <c r="C7" s="1">
        <v>1</v>
      </c>
      <c r="D7" s="1" t="s">
        <v>97</v>
      </c>
      <c r="E7" s="10"/>
      <c r="F7" s="10"/>
      <c r="G7" s="10"/>
      <c r="H7" s="10"/>
      <c r="I7" s="10"/>
      <c r="J7" s="10"/>
      <c r="K7" s="10"/>
      <c r="L7" s="10"/>
      <c r="M7" s="10"/>
      <c r="N7" s="10"/>
      <c r="O7" s="10"/>
      <c r="P7" s="10"/>
      <c r="Q7" s="10"/>
      <c r="R7" s="10"/>
      <c r="S7" s="10"/>
      <c r="T7" s="1">
        <v>67.3</v>
      </c>
      <c r="U7" s="1">
        <f>AVERAGE(T3:T7)</f>
        <v>79.34</v>
      </c>
      <c r="V7" s="1"/>
      <c r="W7" s="1">
        <v>11.3</v>
      </c>
      <c r="X7" s="1">
        <f>AVERAGE(W3:W7)</f>
        <v>15.74</v>
      </c>
      <c r="Y7" s="1"/>
      <c r="Z7" s="1"/>
      <c r="AA7" s="1">
        <v>6.34</v>
      </c>
      <c r="AB7" s="1">
        <f>AVERAGE(AA3:AA7)</f>
        <v>5.0460000000000003</v>
      </c>
      <c r="AC7" s="1"/>
      <c r="AD7" s="66">
        <f t="shared" si="0"/>
        <v>84.94</v>
      </c>
      <c r="AF7" s="57" t="s">
        <v>89</v>
      </c>
      <c r="AG7" s="57" t="s">
        <v>90</v>
      </c>
      <c r="AH7" s="57" t="s">
        <v>88</v>
      </c>
      <c r="AI7" s="57" t="s">
        <v>87</v>
      </c>
    </row>
    <row r="8" spans="1:35" ht="15" customHeight="1">
      <c r="A8" s="1"/>
      <c r="B8" s="1"/>
      <c r="C8" s="1">
        <v>2</v>
      </c>
      <c r="D8" s="1" t="s">
        <v>94</v>
      </c>
      <c r="E8" s="10"/>
      <c r="F8" s="10"/>
      <c r="G8" s="10"/>
      <c r="H8" s="10"/>
      <c r="I8" s="10"/>
      <c r="J8" s="10"/>
      <c r="K8" s="10"/>
      <c r="L8" s="10"/>
      <c r="M8" s="10"/>
      <c r="N8" s="10"/>
      <c r="O8" s="10"/>
      <c r="P8" s="10"/>
      <c r="Q8" s="10"/>
      <c r="R8" s="10"/>
      <c r="S8" s="10"/>
      <c r="T8" s="1">
        <v>56.9</v>
      </c>
      <c r="U8" s="1"/>
      <c r="V8" s="1"/>
      <c r="W8" s="1">
        <v>3.7</v>
      </c>
      <c r="X8" s="1"/>
      <c r="Y8" s="1"/>
      <c r="Z8" s="1"/>
      <c r="AA8" s="1">
        <v>3.29</v>
      </c>
      <c r="AB8" s="1"/>
      <c r="AC8" s="1"/>
      <c r="AD8" s="66">
        <f t="shared" si="0"/>
        <v>63.89</v>
      </c>
      <c r="AF8" s="6">
        <v>72.390000000000015</v>
      </c>
      <c r="AG8" s="6">
        <v>63.89</v>
      </c>
      <c r="AH8" s="6">
        <v>90.614999999999981</v>
      </c>
      <c r="AI8" s="6">
        <v>91.149999999999991</v>
      </c>
    </row>
    <row r="9" spans="1:35" ht="15" customHeight="1">
      <c r="A9" s="1"/>
      <c r="B9" s="1"/>
      <c r="C9" s="1">
        <v>2</v>
      </c>
      <c r="D9" s="1" t="s">
        <v>95</v>
      </c>
      <c r="E9" s="10"/>
      <c r="F9" s="10"/>
      <c r="G9" s="10"/>
      <c r="H9" s="10"/>
      <c r="I9" s="10"/>
      <c r="J9" s="10"/>
      <c r="K9" s="10"/>
      <c r="L9" s="10"/>
      <c r="M9" s="10"/>
      <c r="N9" s="10"/>
      <c r="O9" s="10"/>
      <c r="P9" s="10"/>
      <c r="Q9" s="10"/>
      <c r="R9" s="10"/>
      <c r="S9" s="10"/>
      <c r="T9" s="1">
        <v>78.5</v>
      </c>
      <c r="U9" s="1"/>
      <c r="V9" s="1"/>
      <c r="W9" s="1">
        <v>13.7</v>
      </c>
      <c r="X9" s="1"/>
      <c r="Y9" s="1"/>
      <c r="Z9" s="1"/>
      <c r="AA9" s="1">
        <v>3.97</v>
      </c>
      <c r="AB9" s="1"/>
      <c r="AC9" s="1"/>
      <c r="AD9" s="66">
        <f t="shared" si="0"/>
        <v>96.17</v>
      </c>
      <c r="AF9" s="6">
        <v>68.17</v>
      </c>
      <c r="AG9" s="6">
        <v>96.17</v>
      </c>
      <c r="AH9" s="6">
        <v>129.45999999999998</v>
      </c>
      <c r="AI9" s="6">
        <v>73.820000000000007</v>
      </c>
    </row>
    <row r="10" spans="1:35" ht="15" customHeight="1">
      <c r="A10" s="1"/>
      <c r="B10" s="1"/>
      <c r="C10" s="1">
        <v>2</v>
      </c>
      <c r="D10" s="1" t="s">
        <v>96</v>
      </c>
      <c r="E10" s="10"/>
      <c r="F10" s="10"/>
      <c r="G10" s="10"/>
      <c r="H10" s="10"/>
      <c r="I10" s="10"/>
      <c r="J10" s="10"/>
      <c r="K10" s="10"/>
      <c r="L10" s="10"/>
      <c r="M10" s="10"/>
      <c r="N10" s="10"/>
      <c r="O10" s="10"/>
      <c r="P10" s="10"/>
      <c r="Q10" s="10"/>
      <c r="R10" s="10"/>
      <c r="S10" s="10"/>
      <c r="T10" s="1">
        <v>52.1</v>
      </c>
      <c r="U10" s="1"/>
      <c r="V10" s="1"/>
      <c r="W10" s="1">
        <v>9.1</v>
      </c>
      <c r="X10" s="1"/>
      <c r="Y10" s="1"/>
      <c r="Z10" s="1"/>
      <c r="AA10" s="1">
        <v>2.62</v>
      </c>
      <c r="AB10" s="1"/>
      <c r="AC10" s="1"/>
      <c r="AD10" s="66">
        <f t="shared" si="0"/>
        <v>63.82</v>
      </c>
      <c r="AF10" s="6">
        <v>173.24999999999997</v>
      </c>
      <c r="AG10" s="6">
        <v>63.82</v>
      </c>
      <c r="AH10" s="6">
        <v>107.31000000000002</v>
      </c>
      <c r="AI10" s="6">
        <v>98.08</v>
      </c>
    </row>
    <row r="11" spans="1:35" ht="15" customHeight="1">
      <c r="A11" s="1"/>
      <c r="B11" s="1"/>
      <c r="C11" s="1">
        <v>2</v>
      </c>
      <c r="D11" s="1" t="s">
        <v>39</v>
      </c>
      <c r="E11" s="10"/>
      <c r="F11" s="10"/>
      <c r="G11" s="10"/>
      <c r="H11" s="10"/>
      <c r="I11" s="10"/>
      <c r="J11" s="10"/>
      <c r="K11" s="10"/>
      <c r="L11" s="10"/>
      <c r="M11" s="10"/>
      <c r="N11" s="10"/>
      <c r="O11" s="10"/>
      <c r="P11" s="10"/>
      <c r="Q11" s="10"/>
      <c r="R11" s="10"/>
      <c r="S11" s="10"/>
      <c r="T11" s="1">
        <v>62.7</v>
      </c>
      <c r="U11" s="1"/>
      <c r="V11" s="1"/>
      <c r="W11" s="1">
        <v>6.6</v>
      </c>
      <c r="X11" s="1"/>
      <c r="Y11" s="1"/>
      <c r="Z11" s="1"/>
      <c r="AA11" s="1">
        <v>5.92</v>
      </c>
      <c r="AB11" s="1"/>
      <c r="AC11" s="1"/>
      <c r="AD11" s="66">
        <f t="shared" si="0"/>
        <v>75.22</v>
      </c>
      <c r="AF11" s="6">
        <v>101.88</v>
      </c>
      <c r="AG11" s="6">
        <v>75.22</v>
      </c>
      <c r="AH11" s="6">
        <v>73.039999999999992</v>
      </c>
      <c r="AI11" s="6">
        <v>82.82</v>
      </c>
    </row>
    <row r="12" spans="1:35" ht="15" customHeight="1">
      <c r="A12" s="1"/>
      <c r="B12" s="1"/>
      <c r="C12" s="1">
        <v>2</v>
      </c>
      <c r="D12" s="1" t="s">
        <v>97</v>
      </c>
      <c r="E12" s="10"/>
      <c r="F12" s="10"/>
      <c r="G12" s="10"/>
      <c r="H12" s="10"/>
      <c r="I12" s="10"/>
      <c r="J12" s="10"/>
      <c r="K12" s="10"/>
      <c r="L12" s="10"/>
      <c r="M12" s="10"/>
      <c r="N12" s="10"/>
      <c r="O12" s="10"/>
      <c r="P12" s="10"/>
      <c r="Q12" s="10"/>
      <c r="R12" s="10"/>
      <c r="S12" s="10"/>
      <c r="T12" s="1">
        <v>63.4</v>
      </c>
      <c r="U12" s="1">
        <f>AVERAGE(T8:T12)</f>
        <v>62.719999999999992</v>
      </c>
      <c r="V12" s="1"/>
      <c r="W12" s="1">
        <v>12.4</v>
      </c>
      <c r="X12" s="1">
        <f>AVERAGE(W8:W12)</f>
        <v>9.1</v>
      </c>
      <c r="Y12" s="1"/>
      <c r="Z12" s="1"/>
      <c r="AA12" s="1">
        <v>3.53</v>
      </c>
      <c r="AB12" s="1">
        <f>AVERAGE(AA8:AA12)</f>
        <v>3.8659999999999997</v>
      </c>
      <c r="AC12" s="1"/>
      <c r="AD12" s="66">
        <f t="shared" si="0"/>
        <v>79.33</v>
      </c>
      <c r="AF12" s="6">
        <v>84.94</v>
      </c>
      <c r="AG12" s="6">
        <v>79.33</v>
      </c>
      <c r="AH12" s="6">
        <v>74.67</v>
      </c>
      <c r="AI12" s="6">
        <v>96.13000000000001</v>
      </c>
    </row>
    <row r="13" spans="1:35" ht="15" customHeight="1">
      <c r="A13" s="1"/>
      <c r="B13" s="1"/>
      <c r="C13" s="1">
        <v>3</v>
      </c>
      <c r="D13" s="1" t="s">
        <v>94</v>
      </c>
      <c r="E13" s="10"/>
      <c r="F13" s="10"/>
      <c r="G13" s="10"/>
      <c r="H13" s="10"/>
      <c r="I13" s="10"/>
      <c r="J13" s="10"/>
      <c r="K13" s="10"/>
      <c r="L13" s="10"/>
      <c r="M13" s="10"/>
      <c r="N13" s="10"/>
      <c r="O13" s="10"/>
      <c r="P13" s="10"/>
      <c r="Q13" s="10"/>
      <c r="R13" s="10"/>
      <c r="S13" s="10"/>
      <c r="T13" s="8">
        <f>AVERAGE(T14:T17)</f>
        <v>76.024999999999991</v>
      </c>
      <c r="U13" s="1"/>
      <c r="V13" s="1"/>
      <c r="W13" s="1">
        <v>12.6</v>
      </c>
      <c r="X13" s="1"/>
      <c r="Y13" s="1"/>
      <c r="Z13" s="1"/>
      <c r="AA13" s="1">
        <v>1.99</v>
      </c>
      <c r="AB13" s="1"/>
      <c r="AC13" s="1"/>
      <c r="AD13" s="66">
        <f t="shared" si="0"/>
        <v>90.614999999999981</v>
      </c>
    </row>
    <row r="14" spans="1:35" ht="15" customHeight="1">
      <c r="A14" s="1"/>
      <c r="B14" s="1"/>
      <c r="C14" s="1">
        <v>3</v>
      </c>
      <c r="D14" s="1" t="s">
        <v>95</v>
      </c>
      <c r="E14" s="10"/>
      <c r="F14" s="10"/>
      <c r="G14" s="10"/>
      <c r="H14" s="10"/>
      <c r="I14" s="10"/>
      <c r="J14" s="10"/>
      <c r="K14" s="10"/>
      <c r="L14" s="10"/>
      <c r="M14" s="10"/>
      <c r="N14" s="10"/>
      <c r="O14" s="10"/>
      <c r="P14" s="10"/>
      <c r="Q14" s="10"/>
      <c r="R14" s="10"/>
      <c r="S14" s="10"/>
      <c r="T14" s="1">
        <v>114.3</v>
      </c>
      <c r="U14" s="1"/>
      <c r="V14" s="1"/>
      <c r="W14" s="1">
        <v>12.1</v>
      </c>
      <c r="X14" s="1"/>
      <c r="Y14" s="1"/>
      <c r="Z14" s="1"/>
      <c r="AA14" s="1">
        <v>3.06</v>
      </c>
      <c r="AB14" s="1"/>
      <c r="AC14" s="1"/>
      <c r="AD14" s="66">
        <f t="shared" si="0"/>
        <v>129.45999999999998</v>
      </c>
      <c r="AF14" s="57" t="s">
        <v>87</v>
      </c>
      <c r="AG14" s="57" t="s">
        <v>149</v>
      </c>
      <c r="AH14" s="57" t="s">
        <v>89</v>
      </c>
      <c r="AI14" s="57" t="s">
        <v>90</v>
      </c>
    </row>
    <row r="15" spans="1:35" ht="15" customHeight="1">
      <c r="A15" s="1"/>
      <c r="B15" s="1"/>
      <c r="C15" s="1">
        <v>3</v>
      </c>
      <c r="D15" s="1" t="s">
        <v>96</v>
      </c>
      <c r="E15" s="10"/>
      <c r="F15" s="10"/>
      <c r="G15" s="10"/>
      <c r="H15" s="10"/>
      <c r="I15" s="10"/>
      <c r="J15" s="10"/>
      <c r="K15" s="10"/>
      <c r="L15" s="10"/>
      <c r="M15" s="10"/>
      <c r="N15" s="10"/>
      <c r="O15" s="10"/>
      <c r="P15" s="10"/>
      <c r="Q15" s="10"/>
      <c r="R15" s="10"/>
      <c r="S15" s="10"/>
      <c r="T15" s="1">
        <v>67.2</v>
      </c>
      <c r="U15" s="1"/>
      <c r="V15" s="1"/>
      <c r="W15" s="1">
        <v>35.6</v>
      </c>
      <c r="X15" s="1"/>
      <c r="Y15" s="1"/>
      <c r="Z15" s="1"/>
      <c r="AA15" s="1">
        <v>4.51</v>
      </c>
      <c r="AB15" s="1"/>
      <c r="AC15" s="1"/>
      <c r="AD15" s="66">
        <f t="shared" si="0"/>
        <v>107.31000000000002</v>
      </c>
      <c r="AF15" s="6">
        <v>104.75</v>
      </c>
      <c r="AG15" s="6">
        <v>91.469999999999985</v>
      </c>
      <c r="AH15" s="6">
        <v>116.44</v>
      </c>
      <c r="AI15" s="6">
        <v>88.060000000000016</v>
      </c>
    </row>
    <row r="16" spans="1:35" ht="15" customHeight="1">
      <c r="A16" s="1"/>
      <c r="B16" s="1"/>
      <c r="C16" s="1">
        <v>3</v>
      </c>
      <c r="D16" s="1" t="s">
        <v>39</v>
      </c>
      <c r="E16" s="10"/>
      <c r="F16" s="10"/>
      <c r="G16" s="10"/>
      <c r="H16" s="10"/>
      <c r="I16" s="10"/>
      <c r="J16" s="10"/>
      <c r="K16" s="10"/>
      <c r="L16" s="10"/>
      <c r="M16" s="10"/>
      <c r="N16" s="10"/>
      <c r="O16" s="10"/>
      <c r="P16" s="10"/>
      <c r="Q16" s="10"/>
      <c r="R16" s="10"/>
      <c r="S16" s="10"/>
      <c r="T16" s="1">
        <v>63.7</v>
      </c>
      <c r="U16" s="1"/>
      <c r="V16" s="1"/>
      <c r="W16" s="1">
        <v>3.6</v>
      </c>
      <c r="X16" s="1"/>
      <c r="Y16" s="1"/>
      <c r="Z16" s="1"/>
      <c r="AA16" s="1">
        <v>5.74</v>
      </c>
      <c r="AB16" s="1"/>
      <c r="AC16" s="1"/>
      <c r="AD16" s="66">
        <f t="shared" si="0"/>
        <v>73.039999999999992</v>
      </c>
      <c r="AF16" s="6">
        <v>76.55</v>
      </c>
      <c r="AG16" s="6">
        <v>83.43</v>
      </c>
      <c r="AH16" s="6">
        <v>69.73</v>
      </c>
      <c r="AI16" s="6">
        <v>73.23</v>
      </c>
    </row>
    <row r="17" spans="1:35" ht="15" customHeight="1">
      <c r="A17" s="1"/>
      <c r="B17" s="1"/>
      <c r="C17" s="1">
        <v>3</v>
      </c>
      <c r="D17" s="1" t="s">
        <v>97</v>
      </c>
      <c r="E17" s="10"/>
      <c r="F17" s="10"/>
      <c r="G17" s="10"/>
      <c r="H17" s="10"/>
      <c r="I17" s="10"/>
      <c r="J17" s="10"/>
      <c r="K17" s="10"/>
      <c r="L17" s="10"/>
      <c r="M17" s="10"/>
      <c r="N17" s="10"/>
      <c r="O17" s="10"/>
      <c r="P17" s="10"/>
      <c r="Q17" s="10"/>
      <c r="R17" s="10"/>
      <c r="S17" s="10"/>
      <c r="T17" s="1">
        <v>58.9</v>
      </c>
      <c r="U17" s="1">
        <f>AVERAGE(T13:T17)</f>
        <v>76.024999999999991</v>
      </c>
      <c r="V17" s="1"/>
      <c r="W17" s="1">
        <v>11.5</v>
      </c>
      <c r="X17" s="1">
        <f>AVERAGE(W13:W17)</f>
        <v>15.080000000000002</v>
      </c>
      <c r="Y17" s="1"/>
      <c r="Z17" s="1"/>
      <c r="AA17" s="1">
        <v>4.2699999999999996</v>
      </c>
      <c r="AB17" s="1">
        <f>AVERAGE(AA13:AA17)</f>
        <v>3.9140000000000001</v>
      </c>
      <c r="AC17" s="1"/>
      <c r="AD17" s="66">
        <f t="shared" si="0"/>
        <v>74.67</v>
      </c>
      <c r="AF17" s="6">
        <v>84.61</v>
      </c>
      <c r="AG17" s="6">
        <v>87.88</v>
      </c>
      <c r="AH17" s="6">
        <v>174.85999999999996</v>
      </c>
      <c r="AI17" s="6">
        <v>105.30999999999999</v>
      </c>
    </row>
    <row r="18" spans="1:35" ht="15" customHeight="1">
      <c r="A18" s="1"/>
      <c r="B18" s="1"/>
      <c r="C18" s="1">
        <v>4</v>
      </c>
      <c r="D18" s="1" t="s">
        <v>94</v>
      </c>
      <c r="E18" s="10"/>
      <c r="F18" s="10"/>
      <c r="G18" s="10"/>
      <c r="H18" s="10"/>
      <c r="I18" s="10"/>
      <c r="J18" s="10"/>
      <c r="K18" s="10"/>
      <c r="L18" s="10"/>
      <c r="M18" s="10"/>
      <c r="N18" s="10"/>
      <c r="O18" s="10"/>
      <c r="P18" s="10"/>
      <c r="Q18" s="10"/>
      <c r="R18" s="10"/>
      <c r="S18" s="10"/>
      <c r="T18" s="1">
        <v>72.3</v>
      </c>
      <c r="U18" s="1"/>
      <c r="V18" s="1"/>
      <c r="W18" s="1">
        <v>10.6</v>
      </c>
      <c r="X18" s="1"/>
      <c r="Y18" s="1"/>
      <c r="Z18" s="1"/>
      <c r="AA18" s="1">
        <v>8.25</v>
      </c>
      <c r="AB18" s="1"/>
      <c r="AC18" s="1"/>
      <c r="AD18" s="66">
        <f t="shared" si="0"/>
        <v>91.149999999999991</v>
      </c>
      <c r="AF18" s="6">
        <v>79.06</v>
      </c>
      <c r="AG18" s="6">
        <v>115.83000000000001</v>
      </c>
      <c r="AH18" s="6">
        <v>126.78999999999999</v>
      </c>
      <c r="AI18" s="6">
        <v>85.359999999999985</v>
      </c>
    </row>
    <row r="19" spans="1:35" ht="15" customHeight="1">
      <c r="A19" s="1"/>
      <c r="B19" s="1"/>
      <c r="C19" s="1">
        <v>4</v>
      </c>
      <c r="D19" s="1" t="s">
        <v>95</v>
      </c>
      <c r="E19" s="10"/>
      <c r="F19" s="10"/>
      <c r="G19" s="10"/>
      <c r="H19" s="10"/>
      <c r="I19" s="10"/>
      <c r="J19" s="10"/>
      <c r="K19" s="10"/>
      <c r="L19" s="10"/>
      <c r="M19" s="10"/>
      <c r="N19" s="10"/>
      <c r="O19" s="10"/>
      <c r="P19" s="10"/>
      <c r="Q19" s="10"/>
      <c r="R19" s="10"/>
      <c r="S19" s="10"/>
      <c r="T19" s="1">
        <v>58.2</v>
      </c>
      <c r="U19" s="1"/>
      <c r="V19" s="1"/>
      <c r="W19" s="1">
        <v>11.4</v>
      </c>
      <c r="X19" s="1"/>
      <c r="Y19" s="1"/>
      <c r="Z19" s="1"/>
      <c r="AA19" s="1">
        <v>4.22</v>
      </c>
      <c r="AB19" s="1"/>
      <c r="AC19" s="1"/>
      <c r="AD19" s="66">
        <f t="shared" si="0"/>
        <v>73.820000000000007</v>
      </c>
      <c r="AF19" s="6">
        <v>84.76</v>
      </c>
      <c r="AG19" s="6">
        <v>81.13</v>
      </c>
      <c r="AH19" s="6">
        <v>107.62000000000002</v>
      </c>
      <c r="AI19" s="6">
        <v>94.29</v>
      </c>
    </row>
    <row r="20" spans="1:35" ht="15" customHeight="1">
      <c r="A20" s="1"/>
      <c r="B20" s="1"/>
      <c r="C20" s="1">
        <v>4</v>
      </c>
      <c r="D20" s="1" t="s">
        <v>96</v>
      </c>
      <c r="E20" s="10"/>
      <c r="F20" s="10"/>
      <c r="G20" s="10"/>
      <c r="H20" s="10"/>
      <c r="I20" s="10"/>
      <c r="J20" s="10"/>
      <c r="K20" s="10"/>
      <c r="L20" s="10"/>
      <c r="M20" s="10"/>
      <c r="N20" s="10"/>
      <c r="O20" s="10"/>
      <c r="P20" s="10"/>
      <c r="Q20" s="10"/>
      <c r="R20" s="10"/>
      <c r="S20" s="10"/>
      <c r="T20" s="1">
        <v>78.5</v>
      </c>
      <c r="U20" s="1"/>
      <c r="V20" s="1"/>
      <c r="W20" s="1">
        <v>14.2</v>
      </c>
      <c r="X20" s="1"/>
      <c r="Y20" s="1"/>
      <c r="Z20" s="1"/>
      <c r="AA20" s="1">
        <v>5.38</v>
      </c>
      <c r="AB20" s="1"/>
      <c r="AC20" s="1"/>
      <c r="AD20" s="66">
        <f t="shared" si="0"/>
        <v>98.08</v>
      </c>
    </row>
    <row r="21" spans="1:35" ht="15" customHeight="1">
      <c r="A21" s="1"/>
      <c r="B21" s="1"/>
      <c r="C21" s="1">
        <v>4</v>
      </c>
      <c r="D21" s="1" t="s">
        <v>39</v>
      </c>
      <c r="E21" s="10"/>
      <c r="F21" s="10"/>
      <c r="G21" s="10"/>
      <c r="H21" s="10"/>
      <c r="I21" s="10"/>
      <c r="J21" s="10"/>
      <c r="K21" s="10"/>
      <c r="L21" s="10"/>
      <c r="M21" s="10"/>
      <c r="N21" s="10"/>
      <c r="O21" s="10"/>
      <c r="P21" s="10"/>
      <c r="Q21" s="10"/>
      <c r="R21" s="10"/>
      <c r="S21" s="10"/>
      <c r="T21" s="1">
        <v>67.3</v>
      </c>
      <c r="U21" s="1"/>
      <c r="V21" s="1"/>
      <c r="W21" s="1">
        <v>11.3</v>
      </c>
      <c r="X21" s="1"/>
      <c r="Y21" s="1"/>
      <c r="Z21" s="1"/>
      <c r="AA21" s="1">
        <v>4.22</v>
      </c>
      <c r="AB21" s="1"/>
      <c r="AC21" s="1"/>
      <c r="AD21" s="66">
        <f t="shared" si="0"/>
        <v>82.82</v>
      </c>
    </row>
    <row r="22" spans="1:35" ht="15" customHeight="1">
      <c r="A22" s="1"/>
      <c r="B22" s="1"/>
      <c r="C22" s="1">
        <v>4</v>
      </c>
      <c r="D22" s="1" t="s">
        <v>97</v>
      </c>
      <c r="E22" s="10"/>
      <c r="F22" s="10"/>
      <c r="G22" s="10"/>
      <c r="H22" s="10"/>
      <c r="I22" s="10"/>
      <c r="J22" s="10"/>
      <c r="K22" s="10"/>
      <c r="L22" s="10"/>
      <c r="M22" s="10"/>
      <c r="N22" s="10"/>
      <c r="O22" s="10"/>
      <c r="P22" s="10"/>
      <c r="Q22" s="10"/>
      <c r="R22" s="10"/>
      <c r="S22" s="10"/>
      <c r="T22" s="1">
        <v>68.7</v>
      </c>
      <c r="U22" s="1">
        <f>AVERAGE(T18:T22)</f>
        <v>69</v>
      </c>
      <c r="V22" s="1"/>
      <c r="W22" s="1">
        <v>21.1</v>
      </c>
      <c r="X22" s="1">
        <f>AVERAGE(W18:W22)</f>
        <v>13.719999999999999</v>
      </c>
      <c r="Y22" s="1"/>
      <c r="Z22" s="1"/>
      <c r="AA22" s="1">
        <v>6.33</v>
      </c>
      <c r="AB22" s="1">
        <f>AVERAGE(AA18:AA22)</f>
        <v>5.68</v>
      </c>
      <c r="AC22" s="1" t="s">
        <v>168</v>
      </c>
      <c r="AD22" s="66">
        <f t="shared" si="0"/>
        <v>96.13000000000001</v>
      </c>
    </row>
    <row r="23" spans="1:35" ht="15" customHeight="1">
      <c r="A23" s="1" t="s">
        <v>37</v>
      </c>
      <c r="B23" s="1" t="s">
        <v>77</v>
      </c>
      <c r="C23" s="1">
        <v>1</v>
      </c>
      <c r="D23" s="1" t="s">
        <v>94</v>
      </c>
      <c r="E23" s="1"/>
      <c r="F23" s="1">
        <v>20.399999999999999</v>
      </c>
      <c r="G23" s="1">
        <v>8.4</v>
      </c>
      <c r="H23" s="1">
        <v>1.1000000000000001</v>
      </c>
      <c r="I23" s="1">
        <v>1.9</v>
      </c>
      <c r="J23" s="1">
        <v>19.100000000000001</v>
      </c>
      <c r="K23" s="1">
        <v>0.4</v>
      </c>
      <c r="L23" s="1">
        <v>0.5</v>
      </c>
      <c r="M23" s="1">
        <v>1.9</v>
      </c>
      <c r="N23" s="1">
        <v>19.100000000000001</v>
      </c>
      <c r="O23" s="1">
        <v>0.4</v>
      </c>
      <c r="P23" s="1">
        <v>0.5</v>
      </c>
      <c r="Q23" s="1"/>
      <c r="R23" s="1"/>
      <c r="S23" s="1"/>
      <c r="T23" s="1">
        <v>51.8</v>
      </c>
      <c r="U23" s="1"/>
      <c r="V23" s="1"/>
      <c r="W23" s="30">
        <v>47.42</v>
      </c>
      <c r="X23" s="1"/>
      <c r="Y23" s="1"/>
      <c r="Z23" s="1"/>
      <c r="AA23" s="1">
        <v>5.53</v>
      </c>
      <c r="AB23" s="1"/>
      <c r="AC23" s="1"/>
      <c r="AD23" s="66">
        <f t="shared" si="0"/>
        <v>104.75</v>
      </c>
    </row>
    <row r="24" spans="1:35" ht="15" customHeight="1">
      <c r="A24" s="1"/>
      <c r="B24" s="1"/>
      <c r="C24" s="1">
        <v>1</v>
      </c>
      <c r="D24" s="1" t="s">
        <v>95</v>
      </c>
      <c r="E24" s="1"/>
      <c r="F24" s="1"/>
      <c r="G24" s="1">
        <v>19.7</v>
      </c>
      <c r="H24" s="1">
        <v>1.4</v>
      </c>
      <c r="I24" s="1"/>
      <c r="J24" s="1"/>
      <c r="K24" s="1"/>
      <c r="L24" s="1"/>
      <c r="M24" s="1">
        <v>2</v>
      </c>
      <c r="N24" s="1">
        <v>8.1999999999999993</v>
      </c>
      <c r="O24" s="1"/>
      <c r="P24" s="1"/>
      <c r="Q24" s="1"/>
      <c r="R24" s="1"/>
      <c r="S24" s="1"/>
      <c r="T24" s="1">
        <v>58.199999999999996</v>
      </c>
      <c r="U24" s="1"/>
      <c r="V24" s="1"/>
      <c r="W24" s="30">
        <v>15.02</v>
      </c>
      <c r="X24" s="1"/>
      <c r="Y24" s="1"/>
      <c r="Z24" s="1"/>
      <c r="AA24" s="1">
        <v>3.33</v>
      </c>
      <c r="AB24" s="1"/>
      <c r="AC24" s="1"/>
      <c r="AD24" s="66">
        <f t="shared" si="0"/>
        <v>76.55</v>
      </c>
    </row>
    <row r="25" spans="1:35" ht="15" customHeight="1">
      <c r="A25" s="1"/>
      <c r="B25" s="1"/>
      <c r="C25" s="1">
        <v>1</v>
      </c>
      <c r="D25" s="1" t="s">
        <v>96</v>
      </c>
      <c r="E25" s="1">
        <v>0.2</v>
      </c>
      <c r="F25" s="1">
        <v>23.7</v>
      </c>
      <c r="G25" s="1">
        <v>5.9</v>
      </c>
      <c r="H25" s="1">
        <v>1.8</v>
      </c>
      <c r="I25" s="1"/>
      <c r="J25" s="1"/>
      <c r="K25" s="1"/>
      <c r="L25" s="1"/>
      <c r="M25" s="1">
        <v>1.2</v>
      </c>
      <c r="N25" s="1">
        <v>26</v>
      </c>
      <c r="O25" s="1"/>
      <c r="P25" s="1">
        <v>6.1</v>
      </c>
      <c r="Q25" s="1"/>
      <c r="R25" s="1"/>
      <c r="S25" s="1"/>
      <c r="T25" s="1">
        <v>64.900000000000006</v>
      </c>
      <c r="U25" s="1"/>
      <c r="V25" s="1"/>
      <c r="W25" s="30">
        <v>13.99</v>
      </c>
      <c r="X25" s="1"/>
      <c r="Y25" s="1"/>
      <c r="Z25" s="1"/>
      <c r="AA25" s="1">
        <v>5.72</v>
      </c>
      <c r="AB25" s="1"/>
      <c r="AC25" s="1"/>
      <c r="AD25" s="66">
        <f t="shared" si="0"/>
        <v>84.61</v>
      </c>
    </row>
    <row r="26" spans="1:35" ht="15" customHeight="1">
      <c r="A26" s="1"/>
      <c r="B26" s="1"/>
      <c r="C26" s="1">
        <v>1</v>
      </c>
      <c r="D26" s="1" t="s">
        <v>39</v>
      </c>
      <c r="E26" s="1"/>
      <c r="F26" s="1"/>
      <c r="G26" s="1">
        <v>4.7</v>
      </c>
      <c r="H26" s="1">
        <v>2.1</v>
      </c>
      <c r="I26" s="1"/>
      <c r="J26" s="1"/>
      <c r="K26" s="1"/>
      <c r="L26" s="1"/>
      <c r="M26" s="1">
        <v>1.6</v>
      </c>
      <c r="N26" s="1">
        <v>22.3</v>
      </c>
      <c r="O26" s="1"/>
      <c r="P26" s="1"/>
      <c r="Q26" s="1"/>
      <c r="R26" s="1"/>
      <c r="S26" s="1"/>
      <c r="T26" s="1">
        <v>56.400000000000006</v>
      </c>
      <c r="U26" s="1"/>
      <c r="V26" s="1"/>
      <c r="W26" s="30">
        <v>17.8</v>
      </c>
      <c r="X26" s="1"/>
      <c r="Y26" s="1"/>
      <c r="Z26" s="1"/>
      <c r="AA26" s="67">
        <v>4.8600000000000003</v>
      </c>
      <c r="AB26" s="1"/>
      <c r="AC26" s="1"/>
      <c r="AD26" s="66">
        <f t="shared" si="0"/>
        <v>79.06</v>
      </c>
    </row>
    <row r="27" spans="1:35" ht="15" customHeight="1">
      <c r="A27" s="1"/>
      <c r="B27" s="1"/>
      <c r="C27" s="1">
        <v>1</v>
      </c>
      <c r="D27" s="1" t="s">
        <v>97</v>
      </c>
      <c r="E27" s="1"/>
      <c r="F27" s="1">
        <v>40</v>
      </c>
      <c r="G27" s="1">
        <v>3.6</v>
      </c>
      <c r="H27" s="1">
        <v>1.2</v>
      </c>
      <c r="I27" s="1"/>
      <c r="J27" s="1"/>
      <c r="K27" s="1"/>
      <c r="L27" s="1"/>
      <c r="M27" s="1">
        <v>1.4</v>
      </c>
      <c r="N27" s="1">
        <v>2.6</v>
      </c>
      <c r="O27" s="1"/>
      <c r="P27" s="1"/>
      <c r="Q27" s="1"/>
      <c r="R27" s="1"/>
      <c r="S27" s="1"/>
      <c r="T27" s="1">
        <v>48.800000000000004</v>
      </c>
      <c r="U27" s="1">
        <f>AVERAGE(T23:T27)</f>
        <v>56.02</v>
      </c>
      <c r="V27" s="1"/>
      <c r="W27" s="30">
        <v>30.12</v>
      </c>
      <c r="X27" s="30">
        <f>AVERAGE(W23:W27)</f>
        <v>24.869999999999997</v>
      </c>
      <c r="Y27" s="1"/>
      <c r="Z27" s="1"/>
      <c r="AA27" s="67">
        <v>5.84</v>
      </c>
      <c r="AB27" s="1">
        <f>AVERAGE(AA23:AA27)</f>
        <v>5.0559999999999992</v>
      </c>
      <c r="AC27" s="1"/>
      <c r="AD27" s="66">
        <f t="shared" si="0"/>
        <v>84.76</v>
      </c>
    </row>
    <row r="28" spans="1:35" ht="15" customHeight="1">
      <c r="A28" s="1"/>
      <c r="B28" s="1"/>
      <c r="C28" s="1">
        <v>2</v>
      </c>
      <c r="D28" s="1" t="s">
        <v>94</v>
      </c>
      <c r="E28" s="1"/>
      <c r="F28" s="1">
        <v>15.6</v>
      </c>
      <c r="G28" s="1">
        <v>2.2999999999999998</v>
      </c>
      <c r="H28" s="1">
        <v>2.8</v>
      </c>
      <c r="I28" s="1"/>
      <c r="J28" s="1"/>
      <c r="K28" s="1"/>
      <c r="L28" s="1"/>
      <c r="M28" s="1">
        <v>3.7</v>
      </c>
      <c r="N28" s="1">
        <v>54.3</v>
      </c>
      <c r="O28" s="1">
        <v>0.1</v>
      </c>
      <c r="P28" s="1"/>
      <c r="Q28" s="1"/>
      <c r="R28" s="1"/>
      <c r="S28" s="1"/>
      <c r="T28" s="1">
        <v>78.799999999999983</v>
      </c>
      <c r="U28" s="1"/>
      <c r="V28" s="1"/>
      <c r="W28" s="30">
        <v>9.74</v>
      </c>
      <c r="X28" s="1"/>
      <c r="Y28" s="1"/>
      <c r="Z28" s="1"/>
      <c r="AA28" s="68">
        <v>2.93</v>
      </c>
      <c r="AB28" s="69"/>
      <c r="AC28" s="69"/>
      <c r="AD28" s="66">
        <f t="shared" si="0"/>
        <v>91.469999999999985</v>
      </c>
    </row>
    <row r="29" spans="1:35" ht="15" customHeight="1">
      <c r="A29" s="1"/>
      <c r="B29" s="1"/>
      <c r="C29" s="1">
        <v>2</v>
      </c>
      <c r="D29" s="1" t="s">
        <v>95</v>
      </c>
      <c r="E29" s="1"/>
      <c r="F29" s="1">
        <v>11.5</v>
      </c>
      <c r="G29" s="1">
        <v>34.200000000000003</v>
      </c>
      <c r="H29" s="1">
        <v>1.4</v>
      </c>
      <c r="I29" s="1"/>
      <c r="J29" s="1"/>
      <c r="K29" s="1"/>
      <c r="L29" s="1"/>
      <c r="M29" s="1">
        <v>3.4</v>
      </c>
      <c r="N29" s="1">
        <v>12.7</v>
      </c>
      <c r="O29" s="1"/>
      <c r="P29" s="1"/>
      <c r="Q29" s="1"/>
      <c r="R29" s="1"/>
      <c r="S29" s="1"/>
      <c r="T29" s="1">
        <v>63.2</v>
      </c>
      <c r="U29" s="1"/>
      <c r="V29" s="1"/>
      <c r="W29" s="30">
        <v>16.53</v>
      </c>
      <c r="X29" s="1"/>
      <c r="Y29" s="1"/>
      <c r="Z29" s="1"/>
      <c r="AA29" s="67">
        <v>3.7</v>
      </c>
      <c r="AB29" s="1"/>
      <c r="AC29" s="1"/>
      <c r="AD29" s="66">
        <f t="shared" si="0"/>
        <v>83.43</v>
      </c>
    </row>
    <row r="30" spans="1:35" ht="15" customHeight="1">
      <c r="A30" s="1"/>
      <c r="B30" s="1"/>
      <c r="C30" s="1">
        <v>2</v>
      </c>
      <c r="D30" s="1" t="s">
        <v>96</v>
      </c>
      <c r="E30" s="1">
        <v>3</v>
      </c>
      <c r="F30" s="1"/>
      <c r="G30" s="1">
        <v>39.799999999999997</v>
      </c>
      <c r="H30" s="1">
        <v>1.5</v>
      </c>
      <c r="I30" s="1"/>
      <c r="J30" s="1"/>
      <c r="K30" s="1"/>
      <c r="L30" s="1"/>
      <c r="M30" s="1">
        <v>5.6</v>
      </c>
      <c r="N30" s="1">
        <v>4.4000000000000004</v>
      </c>
      <c r="O30" s="1"/>
      <c r="P30" s="1"/>
      <c r="Q30" s="1"/>
      <c r="R30" s="1"/>
      <c r="S30" s="1"/>
      <c r="T30" s="1">
        <v>71</v>
      </c>
      <c r="U30" s="1"/>
      <c r="V30" s="1"/>
      <c r="W30" s="30">
        <v>12.67</v>
      </c>
      <c r="X30" s="1"/>
      <c r="Y30" s="1"/>
      <c r="Z30" s="1"/>
      <c r="AA30" s="67">
        <v>4.21</v>
      </c>
      <c r="AB30" s="1"/>
      <c r="AC30" s="1"/>
      <c r="AD30" s="66">
        <f t="shared" si="0"/>
        <v>87.88</v>
      </c>
    </row>
    <row r="31" spans="1:35" ht="15" customHeight="1">
      <c r="A31" s="1"/>
      <c r="B31" s="1"/>
      <c r="C31" s="1">
        <v>2</v>
      </c>
      <c r="D31" s="1" t="s">
        <v>39</v>
      </c>
      <c r="E31" s="1"/>
      <c r="F31" s="1">
        <v>9.1999999999999993</v>
      </c>
      <c r="G31" s="1">
        <v>15.7</v>
      </c>
      <c r="H31" s="1">
        <v>2.8</v>
      </c>
      <c r="I31" s="1"/>
      <c r="J31" s="1"/>
      <c r="K31" s="1"/>
      <c r="L31" s="1"/>
      <c r="M31" s="1">
        <v>4.7</v>
      </c>
      <c r="N31" s="1">
        <v>65.5</v>
      </c>
      <c r="O31" s="1"/>
      <c r="P31" s="1"/>
      <c r="Q31" s="1"/>
      <c r="R31" s="1"/>
      <c r="S31" s="1"/>
      <c r="T31" s="1">
        <v>97.9</v>
      </c>
      <c r="U31" s="1"/>
      <c r="V31" s="1"/>
      <c r="W31" s="30">
        <v>11.96</v>
      </c>
      <c r="X31" s="1"/>
      <c r="Y31" s="1"/>
      <c r="Z31" s="1"/>
      <c r="AA31" s="67">
        <v>5.97</v>
      </c>
      <c r="AB31" s="1"/>
      <c r="AC31" s="1"/>
      <c r="AD31" s="66">
        <f t="shared" si="0"/>
        <v>115.83000000000001</v>
      </c>
    </row>
    <row r="32" spans="1:35" ht="15" customHeight="1">
      <c r="A32" s="1"/>
      <c r="B32" s="1"/>
      <c r="C32" s="1">
        <v>2</v>
      </c>
      <c r="D32" s="1" t="s">
        <v>97</v>
      </c>
      <c r="E32" s="1"/>
      <c r="F32" s="1">
        <v>38.299999999999997</v>
      </c>
      <c r="G32" s="1">
        <v>16.7</v>
      </c>
      <c r="H32" s="1">
        <v>1.6</v>
      </c>
      <c r="I32" s="1"/>
      <c r="J32" s="1"/>
      <c r="K32" s="1"/>
      <c r="L32" s="1"/>
      <c r="M32" s="1">
        <v>3.6</v>
      </c>
      <c r="N32" s="1">
        <v>0.1</v>
      </c>
      <c r="O32" s="1"/>
      <c r="P32" s="1">
        <v>0.1</v>
      </c>
      <c r="Q32" s="1"/>
      <c r="R32" s="1"/>
      <c r="S32" s="1"/>
      <c r="T32" s="1">
        <v>60.4</v>
      </c>
      <c r="U32" s="1">
        <f>AVERAGE(T28:T32)</f>
        <v>74.259999999999991</v>
      </c>
      <c r="V32" s="1"/>
      <c r="W32" s="30">
        <v>17.46</v>
      </c>
      <c r="X32" s="30">
        <f>AVERAGE(W28:W32)</f>
        <v>13.672000000000002</v>
      </c>
      <c r="Y32" s="1"/>
      <c r="Z32" s="1"/>
      <c r="AA32" s="67">
        <v>3.27</v>
      </c>
      <c r="AB32" s="67">
        <f>AVERAGE(AA28:AA32)</f>
        <v>4.016</v>
      </c>
      <c r="AC32" s="1"/>
      <c r="AD32" s="66">
        <f t="shared" si="0"/>
        <v>81.13</v>
      </c>
    </row>
    <row r="33" spans="1:35" ht="15" customHeight="1">
      <c r="A33" s="1"/>
      <c r="B33" s="1"/>
      <c r="C33" s="1">
        <v>3</v>
      </c>
      <c r="D33" s="1" t="s">
        <v>94</v>
      </c>
      <c r="E33" s="1"/>
      <c r="F33" s="1"/>
      <c r="G33" s="1">
        <v>19.600000000000001</v>
      </c>
      <c r="H33" s="1">
        <v>4.3</v>
      </c>
      <c r="I33" s="1"/>
      <c r="J33" s="1"/>
      <c r="K33" s="1"/>
      <c r="L33" s="1"/>
      <c r="M33" s="1"/>
      <c r="N33" s="1">
        <v>69.599999999999994</v>
      </c>
      <c r="O33" s="1"/>
      <c r="P33" s="1"/>
      <c r="Q33" s="1">
        <v>1.3</v>
      </c>
      <c r="R33" s="1"/>
      <c r="S33" s="1"/>
      <c r="T33" s="1">
        <v>94.8</v>
      </c>
      <c r="U33" s="1"/>
      <c r="V33" s="1"/>
      <c r="W33" s="30">
        <v>18.11</v>
      </c>
      <c r="X33" s="1"/>
      <c r="Y33" s="1"/>
      <c r="Z33" s="1"/>
      <c r="AA33" s="67">
        <v>3.53</v>
      </c>
      <c r="AB33" s="1"/>
      <c r="AC33" s="1"/>
      <c r="AD33" s="66">
        <f t="shared" si="0"/>
        <v>116.44</v>
      </c>
    </row>
    <row r="34" spans="1:35" ht="15" customHeight="1">
      <c r="A34" s="1"/>
      <c r="B34" s="1"/>
      <c r="C34" s="1">
        <v>3</v>
      </c>
      <c r="D34" s="1" t="s">
        <v>95</v>
      </c>
      <c r="E34" s="1"/>
      <c r="F34" s="1">
        <v>25.1</v>
      </c>
      <c r="G34" s="1">
        <v>6.7</v>
      </c>
      <c r="H34" s="1">
        <v>1.6</v>
      </c>
      <c r="I34" s="1"/>
      <c r="J34" s="1"/>
      <c r="K34" s="1"/>
      <c r="L34" s="1"/>
      <c r="M34" s="1"/>
      <c r="N34" s="1">
        <v>9.1999999999999993</v>
      </c>
      <c r="O34" s="1"/>
      <c r="P34" s="1">
        <v>4.7</v>
      </c>
      <c r="Q34" s="1"/>
      <c r="R34" s="1">
        <v>11.9</v>
      </c>
      <c r="S34" s="1"/>
      <c r="T34" s="1">
        <v>59.2</v>
      </c>
      <c r="U34" s="1"/>
      <c r="V34" s="1"/>
      <c r="W34" s="30">
        <v>6.13</v>
      </c>
      <c r="X34" s="1"/>
      <c r="Y34" s="1"/>
      <c r="Z34" s="1"/>
      <c r="AA34" s="67">
        <v>4.4000000000000004</v>
      </c>
      <c r="AB34" s="1"/>
      <c r="AC34" s="1"/>
      <c r="AD34" s="66">
        <f t="shared" si="0"/>
        <v>69.73</v>
      </c>
    </row>
    <row r="35" spans="1:35" ht="15" customHeight="1">
      <c r="A35" s="1"/>
      <c r="B35" s="1"/>
      <c r="C35" s="1">
        <v>3</v>
      </c>
      <c r="D35" s="1" t="s">
        <v>96</v>
      </c>
      <c r="E35" s="1">
        <v>0.8</v>
      </c>
      <c r="F35" s="1">
        <v>36.5</v>
      </c>
      <c r="G35" s="1">
        <v>9.3000000000000007</v>
      </c>
      <c r="H35" s="1">
        <v>1.5</v>
      </c>
      <c r="I35" s="1"/>
      <c r="J35" s="1"/>
      <c r="K35" s="1"/>
      <c r="L35" s="1"/>
      <c r="M35" s="1">
        <v>6.3</v>
      </c>
      <c r="N35" s="1">
        <v>9.9</v>
      </c>
      <c r="O35" s="1"/>
      <c r="P35" s="1">
        <v>9.5</v>
      </c>
      <c r="Q35" s="1"/>
      <c r="R35" s="1"/>
      <c r="S35" s="1"/>
      <c r="T35" s="35">
        <v>151.39999999999998</v>
      </c>
      <c r="U35" s="1"/>
      <c r="V35" s="1"/>
      <c r="W35" s="30">
        <v>16.45</v>
      </c>
      <c r="X35" s="1"/>
      <c r="Y35" s="1"/>
      <c r="Z35" s="1"/>
      <c r="AA35" s="67">
        <v>7.01</v>
      </c>
      <c r="AB35" s="1"/>
      <c r="AC35" s="1"/>
      <c r="AD35" s="66">
        <f t="shared" si="0"/>
        <v>174.85999999999996</v>
      </c>
    </row>
    <row r="36" spans="1:35" ht="15" customHeight="1">
      <c r="A36" s="1"/>
      <c r="B36" s="1"/>
      <c r="C36" s="1">
        <v>3</v>
      </c>
      <c r="D36" s="1" t="s">
        <v>39</v>
      </c>
      <c r="E36" s="1">
        <v>6.7</v>
      </c>
      <c r="F36" s="1">
        <v>19.3</v>
      </c>
      <c r="G36" s="1">
        <v>27.4</v>
      </c>
      <c r="H36" s="1">
        <v>2.7</v>
      </c>
      <c r="I36" s="1"/>
      <c r="J36" s="1"/>
      <c r="K36" s="1"/>
      <c r="L36" s="1"/>
      <c r="M36" s="1">
        <v>4.7</v>
      </c>
      <c r="N36" s="1">
        <v>20.9</v>
      </c>
      <c r="O36" s="1"/>
      <c r="P36" s="1">
        <v>2</v>
      </c>
      <c r="Q36" s="1"/>
      <c r="R36" s="1"/>
      <c r="S36" s="1"/>
      <c r="T36" s="1">
        <v>83.7</v>
      </c>
      <c r="U36" s="1"/>
      <c r="V36" s="1"/>
      <c r="W36" s="30">
        <v>39.869999999999997</v>
      </c>
      <c r="X36" s="1"/>
      <c r="Y36" s="1"/>
      <c r="Z36" s="1"/>
      <c r="AA36" s="67">
        <v>3.22</v>
      </c>
      <c r="AB36" s="1"/>
      <c r="AC36" s="1"/>
      <c r="AD36" s="66">
        <f t="shared" si="0"/>
        <v>126.78999999999999</v>
      </c>
    </row>
    <row r="37" spans="1:35" ht="15" customHeight="1">
      <c r="A37" s="1"/>
      <c r="B37" s="1"/>
      <c r="C37" s="1">
        <v>3</v>
      </c>
      <c r="D37" s="1" t="s">
        <v>97</v>
      </c>
      <c r="E37" s="1">
        <v>3.8</v>
      </c>
      <c r="F37" s="1">
        <v>19.3</v>
      </c>
      <c r="G37" s="1">
        <v>31.1</v>
      </c>
      <c r="H37" s="1">
        <v>1.3</v>
      </c>
      <c r="I37" s="1"/>
      <c r="J37" s="1"/>
      <c r="K37" s="1"/>
      <c r="L37" s="1"/>
      <c r="M37" s="1">
        <v>3.1</v>
      </c>
      <c r="N37" s="1">
        <v>14.5</v>
      </c>
      <c r="O37" s="1"/>
      <c r="P37" s="1">
        <v>0.9</v>
      </c>
      <c r="Q37" s="1"/>
      <c r="R37" s="1"/>
      <c r="S37" s="1"/>
      <c r="T37" s="1">
        <v>76.600000000000009</v>
      </c>
      <c r="U37" s="1">
        <f>AVERAGE(T33:T37)</f>
        <v>93.14</v>
      </c>
      <c r="V37" s="1"/>
      <c r="W37" s="30">
        <v>28.12</v>
      </c>
      <c r="X37" s="30">
        <f>AVERAGE(W33:W37)</f>
        <v>21.736000000000001</v>
      </c>
      <c r="Y37" s="1"/>
      <c r="Z37" s="1"/>
      <c r="AA37" s="67">
        <v>2.9</v>
      </c>
      <c r="AB37" s="67">
        <f>AVERAGE(AA33:AA37)</f>
        <v>4.2119999999999997</v>
      </c>
      <c r="AC37" s="1"/>
      <c r="AD37" s="66">
        <f t="shared" si="0"/>
        <v>107.62000000000002</v>
      </c>
    </row>
    <row r="38" spans="1:35" ht="15" customHeight="1">
      <c r="A38" s="1"/>
      <c r="B38" s="1"/>
      <c r="C38" s="1">
        <v>4</v>
      </c>
      <c r="D38" s="1" t="s">
        <v>94</v>
      </c>
      <c r="E38" s="1"/>
      <c r="F38" s="1">
        <v>10.9</v>
      </c>
      <c r="G38" s="1"/>
      <c r="H38" s="1">
        <v>5.4</v>
      </c>
      <c r="I38" s="1"/>
      <c r="J38" s="1"/>
      <c r="K38" s="1"/>
      <c r="L38" s="1"/>
      <c r="M38" s="1">
        <v>5.4</v>
      </c>
      <c r="N38" s="1">
        <v>17</v>
      </c>
      <c r="O38" s="1"/>
      <c r="P38" s="1">
        <v>3.4</v>
      </c>
      <c r="Q38" s="1"/>
      <c r="R38" s="1"/>
      <c r="S38" s="1">
        <v>25.8</v>
      </c>
      <c r="T38" s="1">
        <v>67.900000000000006</v>
      </c>
      <c r="U38" s="1"/>
      <c r="V38" s="1"/>
      <c r="W38" s="30">
        <v>12.93</v>
      </c>
      <c r="X38" s="1"/>
      <c r="Y38" s="1"/>
      <c r="Z38" s="1"/>
      <c r="AA38" s="67">
        <v>7.23</v>
      </c>
      <c r="AB38" s="1"/>
      <c r="AC38" s="1"/>
      <c r="AD38" s="66">
        <f t="shared" si="0"/>
        <v>88.060000000000016</v>
      </c>
    </row>
    <row r="39" spans="1:35" ht="15" customHeight="1">
      <c r="A39" s="1"/>
      <c r="B39" s="1"/>
      <c r="C39" s="1">
        <v>4</v>
      </c>
      <c r="D39" s="1" t="s">
        <v>95</v>
      </c>
      <c r="E39" s="1"/>
      <c r="F39" s="1">
        <v>19.399999999999999</v>
      </c>
      <c r="G39" s="1"/>
      <c r="H39" s="1">
        <v>1.8</v>
      </c>
      <c r="I39" s="1"/>
      <c r="J39" s="1"/>
      <c r="K39" s="1"/>
      <c r="L39" s="1"/>
      <c r="M39" s="1">
        <v>4.8</v>
      </c>
      <c r="N39" s="1">
        <v>9.3000000000000007</v>
      </c>
      <c r="O39" s="1"/>
      <c r="P39" s="1">
        <v>0.4</v>
      </c>
      <c r="Q39" s="1"/>
      <c r="R39" s="1"/>
      <c r="S39" s="1">
        <v>11.6</v>
      </c>
      <c r="T39" s="1">
        <v>47.3</v>
      </c>
      <c r="U39" s="1"/>
      <c r="V39" s="1"/>
      <c r="W39" s="30">
        <v>20.95</v>
      </c>
      <c r="X39" s="1"/>
      <c r="Y39" s="1"/>
      <c r="Z39" s="1"/>
      <c r="AA39" s="67">
        <v>4.9800000000000004</v>
      </c>
      <c r="AB39" s="1"/>
      <c r="AC39" s="1"/>
      <c r="AD39" s="66">
        <f t="shared" si="0"/>
        <v>73.23</v>
      </c>
    </row>
    <row r="40" spans="1:35" ht="15" customHeight="1">
      <c r="A40" s="1"/>
      <c r="B40" s="1"/>
      <c r="C40" s="1">
        <v>4</v>
      </c>
      <c r="D40" s="1" t="s">
        <v>96</v>
      </c>
      <c r="E40" s="1"/>
      <c r="F40" s="1">
        <v>34.799999999999997</v>
      </c>
      <c r="G40" s="1"/>
      <c r="H40" s="1">
        <v>3</v>
      </c>
      <c r="I40" s="1"/>
      <c r="J40" s="1"/>
      <c r="K40" s="1"/>
      <c r="L40" s="1"/>
      <c r="M40" s="1">
        <v>1</v>
      </c>
      <c r="N40" s="1">
        <v>28.7</v>
      </c>
      <c r="O40" s="1"/>
      <c r="P40" s="1">
        <v>1</v>
      </c>
      <c r="Q40" s="1"/>
      <c r="R40" s="1"/>
      <c r="S40" s="1">
        <v>4.3</v>
      </c>
      <c r="T40" s="1">
        <v>74.899999999999991</v>
      </c>
      <c r="U40" s="1"/>
      <c r="V40" s="1"/>
      <c r="W40" s="30">
        <v>24.81</v>
      </c>
      <c r="X40" s="1"/>
      <c r="Y40" s="1"/>
      <c r="Z40" s="1"/>
      <c r="AA40" s="67">
        <v>5.6</v>
      </c>
      <c r="AB40" s="1"/>
      <c r="AC40" s="1"/>
      <c r="AD40" s="66">
        <f t="shared" si="0"/>
        <v>105.30999999999999</v>
      </c>
    </row>
    <row r="41" spans="1:35" ht="15" customHeight="1">
      <c r="A41" s="1"/>
      <c r="B41" s="1"/>
      <c r="C41" s="1">
        <v>4</v>
      </c>
      <c r="D41" s="1" t="s">
        <v>39</v>
      </c>
      <c r="E41" s="1"/>
      <c r="F41" s="1">
        <v>20.9</v>
      </c>
      <c r="G41" s="1"/>
      <c r="H41" s="1">
        <v>2.2999999999999998</v>
      </c>
      <c r="I41" s="1"/>
      <c r="J41" s="1"/>
      <c r="K41" s="1"/>
      <c r="L41" s="1"/>
      <c r="M41" s="1">
        <v>3.9</v>
      </c>
      <c r="N41" s="1">
        <v>3</v>
      </c>
      <c r="O41" s="1"/>
      <c r="P41" s="1">
        <v>11.9</v>
      </c>
      <c r="Q41" s="1"/>
      <c r="R41" s="1"/>
      <c r="S41" s="1">
        <v>24.1</v>
      </c>
      <c r="T41" s="1">
        <v>66.099999999999994</v>
      </c>
      <c r="U41" s="1"/>
      <c r="V41" s="1"/>
      <c r="W41" s="30">
        <v>15.35</v>
      </c>
      <c r="X41" s="1"/>
      <c r="Y41" s="1"/>
      <c r="Z41" s="1"/>
      <c r="AA41" s="67">
        <v>3.91</v>
      </c>
      <c r="AB41" s="1"/>
      <c r="AC41" s="1"/>
      <c r="AD41" s="66">
        <f t="shared" si="0"/>
        <v>85.359999999999985</v>
      </c>
    </row>
    <row r="42" spans="1:35" ht="15" customHeight="1">
      <c r="A42" s="1"/>
      <c r="B42" s="1"/>
      <c r="C42" s="1">
        <v>4</v>
      </c>
      <c r="D42" s="1" t="s">
        <v>97</v>
      </c>
      <c r="E42" s="1"/>
      <c r="F42" s="1">
        <v>26.2</v>
      </c>
      <c r="G42" s="1"/>
      <c r="H42" s="1">
        <v>1.5</v>
      </c>
      <c r="I42" s="1"/>
      <c r="J42" s="1"/>
      <c r="K42" s="1"/>
      <c r="L42" s="1"/>
      <c r="M42" s="1">
        <v>1.2</v>
      </c>
      <c r="N42" s="1">
        <v>0.5</v>
      </c>
      <c r="O42" s="1">
        <v>4.2</v>
      </c>
      <c r="P42" s="1"/>
      <c r="Q42" s="1"/>
      <c r="R42" s="1"/>
      <c r="S42" s="1">
        <v>30.9</v>
      </c>
      <c r="T42" s="1">
        <v>64.5</v>
      </c>
      <c r="U42" s="1">
        <f>AVERAGE(T38:T42)</f>
        <v>64.14</v>
      </c>
      <c r="V42" s="1"/>
      <c r="W42" s="30">
        <v>25.15</v>
      </c>
      <c r="X42" s="30">
        <f>AVERAGE(W38:W42)</f>
        <v>19.838000000000001</v>
      </c>
      <c r="Y42" s="1"/>
      <c r="Z42" s="1"/>
      <c r="AA42" s="67">
        <v>4.6399999999999997</v>
      </c>
      <c r="AB42" s="67">
        <f>AVERAGE(AA38:AA42)</f>
        <v>5.2720000000000002</v>
      </c>
      <c r="AC42" s="1"/>
      <c r="AD42" s="66">
        <f t="shared" si="0"/>
        <v>94.29</v>
      </c>
      <c r="AF42" s="57" t="s">
        <v>87</v>
      </c>
      <c r="AG42" s="57" t="s">
        <v>90</v>
      </c>
      <c r="AH42" s="57" t="s">
        <v>88</v>
      </c>
      <c r="AI42" s="57" t="s">
        <v>89</v>
      </c>
    </row>
    <row r="43" spans="1:35" ht="15" customHeight="1">
      <c r="A43" s="1" t="s">
        <v>37</v>
      </c>
      <c r="B43" s="1" t="s">
        <v>85</v>
      </c>
      <c r="C43" s="1">
        <v>1</v>
      </c>
      <c r="D43" s="1" t="s">
        <v>94</v>
      </c>
      <c r="E43" s="10"/>
      <c r="F43" s="10"/>
      <c r="G43" s="10"/>
      <c r="H43" s="10"/>
      <c r="I43" s="10"/>
      <c r="J43" s="10"/>
      <c r="K43" s="10"/>
      <c r="L43" s="10"/>
      <c r="M43" s="10"/>
      <c r="N43" s="10"/>
      <c r="O43" s="10"/>
      <c r="P43" s="10"/>
      <c r="Q43" s="10"/>
      <c r="R43" s="10"/>
      <c r="S43" s="10"/>
      <c r="T43" s="8">
        <f>AVERAGE(T44:T47)</f>
        <v>79.45</v>
      </c>
      <c r="U43" s="1"/>
      <c r="V43" s="1"/>
      <c r="W43" s="67">
        <v>16.559999999999999</v>
      </c>
      <c r="X43" s="1"/>
      <c r="Y43" s="1"/>
      <c r="Z43" s="1"/>
      <c r="AA43" s="67">
        <v>5.5</v>
      </c>
      <c r="AB43" s="1"/>
      <c r="AC43" s="1"/>
      <c r="AD43" s="66">
        <f t="shared" si="0"/>
        <v>101.51</v>
      </c>
      <c r="AF43" s="6">
        <v>101.51</v>
      </c>
      <c r="AG43" s="6">
        <v>69.7</v>
      </c>
      <c r="AH43" s="6">
        <v>84.86</v>
      </c>
      <c r="AI43" s="6">
        <v>94.59</v>
      </c>
    </row>
    <row r="44" spans="1:35" ht="15" customHeight="1">
      <c r="A44" s="1"/>
      <c r="B44" s="1"/>
      <c r="C44" s="1">
        <v>1</v>
      </c>
      <c r="D44" s="1" t="s">
        <v>95</v>
      </c>
      <c r="E44" s="10"/>
      <c r="F44" s="10"/>
      <c r="G44" s="10"/>
      <c r="H44" s="10"/>
      <c r="I44" s="10"/>
      <c r="J44" s="10"/>
      <c r="K44" s="10"/>
      <c r="L44" s="10"/>
      <c r="M44" s="10"/>
      <c r="N44" s="10"/>
      <c r="O44" s="10"/>
      <c r="P44" s="10"/>
      <c r="Q44" s="10"/>
      <c r="R44" s="10"/>
      <c r="S44" s="10"/>
      <c r="T44" s="1">
        <v>88</v>
      </c>
      <c r="U44" s="1"/>
      <c r="V44" s="1"/>
      <c r="W44" s="67">
        <v>19.329999999999998</v>
      </c>
      <c r="X44" s="1"/>
      <c r="Y44" s="1"/>
      <c r="Z44" s="1"/>
      <c r="AA44" s="67">
        <v>5.12</v>
      </c>
      <c r="AB44" s="1"/>
      <c r="AC44" s="1"/>
      <c r="AD44" s="66">
        <f t="shared" si="0"/>
        <v>112.45</v>
      </c>
      <c r="AF44" s="6">
        <v>112.45</v>
      </c>
      <c r="AG44" s="6">
        <v>97.009999999999991</v>
      </c>
      <c r="AH44" s="6">
        <v>89.330000000000013</v>
      </c>
      <c r="AI44" s="6">
        <v>98.86</v>
      </c>
    </row>
    <row r="45" spans="1:35" ht="15" customHeight="1">
      <c r="A45" s="1"/>
      <c r="B45" s="1"/>
      <c r="C45" s="1">
        <v>1</v>
      </c>
      <c r="D45" s="1" t="s">
        <v>96</v>
      </c>
      <c r="E45" s="10"/>
      <c r="F45" s="10"/>
      <c r="G45" s="10"/>
      <c r="H45" s="10"/>
      <c r="I45" s="10"/>
      <c r="J45" s="10"/>
      <c r="K45" s="10"/>
      <c r="L45" s="10"/>
      <c r="M45" s="10"/>
      <c r="N45" s="10"/>
      <c r="O45" s="10"/>
      <c r="P45" s="10"/>
      <c r="Q45" s="10"/>
      <c r="R45" s="10"/>
      <c r="S45" s="10"/>
      <c r="T45" s="1">
        <v>86.1</v>
      </c>
      <c r="U45" s="1"/>
      <c r="V45" s="1"/>
      <c r="W45" s="77">
        <f>AVERAGE(W43,W44,W46,W47)</f>
        <v>20.329999999999998</v>
      </c>
      <c r="X45" s="6"/>
      <c r="Y45" s="1" t="s">
        <v>194</v>
      </c>
      <c r="Z45" s="1"/>
      <c r="AA45" s="67">
        <v>4.53</v>
      </c>
      <c r="AB45" s="1"/>
      <c r="AC45" s="1"/>
      <c r="AD45" s="66">
        <f t="shared" si="0"/>
        <v>110.96</v>
      </c>
      <c r="AF45" s="6">
        <v>110.96</v>
      </c>
      <c r="AG45" s="6">
        <v>80.260000000000005</v>
      </c>
      <c r="AH45" s="6">
        <v>90.77000000000001</v>
      </c>
      <c r="AI45" s="6">
        <v>54.610000000000007</v>
      </c>
    </row>
    <row r="46" spans="1:35" ht="15" customHeight="1">
      <c r="A46" s="1"/>
      <c r="B46" s="1"/>
      <c r="C46" s="1">
        <v>1</v>
      </c>
      <c r="D46" s="1" t="s">
        <v>39</v>
      </c>
      <c r="E46" s="10"/>
      <c r="F46" s="10"/>
      <c r="G46" s="10"/>
      <c r="H46" s="10"/>
      <c r="I46" s="10"/>
      <c r="J46" s="10"/>
      <c r="K46" s="10"/>
      <c r="L46" s="10"/>
      <c r="M46" s="10"/>
      <c r="N46" s="10"/>
      <c r="O46" s="10"/>
      <c r="P46" s="10"/>
      <c r="Q46" s="10"/>
      <c r="R46" s="10"/>
      <c r="S46" s="10"/>
      <c r="T46" s="1">
        <v>89.1</v>
      </c>
      <c r="U46" s="1"/>
      <c r="V46" s="1"/>
      <c r="W46" s="67">
        <v>20.8</v>
      </c>
      <c r="X46" s="1"/>
      <c r="Y46" s="1"/>
      <c r="Z46" s="1"/>
      <c r="AA46" s="67">
        <v>6.07</v>
      </c>
      <c r="AB46" s="1"/>
      <c r="AC46" s="1"/>
      <c r="AD46" s="66">
        <f t="shared" si="0"/>
        <v>115.97</v>
      </c>
      <c r="AF46" s="6">
        <v>115.97</v>
      </c>
      <c r="AG46" s="6">
        <v>100.97</v>
      </c>
      <c r="AH46" s="6">
        <v>85.26</v>
      </c>
      <c r="AI46" s="6">
        <v>70.09</v>
      </c>
    </row>
    <row r="47" spans="1:35" ht="15" customHeight="1">
      <c r="A47" s="1"/>
      <c r="B47" s="1"/>
      <c r="C47" s="1">
        <v>1</v>
      </c>
      <c r="D47" s="1" t="s">
        <v>97</v>
      </c>
      <c r="E47" s="10"/>
      <c r="F47" s="10"/>
      <c r="G47" s="10"/>
      <c r="H47" s="10"/>
      <c r="I47" s="10"/>
      <c r="J47" s="10"/>
      <c r="K47" s="10"/>
      <c r="L47" s="10"/>
      <c r="M47" s="10"/>
      <c r="N47" s="10"/>
      <c r="O47" s="10"/>
      <c r="P47" s="10"/>
      <c r="Q47" s="10"/>
      <c r="R47" s="10"/>
      <c r="S47" s="10"/>
      <c r="T47" s="1">
        <v>54.6</v>
      </c>
      <c r="U47" s="1">
        <f>AVERAGE(T43:T47)</f>
        <v>79.45</v>
      </c>
      <c r="V47" s="1"/>
      <c r="W47" s="67">
        <v>24.63</v>
      </c>
      <c r="X47" s="67">
        <f>AVERAGE(W43:W47)</f>
        <v>20.329999999999998</v>
      </c>
      <c r="Y47" s="1"/>
      <c r="Z47" s="1"/>
      <c r="AA47" s="67">
        <v>5.4</v>
      </c>
      <c r="AB47" s="67">
        <f>AVERAGE(AA43:AA47)</f>
        <v>5.3240000000000007</v>
      </c>
      <c r="AC47" s="1"/>
      <c r="AD47" s="66">
        <f t="shared" si="0"/>
        <v>84.63000000000001</v>
      </c>
      <c r="AF47" s="6">
        <v>84.63000000000001</v>
      </c>
      <c r="AG47" s="6">
        <v>89.26</v>
      </c>
      <c r="AH47" s="6">
        <v>84.677499999999995</v>
      </c>
      <c r="AI47" s="6">
        <v>82.18</v>
      </c>
    </row>
    <row r="48" spans="1:35" ht="15" customHeight="1">
      <c r="A48" s="1"/>
      <c r="B48" s="1"/>
      <c r="C48" s="1">
        <v>2</v>
      </c>
      <c r="D48" s="1" t="s">
        <v>94</v>
      </c>
      <c r="E48" s="10"/>
      <c r="F48" s="10"/>
      <c r="G48" s="10"/>
      <c r="H48" s="10"/>
      <c r="I48" s="10"/>
      <c r="J48" s="10"/>
      <c r="K48" s="10"/>
      <c r="L48" s="10"/>
      <c r="M48" s="10"/>
      <c r="N48" s="10"/>
      <c r="O48" s="10"/>
      <c r="P48" s="10"/>
      <c r="Q48" s="10"/>
      <c r="R48" s="10"/>
      <c r="S48" s="10"/>
      <c r="T48" s="1">
        <v>50.5</v>
      </c>
      <c r="U48" s="1"/>
      <c r="V48" s="1"/>
      <c r="W48" s="79">
        <v>14.83</v>
      </c>
      <c r="X48" s="1"/>
      <c r="Y48" s="1"/>
      <c r="Z48" s="1"/>
      <c r="AA48" s="67">
        <v>4.37</v>
      </c>
      <c r="AB48" s="1"/>
      <c r="AC48" s="1"/>
      <c r="AD48" s="66">
        <f t="shared" si="0"/>
        <v>69.7</v>
      </c>
    </row>
    <row r="49" spans="1:35" ht="15" customHeight="1">
      <c r="A49" s="1"/>
      <c r="B49" s="1"/>
      <c r="C49" s="1">
        <v>2</v>
      </c>
      <c r="D49" s="1" t="s">
        <v>95</v>
      </c>
      <c r="E49" s="10"/>
      <c r="F49" s="10"/>
      <c r="G49" s="10"/>
      <c r="H49" s="10"/>
      <c r="I49" s="10"/>
      <c r="J49" s="10"/>
      <c r="K49" s="10"/>
      <c r="L49" s="10"/>
      <c r="M49" s="10"/>
      <c r="N49" s="10"/>
      <c r="O49" s="10"/>
      <c r="P49" s="10"/>
      <c r="Q49" s="10"/>
      <c r="R49" s="10"/>
      <c r="S49" s="10"/>
      <c r="T49" s="1">
        <v>79.599999999999994</v>
      </c>
      <c r="U49" s="1"/>
      <c r="V49" s="1"/>
      <c r="W49" s="67">
        <v>11.44</v>
      </c>
      <c r="X49" s="1"/>
      <c r="Y49" s="1"/>
      <c r="Z49" s="1"/>
      <c r="AA49" s="1">
        <v>5.97</v>
      </c>
      <c r="AB49" s="1"/>
      <c r="AC49" s="1"/>
      <c r="AD49" s="66">
        <f t="shared" si="0"/>
        <v>97.009999999999991</v>
      </c>
    </row>
    <row r="50" spans="1:35" ht="15" customHeight="1">
      <c r="A50" s="1"/>
      <c r="B50" s="1"/>
      <c r="C50" s="1">
        <v>2</v>
      </c>
      <c r="D50" s="1" t="s">
        <v>96</v>
      </c>
      <c r="E50" s="10"/>
      <c r="F50" s="10"/>
      <c r="G50" s="10"/>
      <c r="H50" s="10"/>
      <c r="I50" s="10"/>
      <c r="J50" s="10"/>
      <c r="K50" s="10"/>
      <c r="L50" s="10"/>
      <c r="M50" s="10"/>
      <c r="N50" s="10"/>
      <c r="O50" s="10"/>
      <c r="P50" s="10"/>
      <c r="Q50" s="10"/>
      <c r="R50" s="10"/>
      <c r="S50" s="10"/>
      <c r="T50" s="1">
        <v>61.2</v>
      </c>
      <c r="U50" s="1"/>
      <c r="V50" s="1"/>
      <c r="W50" s="67">
        <v>12.34</v>
      </c>
      <c r="X50" s="1"/>
      <c r="Y50" s="1"/>
      <c r="Z50" s="1"/>
      <c r="AA50" s="1">
        <v>6.72</v>
      </c>
      <c r="AB50" s="1"/>
      <c r="AC50" s="1"/>
      <c r="AD50" s="66">
        <f t="shared" si="0"/>
        <v>80.260000000000005</v>
      </c>
    </row>
    <row r="51" spans="1:35" ht="15" customHeight="1">
      <c r="A51" s="1"/>
      <c r="B51" s="1"/>
      <c r="C51" s="1">
        <v>2</v>
      </c>
      <c r="D51" s="1" t="s">
        <v>39</v>
      </c>
      <c r="E51" s="10"/>
      <c r="F51" s="10"/>
      <c r="G51" s="10"/>
      <c r="H51" s="10"/>
      <c r="I51" s="10"/>
      <c r="J51" s="10"/>
      <c r="K51" s="10"/>
      <c r="L51" s="10"/>
      <c r="M51" s="10"/>
      <c r="N51" s="10"/>
      <c r="O51" s="10"/>
      <c r="P51" s="10"/>
      <c r="Q51" s="10"/>
      <c r="R51" s="10"/>
      <c r="S51" s="10"/>
      <c r="T51" s="1">
        <v>82.3</v>
      </c>
      <c r="U51" s="1"/>
      <c r="V51" s="1"/>
      <c r="W51" s="67">
        <v>12.77</v>
      </c>
      <c r="X51" s="1"/>
      <c r="Y51" s="1"/>
      <c r="Z51" s="1"/>
      <c r="AA51" s="1">
        <v>5.9</v>
      </c>
      <c r="AB51" s="1"/>
      <c r="AC51" s="1"/>
      <c r="AD51" s="66">
        <f t="shared" si="0"/>
        <v>100.97</v>
      </c>
    </row>
    <row r="52" spans="1:35" ht="15" customHeight="1">
      <c r="A52" s="1"/>
      <c r="B52" s="1"/>
      <c r="C52" s="1">
        <v>2</v>
      </c>
      <c r="D52" s="1" t="s">
        <v>97</v>
      </c>
      <c r="E52" s="10"/>
      <c r="F52" s="10"/>
      <c r="G52" s="10"/>
      <c r="H52" s="10"/>
      <c r="I52" s="10"/>
      <c r="J52" s="10"/>
      <c r="K52" s="10"/>
      <c r="L52" s="10"/>
      <c r="M52" s="10"/>
      <c r="N52" s="10"/>
      <c r="O52" s="10"/>
      <c r="P52" s="10"/>
      <c r="Q52" s="10"/>
      <c r="R52" s="10"/>
      <c r="S52" s="10"/>
      <c r="T52" s="30">
        <v>70.400000000000006</v>
      </c>
      <c r="U52" s="1">
        <f>AVERAGE(T48:T52)</f>
        <v>68.8</v>
      </c>
      <c r="V52" s="1"/>
      <c r="W52" s="67">
        <v>9.9499999999999993</v>
      </c>
      <c r="X52" s="67">
        <f>AVERAGE(W48:W52)</f>
        <v>12.266</v>
      </c>
      <c r="Y52" s="1"/>
      <c r="Z52" s="1"/>
      <c r="AA52" s="1">
        <v>8.91</v>
      </c>
      <c r="AB52" s="67">
        <f>AVERAGE(AA48:AA52)</f>
        <v>6.3740000000000006</v>
      </c>
      <c r="AC52" s="1"/>
      <c r="AD52" s="66">
        <f t="shared" si="0"/>
        <v>89.26</v>
      </c>
    </row>
    <row r="53" spans="1:35" ht="15" customHeight="1">
      <c r="A53" s="1"/>
      <c r="B53" s="1"/>
      <c r="C53" s="1">
        <v>3</v>
      </c>
      <c r="D53" s="1" t="s">
        <v>94</v>
      </c>
      <c r="E53" s="10"/>
      <c r="F53" s="10"/>
      <c r="G53" s="10"/>
      <c r="H53" s="10"/>
      <c r="I53" s="10"/>
      <c r="J53" s="10"/>
      <c r="K53" s="10"/>
      <c r="L53" s="10"/>
      <c r="M53" s="10"/>
      <c r="N53" s="10"/>
      <c r="O53" s="10"/>
      <c r="P53" s="10"/>
      <c r="Q53" s="10"/>
      <c r="R53" s="10"/>
      <c r="S53" s="10"/>
      <c r="T53" s="1">
        <v>73.099999999999994</v>
      </c>
      <c r="U53" s="1"/>
      <c r="V53" s="1"/>
      <c r="W53" s="67">
        <v>6.01</v>
      </c>
      <c r="X53" s="1"/>
      <c r="Y53" s="1"/>
      <c r="Z53" s="1"/>
      <c r="AA53" s="1">
        <v>5.75</v>
      </c>
      <c r="AB53" s="1"/>
      <c r="AC53" s="1"/>
      <c r="AD53" s="66">
        <f t="shared" si="0"/>
        <v>84.86</v>
      </c>
    </row>
    <row r="54" spans="1:35" ht="15" customHeight="1">
      <c r="A54" s="1"/>
      <c r="B54" s="1"/>
      <c r="C54" s="1">
        <v>3</v>
      </c>
      <c r="D54" s="1" t="s">
        <v>95</v>
      </c>
      <c r="E54" s="10"/>
      <c r="F54" s="10"/>
      <c r="G54" s="10"/>
      <c r="H54" s="10"/>
      <c r="I54" s="10"/>
      <c r="J54" s="10"/>
      <c r="K54" s="10"/>
      <c r="L54" s="10"/>
      <c r="M54" s="10"/>
      <c r="N54" s="10"/>
      <c r="O54" s="10"/>
      <c r="P54" s="10"/>
      <c r="Q54" s="10"/>
      <c r="R54" s="10"/>
      <c r="S54" s="10"/>
      <c r="T54" s="1">
        <v>78.400000000000006</v>
      </c>
      <c r="U54" s="1"/>
      <c r="V54" s="1"/>
      <c r="W54" s="67">
        <v>9.06</v>
      </c>
      <c r="X54" s="1"/>
      <c r="Y54" s="1"/>
      <c r="Z54" s="1"/>
      <c r="AA54" s="1">
        <v>1.87</v>
      </c>
      <c r="AB54" s="1"/>
      <c r="AC54" s="1"/>
      <c r="AD54" s="66">
        <f t="shared" si="0"/>
        <v>89.330000000000013</v>
      </c>
    </row>
    <row r="55" spans="1:35" ht="15" customHeight="1">
      <c r="A55" s="1"/>
      <c r="B55" s="1"/>
      <c r="C55" s="1">
        <v>3</v>
      </c>
      <c r="D55" s="1" t="s">
        <v>96</v>
      </c>
      <c r="E55" s="10"/>
      <c r="F55" s="10"/>
      <c r="G55" s="10"/>
      <c r="H55" s="10"/>
      <c r="I55" s="10"/>
      <c r="J55" s="10"/>
      <c r="K55" s="10"/>
      <c r="L55" s="10"/>
      <c r="M55" s="10"/>
      <c r="N55" s="10"/>
      <c r="O55" s="10"/>
      <c r="P55" s="10"/>
      <c r="Q55" s="10"/>
      <c r="R55" s="10"/>
      <c r="S55" s="10"/>
      <c r="T55" s="8">
        <f>AVERAGE(T53:T54,T56:T57)</f>
        <v>72.95</v>
      </c>
      <c r="U55" s="1"/>
      <c r="V55" s="1"/>
      <c r="W55" s="67">
        <v>13.89</v>
      </c>
      <c r="X55" s="1"/>
      <c r="Y55" s="1"/>
      <c r="Z55" s="1"/>
      <c r="AA55" s="1">
        <v>3.93</v>
      </c>
      <c r="AB55" s="1"/>
      <c r="AC55" s="1"/>
      <c r="AD55" s="66">
        <f t="shared" si="0"/>
        <v>90.77000000000001</v>
      </c>
    </row>
    <row r="56" spans="1:35" ht="15" customHeight="1">
      <c r="A56" s="1"/>
      <c r="B56" s="1"/>
      <c r="C56" s="1">
        <v>3</v>
      </c>
      <c r="D56" s="1" t="s">
        <v>39</v>
      </c>
      <c r="E56" s="10"/>
      <c r="F56" s="10"/>
      <c r="G56" s="10"/>
      <c r="H56" s="10"/>
      <c r="I56" s="10"/>
      <c r="J56" s="10"/>
      <c r="K56" s="10"/>
      <c r="L56" s="10"/>
      <c r="M56" s="10"/>
      <c r="N56" s="10"/>
      <c r="O56" s="10"/>
      <c r="P56" s="10"/>
      <c r="Q56" s="10"/>
      <c r="R56" s="10"/>
      <c r="S56" s="10"/>
      <c r="T56" s="1">
        <v>69.8</v>
      </c>
      <c r="U56" s="1"/>
      <c r="V56" s="1"/>
      <c r="W56" s="67">
        <v>10.95</v>
      </c>
      <c r="X56" s="1"/>
      <c r="Y56" s="1"/>
      <c r="Z56" s="1"/>
      <c r="AA56" s="1">
        <v>4.51</v>
      </c>
      <c r="AB56" s="1"/>
      <c r="AC56" s="1"/>
      <c r="AD56" s="66">
        <f t="shared" si="0"/>
        <v>85.26</v>
      </c>
    </row>
    <row r="57" spans="1:35" ht="15" customHeight="1">
      <c r="A57" s="1"/>
      <c r="B57" s="1"/>
      <c r="C57" s="1">
        <v>3</v>
      </c>
      <c r="D57" s="1" t="s">
        <v>97</v>
      </c>
      <c r="E57" s="10"/>
      <c r="F57" s="10"/>
      <c r="G57" s="10"/>
      <c r="H57" s="10"/>
      <c r="I57" s="10"/>
      <c r="J57" s="10"/>
      <c r="K57" s="10"/>
      <c r="L57" s="10"/>
      <c r="M57" s="10"/>
      <c r="N57" s="10"/>
      <c r="O57" s="10"/>
      <c r="P57" s="10"/>
      <c r="Q57" s="10"/>
      <c r="R57" s="10"/>
      <c r="S57" s="10"/>
      <c r="T57" s="1">
        <v>70.5</v>
      </c>
      <c r="U57" s="1">
        <f>AVERAGE(T53:T57)</f>
        <v>72.95</v>
      </c>
      <c r="V57" s="1"/>
      <c r="W57" s="77">
        <f>AVERAGE(W53:W56)</f>
        <v>9.9774999999999991</v>
      </c>
      <c r="X57" s="67">
        <f>AVERAGE(W53:W57)</f>
        <v>9.9774999999999991</v>
      </c>
      <c r="Y57" s="1" t="s">
        <v>197</v>
      </c>
      <c r="Z57" s="1"/>
      <c r="AA57" s="1">
        <v>4.2</v>
      </c>
      <c r="AB57" s="1">
        <f>AVERAGE(AA53:AA57)</f>
        <v>4.0520000000000005</v>
      </c>
      <c r="AC57" s="1"/>
      <c r="AD57" s="66">
        <f t="shared" si="0"/>
        <v>84.677499999999995</v>
      </c>
    </row>
    <row r="58" spans="1:35" ht="15" customHeight="1">
      <c r="A58" s="1"/>
      <c r="B58" s="1"/>
      <c r="C58" s="1">
        <v>4</v>
      </c>
      <c r="D58" s="1" t="s">
        <v>94</v>
      </c>
      <c r="E58" s="10"/>
      <c r="F58" s="10"/>
      <c r="G58" s="10"/>
      <c r="H58" s="10"/>
      <c r="I58" s="10"/>
      <c r="J58" s="10"/>
      <c r="K58" s="10"/>
      <c r="L58" s="10"/>
      <c r="M58" s="10"/>
      <c r="N58" s="10"/>
      <c r="O58" s="10"/>
      <c r="P58" s="10"/>
      <c r="Q58" s="10"/>
      <c r="R58" s="10"/>
      <c r="S58" s="10"/>
      <c r="T58" s="1">
        <v>71.599999999999994</v>
      </c>
      <c r="U58" s="1"/>
      <c r="V58" s="1"/>
      <c r="W58" s="67">
        <v>18.71</v>
      </c>
      <c r="X58" s="1"/>
      <c r="Y58" s="1"/>
      <c r="Z58" s="1"/>
      <c r="AA58" s="1">
        <v>4.28</v>
      </c>
      <c r="AB58" s="1"/>
      <c r="AC58" s="1"/>
      <c r="AD58" s="66">
        <f t="shared" si="0"/>
        <v>94.59</v>
      </c>
      <c r="AF58" s="57" t="s">
        <v>87</v>
      </c>
      <c r="AG58" s="57" t="s">
        <v>88</v>
      </c>
      <c r="AH58" s="57" t="s">
        <v>90</v>
      </c>
      <c r="AI58" s="57" t="s">
        <v>89</v>
      </c>
    </row>
    <row r="59" spans="1:35" ht="15" customHeight="1">
      <c r="A59" s="1"/>
      <c r="B59" s="1"/>
      <c r="C59" s="1">
        <v>4</v>
      </c>
      <c r="D59" s="1" t="s">
        <v>95</v>
      </c>
      <c r="E59" s="10"/>
      <c r="F59" s="10"/>
      <c r="G59" s="10"/>
      <c r="H59" s="10"/>
      <c r="I59" s="10"/>
      <c r="J59" s="10"/>
      <c r="K59" s="10"/>
      <c r="L59" s="10"/>
      <c r="M59" s="10"/>
      <c r="N59" s="10"/>
      <c r="O59" s="10"/>
      <c r="P59" s="10"/>
      <c r="Q59" s="10"/>
      <c r="R59" s="10"/>
      <c r="S59" s="10"/>
      <c r="T59" s="1">
        <v>73.2</v>
      </c>
      <c r="U59" s="1"/>
      <c r="V59" s="1"/>
      <c r="W59" s="67">
        <v>21.84</v>
      </c>
      <c r="X59" s="1"/>
      <c r="Y59" s="1"/>
      <c r="Z59" s="1"/>
      <c r="AA59" s="1">
        <v>3.82</v>
      </c>
      <c r="AB59" s="1"/>
      <c r="AC59" s="1"/>
      <c r="AD59" s="66">
        <f t="shared" si="0"/>
        <v>98.86</v>
      </c>
      <c r="AF59" s="6">
        <v>96.98</v>
      </c>
      <c r="AG59" s="6">
        <v>88.210000000000008</v>
      </c>
      <c r="AH59" s="6">
        <v>96.95</v>
      </c>
      <c r="AI59" s="6">
        <v>78.610000000000014</v>
      </c>
    </row>
    <row r="60" spans="1:35" ht="15" customHeight="1">
      <c r="A60" s="1"/>
      <c r="B60" s="1"/>
      <c r="C60" s="1">
        <v>4</v>
      </c>
      <c r="D60" s="1" t="s">
        <v>96</v>
      </c>
      <c r="E60" s="10"/>
      <c r="F60" s="10"/>
      <c r="G60" s="10"/>
      <c r="H60" s="10"/>
      <c r="I60" s="10"/>
      <c r="J60" s="10"/>
      <c r="K60" s="10"/>
      <c r="L60" s="10"/>
      <c r="M60" s="10"/>
      <c r="N60" s="10"/>
      <c r="O60" s="10"/>
      <c r="P60" s="10"/>
      <c r="Q60" s="10"/>
      <c r="R60" s="10"/>
      <c r="S60" s="10"/>
      <c r="T60" s="1">
        <v>50.2</v>
      </c>
      <c r="U60" s="1"/>
      <c r="V60" s="1"/>
      <c r="W60" s="67">
        <v>2.4900000000000002</v>
      </c>
      <c r="X60" s="1"/>
      <c r="Y60" s="1"/>
      <c r="Z60" s="1"/>
      <c r="AA60" s="1">
        <v>1.92</v>
      </c>
      <c r="AB60" s="1"/>
      <c r="AC60" s="1"/>
      <c r="AD60" s="66">
        <f t="shared" si="0"/>
        <v>54.610000000000007</v>
      </c>
      <c r="AF60" s="6">
        <v>105.26</v>
      </c>
      <c r="AG60" s="6">
        <v>101.84</v>
      </c>
      <c r="AH60" s="6">
        <v>109.57999999999998</v>
      </c>
      <c r="AI60" s="6">
        <v>85.49</v>
      </c>
    </row>
    <row r="61" spans="1:35" ht="15" customHeight="1">
      <c r="A61" s="1"/>
      <c r="B61" s="1"/>
      <c r="C61" s="1">
        <v>4</v>
      </c>
      <c r="D61" s="1" t="s">
        <v>39</v>
      </c>
      <c r="E61" s="10"/>
      <c r="F61" s="10"/>
      <c r="G61" s="10"/>
      <c r="H61" s="10"/>
      <c r="I61" s="10"/>
      <c r="J61" s="10"/>
      <c r="K61" s="10"/>
      <c r="L61" s="10"/>
      <c r="M61" s="10"/>
      <c r="N61" s="10"/>
      <c r="O61" s="10"/>
      <c r="P61" s="10"/>
      <c r="Q61" s="10"/>
      <c r="R61" s="10"/>
      <c r="S61" s="10"/>
      <c r="T61" s="1">
        <v>46.3</v>
      </c>
      <c r="U61" s="1"/>
      <c r="V61" s="1"/>
      <c r="W61" s="67">
        <v>19.760000000000002</v>
      </c>
      <c r="X61" s="1"/>
      <c r="Y61" s="1"/>
      <c r="Z61" s="1"/>
      <c r="AA61" s="1">
        <v>4.03</v>
      </c>
      <c r="AB61" s="1"/>
      <c r="AC61" s="1"/>
      <c r="AD61" s="66">
        <f t="shared" si="0"/>
        <v>70.09</v>
      </c>
      <c r="AF61" s="6">
        <v>109.71000000000001</v>
      </c>
      <c r="AG61" s="6">
        <v>80.400000000000006</v>
      </c>
      <c r="AH61" s="6">
        <v>85.440000000000012</v>
      </c>
      <c r="AI61" s="6">
        <v>109.04</v>
      </c>
    </row>
    <row r="62" spans="1:35" ht="15" customHeight="1">
      <c r="A62" s="1"/>
      <c r="B62" s="1"/>
      <c r="C62" s="1">
        <v>4</v>
      </c>
      <c r="D62" s="1" t="s">
        <v>97</v>
      </c>
      <c r="E62" s="10"/>
      <c r="F62" s="10"/>
      <c r="G62" s="10"/>
      <c r="H62" s="10"/>
      <c r="I62" s="10"/>
      <c r="J62" s="10"/>
      <c r="K62" s="10"/>
      <c r="L62" s="10"/>
      <c r="M62" s="10"/>
      <c r="N62" s="10"/>
      <c r="O62" s="10"/>
      <c r="P62" s="10"/>
      <c r="Q62" s="10"/>
      <c r="R62" s="10"/>
      <c r="S62" s="10"/>
      <c r="T62" s="1">
        <v>61.8</v>
      </c>
      <c r="U62" s="1">
        <f>AVERAGE(T58:T62)</f>
        <v>60.620000000000005</v>
      </c>
      <c r="V62" s="1"/>
      <c r="W62" s="77">
        <f>AVERAGE(W58:W61)</f>
        <v>15.7</v>
      </c>
      <c r="X62" s="67">
        <f>AVERAGE(W58:W62)</f>
        <v>15.7</v>
      </c>
      <c r="Y62" s="1" t="s">
        <v>197</v>
      </c>
      <c r="Z62" s="1"/>
      <c r="AA62" s="1">
        <v>4.68</v>
      </c>
      <c r="AB62" s="1">
        <f>AVERAGE(AA58:AA62)</f>
        <v>3.746</v>
      </c>
      <c r="AC62" s="1"/>
      <c r="AD62" s="66">
        <f t="shared" si="0"/>
        <v>82.18</v>
      </c>
      <c r="AF62" s="6">
        <v>100.43</v>
      </c>
      <c r="AG62" s="6">
        <v>75.680000000000007</v>
      </c>
      <c r="AH62" s="6">
        <v>102.55</v>
      </c>
      <c r="AI62" s="6">
        <v>74.75</v>
      </c>
    </row>
    <row r="63" spans="1:35" ht="15" customHeight="1">
      <c r="A63" s="1" t="s">
        <v>37</v>
      </c>
      <c r="B63" s="1" t="s">
        <v>98</v>
      </c>
      <c r="C63" s="1">
        <v>1</v>
      </c>
      <c r="D63" s="1" t="s">
        <v>94</v>
      </c>
      <c r="E63" s="10"/>
      <c r="F63" s="10"/>
      <c r="G63" s="10"/>
      <c r="H63" s="10"/>
      <c r="I63" s="10"/>
      <c r="J63" s="10"/>
      <c r="K63" s="10"/>
      <c r="L63" s="10"/>
      <c r="M63" s="10"/>
      <c r="N63" s="10"/>
      <c r="O63" s="10"/>
      <c r="P63" s="10"/>
      <c r="Q63" s="10"/>
      <c r="R63" s="10"/>
      <c r="S63" s="10"/>
      <c r="T63" s="1">
        <v>74</v>
      </c>
      <c r="U63" s="1"/>
      <c r="V63" s="1"/>
      <c r="W63" s="67">
        <v>14.47</v>
      </c>
      <c r="X63" s="1"/>
      <c r="Y63" s="1"/>
      <c r="Z63" s="1"/>
      <c r="AA63" s="1">
        <v>8.51</v>
      </c>
      <c r="AB63" s="1"/>
      <c r="AC63" s="1"/>
      <c r="AD63" s="66">
        <f t="shared" si="0"/>
        <v>96.98</v>
      </c>
      <c r="AF63" s="6">
        <v>114.11000000000001</v>
      </c>
      <c r="AG63" s="6">
        <v>115.21999999999998</v>
      </c>
      <c r="AH63" s="6">
        <v>96.63</v>
      </c>
      <c r="AI63" s="6">
        <v>123.02000000000001</v>
      </c>
    </row>
    <row r="64" spans="1:35" ht="15" customHeight="1">
      <c r="A64" s="1"/>
      <c r="B64" s="1"/>
      <c r="C64" s="1">
        <v>1</v>
      </c>
      <c r="D64" s="1" t="s">
        <v>95</v>
      </c>
      <c r="E64" s="10"/>
      <c r="F64" s="10"/>
      <c r="G64" s="10"/>
      <c r="H64" s="10"/>
      <c r="I64" s="10"/>
      <c r="J64" s="10"/>
      <c r="K64" s="10"/>
      <c r="L64" s="10"/>
      <c r="M64" s="10"/>
      <c r="N64" s="10"/>
      <c r="O64" s="10"/>
      <c r="P64" s="10"/>
      <c r="Q64" s="10"/>
      <c r="R64" s="10"/>
      <c r="S64" s="10"/>
      <c r="T64" s="1">
        <v>90.5</v>
      </c>
      <c r="U64" s="1"/>
      <c r="V64" s="1"/>
      <c r="W64" s="67">
        <v>8.9499999999999993</v>
      </c>
      <c r="X64" s="1"/>
      <c r="Y64" s="1"/>
      <c r="Z64" s="1"/>
      <c r="AA64" s="1">
        <v>5.81</v>
      </c>
      <c r="AB64" s="1"/>
      <c r="AC64" s="1"/>
      <c r="AD64" s="66">
        <f t="shared" si="0"/>
        <v>105.26</v>
      </c>
    </row>
    <row r="65" spans="1:30" ht="15" customHeight="1">
      <c r="A65" s="1"/>
      <c r="B65" s="1"/>
      <c r="C65" s="1">
        <v>1</v>
      </c>
      <c r="D65" s="1" t="s">
        <v>96</v>
      </c>
      <c r="E65" s="10"/>
      <c r="F65" s="10"/>
      <c r="G65" s="10"/>
      <c r="H65" s="10"/>
      <c r="I65" s="10"/>
      <c r="J65" s="10"/>
      <c r="K65" s="10"/>
      <c r="L65" s="10"/>
      <c r="M65" s="10"/>
      <c r="N65" s="10"/>
      <c r="O65" s="10"/>
      <c r="P65" s="10"/>
      <c r="Q65" s="10"/>
      <c r="R65" s="10"/>
      <c r="S65" s="10"/>
      <c r="T65" s="8">
        <f>AVERAGE(T63:T64,T66:T67)</f>
        <v>82.95</v>
      </c>
      <c r="U65" s="1"/>
      <c r="V65" s="1"/>
      <c r="W65" s="67">
        <v>17.04</v>
      </c>
      <c r="X65" s="1"/>
      <c r="Y65" s="1"/>
      <c r="Z65" s="1"/>
      <c r="AA65" s="1">
        <v>9.7200000000000006</v>
      </c>
      <c r="AB65" s="1"/>
      <c r="AC65" s="1"/>
      <c r="AD65" s="66">
        <f t="shared" si="0"/>
        <v>109.71000000000001</v>
      </c>
    </row>
    <row r="66" spans="1:30" ht="15" customHeight="1">
      <c r="A66" s="1"/>
      <c r="B66" s="1"/>
      <c r="C66" s="1">
        <v>1</v>
      </c>
      <c r="D66" s="1" t="s">
        <v>39</v>
      </c>
      <c r="E66" s="10"/>
      <c r="F66" s="10"/>
      <c r="G66" s="10"/>
      <c r="H66" s="10"/>
      <c r="I66" s="10"/>
      <c r="J66" s="10"/>
      <c r="K66" s="10"/>
      <c r="L66" s="10"/>
      <c r="M66" s="10"/>
      <c r="N66" s="10"/>
      <c r="O66" s="10"/>
      <c r="P66" s="10"/>
      <c r="Q66" s="10"/>
      <c r="R66" s="10"/>
      <c r="S66" s="10"/>
      <c r="T66" s="1">
        <v>73.400000000000006</v>
      </c>
      <c r="U66" s="1"/>
      <c r="V66" s="1"/>
      <c r="W66" s="67">
        <v>19.920000000000002</v>
      </c>
      <c r="X66" s="1"/>
      <c r="Y66" s="1"/>
      <c r="Z66" s="1"/>
      <c r="AA66" s="1">
        <v>7.11</v>
      </c>
      <c r="AB66" s="1"/>
      <c r="AC66" s="1"/>
      <c r="AD66" s="66">
        <f t="shared" si="0"/>
        <v>100.43</v>
      </c>
    </row>
    <row r="67" spans="1:30" ht="15" customHeight="1">
      <c r="A67" s="1"/>
      <c r="B67" s="1"/>
      <c r="C67" s="1">
        <v>1</v>
      </c>
      <c r="D67" s="1" t="s">
        <v>97</v>
      </c>
      <c r="E67" s="10"/>
      <c r="F67" s="10"/>
      <c r="G67" s="10"/>
      <c r="H67" s="10"/>
      <c r="I67" s="10"/>
      <c r="J67" s="10"/>
      <c r="K67" s="10"/>
      <c r="L67" s="10"/>
      <c r="M67" s="10"/>
      <c r="N67" s="10"/>
      <c r="O67" s="10"/>
      <c r="P67" s="10"/>
      <c r="Q67" s="10"/>
      <c r="R67" s="10"/>
      <c r="S67" s="10"/>
      <c r="T67" s="1">
        <v>93.9</v>
      </c>
      <c r="U67" s="1">
        <f>AVERAGE(T63:T67)</f>
        <v>82.95</v>
      </c>
      <c r="V67" s="1"/>
      <c r="W67" s="67">
        <v>13.96</v>
      </c>
      <c r="X67" s="67">
        <f>AVERAGE(W63:W67)</f>
        <v>14.868</v>
      </c>
      <c r="Y67" s="1"/>
      <c r="Z67" s="1"/>
      <c r="AA67" s="1">
        <v>6.25</v>
      </c>
      <c r="AB67" s="1">
        <f>AVERAGE(AA63:AA67)</f>
        <v>7.4799999999999995</v>
      </c>
      <c r="AC67" s="1"/>
      <c r="AD67" s="66">
        <f t="shared" si="0"/>
        <v>114.11000000000001</v>
      </c>
    </row>
    <row r="68" spans="1:30" ht="15" customHeight="1">
      <c r="A68" s="1"/>
      <c r="B68" s="1"/>
      <c r="C68" s="1">
        <v>2</v>
      </c>
      <c r="D68" s="1" t="s">
        <v>94</v>
      </c>
      <c r="E68" s="10"/>
      <c r="F68" s="10"/>
      <c r="G68" s="10"/>
      <c r="H68" s="10"/>
      <c r="I68" s="10"/>
      <c r="J68" s="10"/>
      <c r="K68" s="10"/>
      <c r="L68" s="10"/>
      <c r="M68" s="10"/>
      <c r="N68" s="10"/>
      <c r="O68" s="10"/>
      <c r="P68" s="10"/>
      <c r="Q68" s="10"/>
      <c r="R68" s="10"/>
      <c r="S68" s="10"/>
      <c r="T68" s="1">
        <v>71.5</v>
      </c>
      <c r="U68" s="1"/>
      <c r="V68" s="1"/>
      <c r="W68" s="67">
        <v>11.42</v>
      </c>
      <c r="X68" s="1"/>
      <c r="Y68" s="1"/>
      <c r="Z68" s="1"/>
      <c r="AA68" s="1">
        <v>5.29</v>
      </c>
      <c r="AB68" s="1"/>
      <c r="AC68" s="1"/>
      <c r="AD68" s="66">
        <f t="shared" si="0"/>
        <v>88.210000000000008</v>
      </c>
    </row>
    <row r="69" spans="1:30" ht="15" customHeight="1">
      <c r="A69" s="1"/>
      <c r="B69" s="1"/>
      <c r="C69" s="1">
        <v>2</v>
      </c>
      <c r="D69" s="1" t="s">
        <v>95</v>
      </c>
      <c r="E69" s="10"/>
      <c r="F69" s="10"/>
      <c r="G69" s="10"/>
      <c r="H69" s="10"/>
      <c r="I69" s="10"/>
      <c r="J69" s="10"/>
      <c r="K69" s="10"/>
      <c r="L69" s="10"/>
      <c r="M69" s="10"/>
      <c r="N69" s="10"/>
      <c r="O69" s="10"/>
      <c r="P69" s="10"/>
      <c r="Q69" s="10"/>
      <c r="R69" s="10"/>
      <c r="S69" s="10"/>
      <c r="T69" s="1">
        <v>88.1</v>
      </c>
      <c r="U69" s="1"/>
      <c r="V69" s="1"/>
      <c r="W69" s="67">
        <v>8.9</v>
      </c>
      <c r="X69" s="1"/>
      <c r="Y69" s="1"/>
      <c r="Z69" s="1"/>
      <c r="AA69" s="1">
        <v>4.84</v>
      </c>
      <c r="AB69" s="1"/>
      <c r="AC69" s="1"/>
      <c r="AD69" s="66">
        <f t="shared" si="0"/>
        <v>101.84</v>
      </c>
    </row>
    <row r="70" spans="1:30" ht="15" customHeight="1">
      <c r="A70" s="1"/>
      <c r="B70" s="1"/>
      <c r="C70" s="1">
        <v>2</v>
      </c>
      <c r="D70" s="1" t="s">
        <v>96</v>
      </c>
      <c r="E70" s="10"/>
      <c r="F70" s="10"/>
      <c r="G70" s="10"/>
      <c r="H70" s="10"/>
      <c r="I70" s="10"/>
      <c r="J70" s="10"/>
      <c r="K70" s="10"/>
      <c r="L70" s="10"/>
      <c r="M70" s="10"/>
      <c r="N70" s="10"/>
      <c r="O70" s="10"/>
      <c r="P70" s="10"/>
      <c r="Q70" s="10"/>
      <c r="R70" s="10"/>
      <c r="S70" s="10"/>
      <c r="T70" s="1">
        <v>67.7</v>
      </c>
      <c r="U70" s="1"/>
      <c r="V70" s="1"/>
      <c r="W70" s="67">
        <v>7.14</v>
      </c>
      <c r="X70" s="1"/>
      <c r="Y70" s="1"/>
      <c r="Z70" s="1"/>
      <c r="AA70" s="1">
        <v>5.56</v>
      </c>
      <c r="AB70" s="1"/>
      <c r="AC70" s="1"/>
      <c r="AD70" s="66">
        <f t="shared" si="0"/>
        <v>80.400000000000006</v>
      </c>
    </row>
    <row r="71" spans="1:30" ht="15" customHeight="1">
      <c r="A71" s="1"/>
      <c r="B71" s="1"/>
      <c r="C71" s="1">
        <v>2</v>
      </c>
      <c r="D71" s="1" t="s">
        <v>39</v>
      </c>
      <c r="E71" s="10"/>
      <c r="F71" s="10"/>
      <c r="G71" s="10"/>
      <c r="H71" s="10"/>
      <c r="I71" s="10"/>
      <c r="J71" s="10"/>
      <c r="K71" s="10"/>
      <c r="L71" s="10"/>
      <c r="M71" s="10"/>
      <c r="N71" s="10"/>
      <c r="O71" s="10"/>
      <c r="P71" s="10"/>
      <c r="Q71" s="10"/>
      <c r="R71" s="10"/>
      <c r="S71" s="10"/>
      <c r="T71" s="1">
        <v>59.2</v>
      </c>
      <c r="U71" s="1"/>
      <c r="V71" s="1"/>
      <c r="W71" s="67">
        <v>10.72</v>
      </c>
      <c r="X71" s="1"/>
      <c r="Y71" s="1"/>
      <c r="Z71" s="1"/>
      <c r="AA71" s="1">
        <v>5.76</v>
      </c>
      <c r="AB71" s="1"/>
      <c r="AC71" s="1"/>
      <c r="AD71" s="66">
        <f t="shared" si="0"/>
        <v>75.680000000000007</v>
      </c>
    </row>
    <row r="72" spans="1:30" ht="15" customHeight="1">
      <c r="A72" s="1"/>
      <c r="B72" s="1"/>
      <c r="C72" s="1">
        <v>2</v>
      </c>
      <c r="D72" s="1" t="s">
        <v>97</v>
      </c>
      <c r="E72" s="10"/>
      <c r="F72" s="10"/>
      <c r="G72" s="10"/>
      <c r="H72" s="10"/>
      <c r="I72" s="10"/>
      <c r="J72" s="10"/>
      <c r="K72" s="10"/>
      <c r="L72" s="10"/>
      <c r="M72" s="10"/>
      <c r="N72" s="10"/>
      <c r="O72" s="10"/>
      <c r="P72" s="10"/>
      <c r="Q72" s="10"/>
      <c r="R72" s="10"/>
      <c r="S72" s="10"/>
      <c r="T72" s="1">
        <v>95.6</v>
      </c>
      <c r="U72" s="1">
        <f>AVERAGE(T68:T72)</f>
        <v>76.42</v>
      </c>
      <c r="V72" s="1"/>
      <c r="W72" s="67">
        <v>14.63</v>
      </c>
      <c r="X72" s="67">
        <f>AVERAGE(W68:W72)</f>
        <v>10.562000000000001</v>
      </c>
      <c r="Y72" s="1"/>
      <c r="Z72" s="1"/>
      <c r="AA72" s="1">
        <v>4.99</v>
      </c>
      <c r="AB72" s="1">
        <f>AVERAGE(AA68:AA72)</f>
        <v>5.2879999999999994</v>
      </c>
      <c r="AC72" s="1"/>
      <c r="AD72" s="66">
        <f t="shared" si="0"/>
        <v>115.21999999999998</v>
      </c>
    </row>
    <row r="73" spans="1:30" ht="15" customHeight="1">
      <c r="A73" s="1"/>
      <c r="B73" s="1"/>
      <c r="C73" s="1">
        <v>3</v>
      </c>
      <c r="D73" s="1" t="s">
        <v>94</v>
      </c>
      <c r="E73" s="10"/>
      <c r="F73" s="10"/>
      <c r="G73" s="10"/>
      <c r="H73" s="10"/>
      <c r="I73" s="10"/>
      <c r="J73" s="10"/>
      <c r="K73" s="10"/>
      <c r="L73" s="10"/>
      <c r="M73" s="10"/>
      <c r="N73" s="10"/>
      <c r="O73" s="10"/>
      <c r="P73" s="10"/>
      <c r="Q73" s="10"/>
      <c r="R73" s="10"/>
      <c r="S73" s="10"/>
      <c r="T73" s="1">
        <v>83.2</v>
      </c>
      <c r="U73" s="1"/>
      <c r="V73" s="1"/>
      <c r="W73" s="67">
        <v>7.95</v>
      </c>
      <c r="X73" s="1"/>
      <c r="Y73" s="1"/>
      <c r="Z73" s="1"/>
      <c r="AA73" s="1">
        <v>5.8</v>
      </c>
      <c r="AB73" s="1"/>
      <c r="AC73" s="1"/>
      <c r="AD73" s="66">
        <f t="shared" si="0"/>
        <v>96.95</v>
      </c>
    </row>
    <row r="74" spans="1:30" ht="15" customHeight="1">
      <c r="A74" s="1"/>
      <c r="B74" s="1"/>
      <c r="C74" s="1">
        <v>3</v>
      </c>
      <c r="D74" s="1" t="s">
        <v>95</v>
      </c>
      <c r="E74" s="10"/>
      <c r="F74" s="10"/>
      <c r="G74" s="10"/>
      <c r="H74" s="10"/>
      <c r="I74" s="10"/>
      <c r="J74" s="10"/>
      <c r="K74" s="10"/>
      <c r="L74" s="10"/>
      <c r="M74" s="10"/>
      <c r="N74" s="10"/>
      <c r="O74" s="10"/>
      <c r="P74" s="10"/>
      <c r="Q74" s="10"/>
      <c r="R74" s="10"/>
      <c r="S74" s="10"/>
      <c r="T74" s="1">
        <v>75.599999999999994</v>
      </c>
      <c r="U74" s="1"/>
      <c r="V74" s="1"/>
      <c r="W74" s="67">
        <v>19.29</v>
      </c>
      <c r="X74" s="1"/>
      <c r="Y74" s="1"/>
      <c r="Z74" s="1"/>
      <c r="AA74" s="1">
        <v>14.69</v>
      </c>
      <c r="AB74" s="1"/>
      <c r="AC74" s="1"/>
      <c r="AD74" s="66">
        <f t="shared" si="0"/>
        <v>109.57999999999998</v>
      </c>
    </row>
    <row r="75" spans="1:30" ht="15" customHeight="1">
      <c r="A75" s="1"/>
      <c r="B75" s="1"/>
      <c r="C75" s="1">
        <v>3</v>
      </c>
      <c r="D75" s="1" t="s">
        <v>96</v>
      </c>
      <c r="E75" s="10"/>
      <c r="F75" s="10"/>
      <c r="G75" s="10"/>
      <c r="H75" s="10"/>
      <c r="I75" s="10"/>
      <c r="J75" s="10"/>
      <c r="K75" s="10"/>
      <c r="L75" s="10"/>
      <c r="M75" s="10"/>
      <c r="N75" s="10"/>
      <c r="O75" s="10"/>
      <c r="P75" s="10"/>
      <c r="Q75" s="10"/>
      <c r="R75" s="10"/>
      <c r="S75" s="10"/>
      <c r="T75" s="1">
        <v>74.400000000000006</v>
      </c>
      <c r="U75" s="1"/>
      <c r="V75" s="1"/>
      <c r="W75" s="67">
        <v>9.8699999999999992</v>
      </c>
      <c r="X75" s="1"/>
      <c r="Y75" s="1"/>
      <c r="Z75" s="1"/>
      <c r="AA75" s="1">
        <v>1.17</v>
      </c>
      <c r="AB75" s="1"/>
      <c r="AC75" s="1"/>
      <c r="AD75" s="66">
        <f t="shared" si="0"/>
        <v>85.440000000000012</v>
      </c>
    </row>
    <row r="76" spans="1:30" ht="15" customHeight="1">
      <c r="A76" s="1"/>
      <c r="B76" s="1"/>
      <c r="C76" s="1">
        <v>3</v>
      </c>
      <c r="D76" s="1" t="s">
        <v>39</v>
      </c>
      <c r="E76" s="10"/>
      <c r="F76" s="10"/>
      <c r="G76" s="10"/>
      <c r="H76" s="10"/>
      <c r="I76" s="10"/>
      <c r="J76" s="10"/>
      <c r="K76" s="10"/>
      <c r="L76" s="10"/>
      <c r="M76" s="10"/>
      <c r="N76" s="10"/>
      <c r="O76" s="10"/>
      <c r="P76" s="10"/>
      <c r="Q76" s="10"/>
      <c r="R76" s="10"/>
      <c r="S76" s="10"/>
      <c r="T76" s="1">
        <v>84.5</v>
      </c>
      <c r="U76" s="1"/>
      <c r="V76" s="1"/>
      <c r="W76" s="67">
        <v>13.57</v>
      </c>
      <c r="X76" s="1"/>
      <c r="Y76" s="1"/>
      <c r="Z76" s="1"/>
      <c r="AA76" s="1">
        <v>4.4800000000000004</v>
      </c>
      <c r="AB76" s="1"/>
      <c r="AC76" s="1"/>
      <c r="AD76" s="66">
        <f t="shared" si="0"/>
        <v>102.55</v>
      </c>
    </row>
    <row r="77" spans="1:30" ht="15" customHeight="1">
      <c r="A77" s="1"/>
      <c r="B77" s="1"/>
      <c r="C77" s="1">
        <v>3</v>
      </c>
      <c r="D77" s="1" t="s">
        <v>97</v>
      </c>
      <c r="E77" s="10"/>
      <c r="F77" s="10"/>
      <c r="G77" s="10"/>
      <c r="H77" s="10"/>
      <c r="I77" s="10"/>
      <c r="J77" s="10"/>
      <c r="K77" s="10"/>
      <c r="L77" s="10"/>
      <c r="M77" s="10"/>
      <c r="N77" s="10"/>
      <c r="O77" s="10"/>
      <c r="P77" s="10"/>
      <c r="Q77" s="10"/>
      <c r="R77" s="10"/>
      <c r="S77" s="10"/>
      <c r="T77" s="1">
        <v>75.099999999999994</v>
      </c>
      <c r="U77" s="1">
        <f>AVERAGE(T73:T77)</f>
        <v>78.560000000000016</v>
      </c>
      <c r="V77" s="1"/>
      <c r="W77" s="67">
        <v>15.3</v>
      </c>
      <c r="X77" s="67">
        <f>AVERAGE(W73:W77)</f>
        <v>13.196000000000002</v>
      </c>
      <c r="Y77" s="1"/>
      <c r="Z77" s="1"/>
      <c r="AA77" s="1">
        <v>6.23</v>
      </c>
      <c r="AB77" s="1">
        <f>AVERAGE(AA73:AA77)</f>
        <v>6.4739999999999993</v>
      </c>
      <c r="AC77" s="1"/>
      <c r="AD77" s="66">
        <f t="shared" si="0"/>
        <v>96.63</v>
      </c>
    </row>
    <row r="78" spans="1:30" ht="15" customHeight="1">
      <c r="A78" s="1"/>
      <c r="B78" s="1"/>
      <c r="C78" s="1">
        <v>4</v>
      </c>
      <c r="D78" s="1" t="s">
        <v>94</v>
      </c>
      <c r="E78" s="10"/>
      <c r="F78" s="10"/>
      <c r="G78" s="10"/>
      <c r="H78" s="10"/>
      <c r="I78" s="10"/>
      <c r="J78" s="10"/>
      <c r="K78" s="10"/>
      <c r="L78" s="10"/>
      <c r="M78" s="10"/>
      <c r="N78" s="10"/>
      <c r="O78" s="10"/>
      <c r="P78" s="10"/>
      <c r="Q78" s="10"/>
      <c r="R78" s="10"/>
      <c r="S78" s="10"/>
      <c r="T78" s="1">
        <v>62.7</v>
      </c>
      <c r="U78" s="1"/>
      <c r="V78" s="1"/>
      <c r="W78" s="67">
        <v>9.57</v>
      </c>
      <c r="X78" s="1"/>
      <c r="Y78" s="1"/>
      <c r="Z78" s="1"/>
      <c r="AA78" s="1">
        <v>6.34</v>
      </c>
      <c r="AB78" s="1"/>
      <c r="AC78" s="1"/>
      <c r="AD78" s="66">
        <f t="shared" si="0"/>
        <v>78.610000000000014</v>
      </c>
    </row>
    <row r="79" spans="1:30" ht="15" customHeight="1">
      <c r="A79" s="1"/>
      <c r="B79" s="1"/>
      <c r="C79" s="1">
        <v>4</v>
      </c>
      <c r="D79" s="1" t="s">
        <v>95</v>
      </c>
      <c r="E79" s="10"/>
      <c r="F79" s="10"/>
      <c r="G79" s="10"/>
      <c r="H79" s="10"/>
      <c r="I79" s="10"/>
      <c r="J79" s="10"/>
      <c r="K79" s="10"/>
      <c r="L79" s="10"/>
      <c r="M79" s="10"/>
      <c r="N79" s="10"/>
      <c r="O79" s="10"/>
      <c r="P79" s="10"/>
      <c r="Q79" s="10"/>
      <c r="R79" s="10"/>
      <c r="S79" s="10"/>
      <c r="T79" s="1">
        <v>72.5</v>
      </c>
      <c r="U79" s="1"/>
      <c r="V79" s="1"/>
      <c r="W79" s="67">
        <v>8.49</v>
      </c>
      <c r="X79" s="1"/>
      <c r="Y79" s="1"/>
      <c r="Z79" s="1"/>
      <c r="AA79" s="1">
        <v>4.5</v>
      </c>
      <c r="AB79" s="1"/>
      <c r="AC79" s="1"/>
      <c r="AD79" s="66">
        <f t="shared" si="0"/>
        <v>85.49</v>
      </c>
    </row>
    <row r="80" spans="1:30" ht="15" customHeight="1">
      <c r="A80" s="1"/>
      <c r="B80" s="1"/>
      <c r="C80" s="1">
        <v>4</v>
      </c>
      <c r="D80" s="1" t="s">
        <v>96</v>
      </c>
      <c r="E80" s="10"/>
      <c r="F80" s="10"/>
      <c r="G80" s="10"/>
      <c r="H80" s="10"/>
      <c r="I80" s="10"/>
      <c r="J80" s="10"/>
      <c r="K80" s="10"/>
      <c r="L80" s="10"/>
      <c r="M80" s="10"/>
      <c r="N80" s="10"/>
      <c r="O80" s="10"/>
      <c r="P80" s="10"/>
      <c r="Q80" s="10"/>
      <c r="R80" s="10"/>
      <c r="S80" s="10"/>
      <c r="T80" s="1">
        <v>92.5</v>
      </c>
      <c r="U80" s="1"/>
      <c r="V80" s="1"/>
      <c r="W80" s="67">
        <v>8.9499999999999993</v>
      </c>
      <c r="X80" s="1"/>
      <c r="Y80" s="1"/>
      <c r="Z80" s="1"/>
      <c r="AA80" s="1">
        <v>7.59</v>
      </c>
      <c r="AB80" s="1"/>
      <c r="AC80" s="1"/>
      <c r="AD80" s="66">
        <f t="shared" si="0"/>
        <v>109.04</v>
      </c>
    </row>
    <row r="81" spans="1:35" ht="15" customHeight="1">
      <c r="A81" s="1"/>
      <c r="B81" s="1"/>
      <c r="C81" s="1">
        <v>4</v>
      </c>
      <c r="D81" s="1" t="s">
        <v>39</v>
      </c>
      <c r="E81" s="10"/>
      <c r="F81" s="10"/>
      <c r="G81" s="10"/>
      <c r="H81" s="10"/>
      <c r="I81" s="10"/>
      <c r="J81" s="10"/>
      <c r="K81" s="10"/>
      <c r="L81" s="10"/>
      <c r="M81" s="10"/>
      <c r="N81" s="10"/>
      <c r="O81" s="10"/>
      <c r="P81" s="10"/>
      <c r="Q81" s="10"/>
      <c r="R81" s="10"/>
      <c r="S81" s="10"/>
      <c r="T81" s="1">
        <v>63</v>
      </c>
      <c r="U81" s="1"/>
      <c r="V81" s="1"/>
      <c r="W81" s="67">
        <v>7.53</v>
      </c>
      <c r="X81" s="1"/>
      <c r="Y81" s="1"/>
      <c r="Z81" s="1"/>
      <c r="AA81" s="1">
        <v>4.22</v>
      </c>
      <c r="AB81" s="1"/>
      <c r="AC81" s="1"/>
      <c r="AD81" s="66">
        <f t="shared" si="0"/>
        <v>74.75</v>
      </c>
      <c r="AF81" s="6" t="s">
        <v>90</v>
      </c>
      <c r="AG81" s="6" t="s">
        <v>87</v>
      </c>
      <c r="AH81" s="6" t="s">
        <v>89</v>
      </c>
      <c r="AI81" s="6" t="s">
        <v>88</v>
      </c>
    </row>
    <row r="82" spans="1:35" ht="15" customHeight="1">
      <c r="A82" s="1"/>
      <c r="B82" s="1"/>
      <c r="C82" s="1">
        <v>4</v>
      </c>
      <c r="D82" s="1" t="s">
        <v>97</v>
      </c>
      <c r="E82" s="10"/>
      <c r="F82" s="10"/>
      <c r="G82" s="10"/>
      <c r="H82" s="10"/>
      <c r="I82" s="10"/>
      <c r="J82" s="10"/>
      <c r="K82" s="10"/>
      <c r="L82" s="10"/>
      <c r="M82" s="10"/>
      <c r="N82" s="10"/>
      <c r="O82" s="10"/>
      <c r="P82" s="10"/>
      <c r="Q82" s="10"/>
      <c r="R82" s="10"/>
      <c r="S82" s="10"/>
      <c r="T82" s="1">
        <v>102.4</v>
      </c>
      <c r="U82" s="1">
        <f>AVERAGE(T78:T82)</f>
        <v>78.62</v>
      </c>
      <c r="V82" s="1"/>
      <c r="W82" s="67">
        <v>13.69</v>
      </c>
      <c r="X82" s="67">
        <f>AVERAGE(W78:W82)</f>
        <v>9.645999999999999</v>
      </c>
      <c r="Y82" s="1"/>
      <c r="Z82" s="1"/>
      <c r="AA82" s="1">
        <v>6.93</v>
      </c>
      <c r="AB82" s="1">
        <f>AVERAGE(AA78:AA82)</f>
        <v>5.9159999999999995</v>
      </c>
      <c r="AC82" s="1"/>
      <c r="AD82" s="66">
        <f t="shared" si="0"/>
        <v>123.02000000000001</v>
      </c>
      <c r="AF82" s="6">
        <v>100.87333333333333</v>
      </c>
      <c r="AG82" s="6">
        <v>99.559999999999988</v>
      </c>
      <c r="AH82" s="6">
        <v>94.91</v>
      </c>
      <c r="AI82" s="6">
        <v>141.32</v>
      </c>
    </row>
    <row r="83" spans="1:35" ht="15" customHeight="1">
      <c r="A83" s="1" t="s">
        <v>37</v>
      </c>
      <c r="B83" s="1" t="s">
        <v>99</v>
      </c>
      <c r="C83" s="1">
        <v>1</v>
      </c>
      <c r="D83" s="1" t="s">
        <v>94</v>
      </c>
      <c r="E83" s="10"/>
      <c r="F83" s="10"/>
      <c r="G83" s="10"/>
      <c r="H83" s="10"/>
      <c r="I83" s="10"/>
      <c r="J83" s="10"/>
      <c r="K83" s="10"/>
      <c r="L83" s="10"/>
      <c r="M83" s="10"/>
      <c r="N83" s="10"/>
      <c r="O83" s="10"/>
      <c r="P83" s="10"/>
      <c r="Q83" s="10"/>
      <c r="R83" s="10"/>
      <c r="S83" s="10"/>
      <c r="T83" s="1">
        <v>83.5</v>
      </c>
      <c r="U83" s="1"/>
      <c r="V83" s="1"/>
      <c r="W83" s="8">
        <f>AVERAGE(W85:W87)</f>
        <v>14.483333333333333</v>
      </c>
      <c r="X83" s="1"/>
      <c r="Y83" s="1" t="s">
        <v>201</v>
      </c>
      <c r="Z83" s="1"/>
      <c r="AA83" s="1">
        <v>2.89</v>
      </c>
      <c r="AB83" s="1"/>
      <c r="AC83" s="1"/>
      <c r="AD83" s="66">
        <f t="shared" si="0"/>
        <v>100.87333333333333</v>
      </c>
      <c r="AF83" s="6">
        <v>87.52</v>
      </c>
      <c r="AG83" s="6">
        <v>115.37</v>
      </c>
      <c r="AH83" s="6">
        <v>107.26</v>
      </c>
      <c r="AI83" s="6">
        <v>91.85</v>
      </c>
    </row>
    <row r="84" spans="1:35" ht="15" customHeight="1">
      <c r="A84" s="1"/>
      <c r="B84" s="1"/>
      <c r="C84" s="1">
        <v>1</v>
      </c>
      <c r="D84" s="1" t="s">
        <v>95</v>
      </c>
      <c r="E84" s="10"/>
      <c r="F84" s="10"/>
      <c r="G84" s="10"/>
      <c r="H84" s="10"/>
      <c r="I84" s="10"/>
      <c r="J84" s="10"/>
      <c r="K84" s="10"/>
      <c r="L84" s="10"/>
      <c r="M84" s="10"/>
      <c r="N84" s="10"/>
      <c r="O84" s="10"/>
      <c r="P84" s="10"/>
      <c r="Q84" s="10"/>
      <c r="R84" s="10"/>
      <c r="S84" s="10"/>
      <c r="T84" s="1">
        <v>70.3</v>
      </c>
      <c r="U84" s="1"/>
      <c r="V84" s="1"/>
      <c r="W84" s="8">
        <v>14.48</v>
      </c>
      <c r="X84" s="1"/>
      <c r="Y84" s="1" t="s">
        <v>202</v>
      </c>
      <c r="Z84" s="1"/>
      <c r="AA84" s="1">
        <v>2.74</v>
      </c>
      <c r="AB84" s="1"/>
      <c r="AC84" s="1"/>
      <c r="AD84" s="66">
        <f t="shared" si="0"/>
        <v>87.52</v>
      </c>
      <c r="AF84" s="6">
        <v>91.79</v>
      </c>
      <c r="AG84" s="6">
        <v>95.16</v>
      </c>
      <c r="AH84" s="6">
        <v>82.65</v>
      </c>
      <c r="AI84" s="6">
        <v>102.99199999999999</v>
      </c>
    </row>
    <row r="85" spans="1:35" ht="15" customHeight="1">
      <c r="A85" s="1"/>
      <c r="B85" s="1"/>
      <c r="C85" s="1">
        <v>1</v>
      </c>
      <c r="D85" s="1" t="s">
        <v>96</v>
      </c>
      <c r="E85" s="10"/>
      <c r="F85" s="10"/>
      <c r="G85" s="10"/>
      <c r="H85" s="10"/>
      <c r="I85" s="10"/>
      <c r="J85" s="10"/>
      <c r="K85" s="10"/>
      <c r="L85" s="10"/>
      <c r="M85" s="10"/>
      <c r="N85" s="10"/>
      <c r="O85" s="10"/>
      <c r="P85" s="10"/>
      <c r="Q85" s="10"/>
      <c r="R85" s="10"/>
      <c r="S85" s="10"/>
      <c r="T85" s="1">
        <v>77</v>
      </c>
      <c r="U85" s="1"/>
      <c r="V85" s="1"/>
      <c r="W85" s="1">
        <v>12.37</v>
      </c>
      <c r="X85" s="1"/>
      <c r="Y85" s="1"/>
      <c r="Z85" s="1"/>
      <c r="AA85" s="1">
        <v>2.42</v>
      </c>
      <c r="AB85" s="1"/>
      <c r="AC85" s="1"/>
      <c r="AD85" s="66">
        <f t="shared" si="0"/>
        <v>91.79</v>
      </c>
      <c r="AF85" s="6">
        <v>96.08</v>
      </c>
      <c r="AG85" s="6">
        <v>98.28</v>
      </c>
      <c r="AH85" s="6">
        <v>95.850000000000009</v>
      </c>
      <c r="AI85" s="6">
        <v>86.78</v>
      </c>
    </row>
    <row r="86" spans="1:35" ht="15" customHeight="1">
      <c r="A86" s="1"/>
      <c r="B86" s="1"/>
      <c r="C86" s="1">
        <v>1</v>
      </c>
      <c r="D86" s="1" t="s">
        <v>39</v>
      </c>
      <c r="E86" s="10"/>
      <c r="F86" s="10"/>
      <c r="G86" s="10"/>
      <c r="H86" s="10"/>
      <c r="I86" s="10"/>
      <c r="J86" s="10"/>
      <c r="K86" s="10"/>
      <c r="L86" s="10"/>
      <c r="M86" s="10"/>
      <c r="N86" s="10"/>
      <c r="O86" s="10"/>
      <c r="P86" s="10"/>
      <c r="Q86" s="10"/>
      <c r="R86" s="10"/>
      <c r="S86" s="10"/>
      <c r="T86" s="1">
        <v>67.5</v>
      </c>
      <c r="U86" s="1"/>
      <c r="V86" s="1"/>
      <c r="W86" s="1">
        <v>26.47</v>
      </c>
      <c r="X86" s="1"/>
      <c r="Y86" s="1"/>
      <c r="Z86" s="1"/>
      <c r="AA86" s="1">
        <v>2.11</v>
      </c>
      <c r="AB86" s="1"/>
      <c r="AC86" s="1"/>
      <c r="AD86" s="66">
        <f t="shared" si="0"/>
        <v>96.08</v>
      </c>
      <c r="AF86" s="6">
        <v>79.64</v>
      </c>
      <c r="AG86" s="6">
        <v>76.36999999999999</v>
      </c>
      <c r="AH86" s="6">
        <v>82.649999999999991</v>
      </c>
      <c r="AI86" s="6">
        <v>79.360000000000014</v>
      </c>
    </row>
    <row r="87" spans="1:35" ht="15" customHeight="1">
      <c r="A87" s="1"/>
      <c r="B87" s="1"/>
      <c r="C87" s="1">
        <v>1</v>
      </c>
      <c r="D87" s="1" t="s">
        <v>97</v>
      </c>
      <c r="E87" s="10"/>
      <c r="F87" s="10"/>
      <c r="G87" s="10"/>
      <c r="H87" s="10"/>
      <c r="I87" s="10"/>
      <c r="J87" s="10"/>
      <c r="K87" s="10"/>
      <c r="L87" s="10"/>
      <c r="M87" s="10"/>
      <c r="N87" s="10"/>
      <c r="O87" s="10"/>
      <c r="P87" s="10"/>
      <c r="Q87" s="10"/>
      <c r="R87" s="10"/>
      <c r="S87" s="10"/>
      <c r="T87" s="1">
        <v>71</v>
      </c>
      <c r="U87" s="1">
        <f>AVERAGE(T83:T87)</f>
        <v>73.86</v>
      </c>
      <c r="V87" s="1"/>
      <c r="W87" s="1">
        <v>4.6100000000000003</v>
      </c>
      <c r="X87" s="1">
        <f>AVERAGE(W83:W87)</f>
        <v>14.482666666666665</v>
      </c>
      <c r="Y87" s="1"/>
      <c r="Z87" s="1"/>
      <c r="AA87" s="1">
        <v>4.03</v>
      </c>
      <c r="AB87" s="1">
        <f>AVERAGE(AA83:AA87)</f>
        <v>2.8380000000000001</v>
      </c>
      <c r="AC87" s="1"/>
      <c r="AD87" s="66">
        <f t="shared" si="0"/>
        <v>79.64</v>
      </c>
    </row>
    <row r="88" spans="1:35" ht="15" customHeight="1">
      <c r="A88" s="1"/>
      <c r="B88" s="1"/>
      <c r="C88" s="1">
        <v>2</v>
      </c>
      <c r="D88" s="1" t="s">
        <v>94</v>
      </c>
      <c r="E88" s="10"/>
      <c r="F88" s="10"/>
      <c r="G88" s="10"/>
      <c r="H88" s="10"/>
      <c r="I88" s="10"/>
      <c r="J88" s="10"/>
      <c r="K88" s="10"/>
      <c r="L88" s="10"/>
      <c r="M88" s="10"/>
      <c r="N88" s="10"/>
      <c r="O88" s="10"/>
      <c r="P88" s="10"/>
      <c r="Q88" s="10"/>
      <c r="R88" s="10"/>
      <c r="S88" s="10"/>
      <c r="T88" s="1">
        <v>79.599999999999994</v>
      </c>
      <c r="U88" s="1"/>
      <c r="V88" s="1"/>
      <c r="W88" s="67">
        <v>16.8</v>
      </c>
      <c r="X88" s="1"/>
      <c r="Y88" s="1"/>
      <c r="Z88" s="1"/>
      <c r="AA88" s="1">
        <v>3.16</v>
      </c>
      <c r="AB88" s="1"/>
      <c r="AC88" s="1"/>
      <c r="AD88" s="66">
        <f t="shared" si="0"/>
        <v>99.559999999999988</v>
      </c>
    </row>
    <row r="89" spans="1:35" ht="15" customHeight="1">
      <c r="A89" s="1"/>
      <c r="B89" s="1"/>
      <c r="C89" s="1">
        <v>2</v>
      </c>
      <c r="D89" s="1" t="s">
        <v>95</v>
      </c>
      <c r="E89" s="10"/>
      <c r="F89" s="10"/>
      <c r="G89" s="10"/>
      <c r="H89" s="10"/>
      <c r="I89" s="10"/>
      <c r="J89" s="10"/>
      <c r="K89" s="10"/>
      <c r="L89" s="10"/>
      <c r="M89" s="10"/>
      <c r="N89" s="10"/>
      <c r="O89" s="10"/>
      <c r="P89" s="10"/>
      <c r="Q89" s="10"/>
      <c r="R89" s="10"/>
      <c r="S89" s="10"/>
      <c r="T89" s="1">
        <v>96.6</v>
      </c>
      <c r="U89" s="1"/>
      <c r="V89" s="1"/>
      <c r="W89" s="1">
        <v>14.96</v>
      </c>
      <c r="X89" s="1"/>
      <c r="Y89" s="1"/>
      <c r="Z89" s="1"/>
      <c r="AA89" s="1">
        <v>3.81</v>
      </c>
      <c r="AB89" s="1"/>
      <c r="AC89" s="1"/>
      <c r="AD89" s="66">
        <f t="shared" si="0"/>
        <v>115.37</v>
      </c>
    </row>
    <row r="90" spans="1:35" ht="15" customHeight="1">
      <c r="A90" s="1"/>
      <c r="B90" s="1"/>
      <c r="C90" s="1">
        <v>2</v>
      </c>
      <c r="D90" s="1" t="s">
        <v>96</v>
      </c>
      <c r="E90" s="10"/>
      <c r="F90" s="10"/>
      <c r="G90" s="10"/>
      <c r="H90" s="10"/>
      <c r="I90" s="10"/>
      <c r="J90" s="10"/>
      <c r="K90" s="10"/>
      <c r="L90" s="10"/>
      <c r="M90" s="10"/>
      <c r="N90" s="10"/>
      <c r="O90" s="10"/>
      <c r="P90" s="10"/>
      <c r="Q90" s="10"/>
      <c r="R90" s="10"/>
      <c r="S90" s="10"/>
      <c r="T90" s="1">
        <v>73.2</v>
      </c>
      <c r="U90" s="1"/>
      <c r="V90" s="1"/>
      <c r="W90" s="1">
        <v>19.690000000000001</v>
      </c>
      <c r="X90" s="1"/>
      <c r="Y90" s="1"/>
      <c r="Z90" s="1"/>
      <c r="AA90" s="1">
        <v>2.27</v>
      </c>
      <c r="AB90" s="1"/>
      <c r="AC90" s="1"/>
      <c r="AD90" s="66">
        <f t="shared" si="0"/>
        <v>95.16</v>
      </c>
    </row>
    <row r="91" spans="1:35" ht="15" customHeight="1">
      <c r="A91" s="1"/>
      <c r="B91" s="1"/>
      <c r="C91" s="1">
        <v>2</v>
      </c>
      <c r="D91" s="1" t="s">
        <v>39</v>
      </c>
      <c r="E91" s="10"/>
      <c r="F91" s="10"/>
      <c r="G91" s="10"/>
      <c r="H91" s="10"/>
      <c r="I91" s="10"/>
      <c r="J91" s="10"/>
      <c r="K91" s="10"/>
      <c r="L91" s="10"/>
      <c r="M91" s="10"/>
      <c r="N91" s="10"/>
      <c r="O91" s="10"/>
      <c r="P91" s="10"/>
      <c r="Q91" s="10"/>
      <c r="R91" s="10"/>
      <c r="S91" s="10"/>
      <c r="T91" s="1">
        <v>67.900000000000006</v>
      </c>
      <c r="U91" s="1"/>
      <c r="V91" s="1"/>
      <c r="W91" s="67">
        <v>27.1</v>
      </c>
      <c r="X91" s="1"/>
      <c r="Y91" s="1"/>
      <c r="Z91" s="1"/>
      <c r="AA91" s="1">
        <v>3.28</v>
      </c>
      <c r="AB91" s="1"/>
      <c r="AC91" s="1"/>
      <c r="AD91" s="66">
        <f t="shared" si="0"/>
        <v>98.28</v>
      </c>
    </row>
    <row r="92" spans="1:35" ht="15" customHeight="1">
      <c r="A92" s="1"/>
      <c r="B92" s="1"/>
      <c r="C92" s="1">
        <v>2</v>
      </c>
      <c r="D92" s="1" t="s">
        <v>97</v>
      </c>
      <c r="E92" s="10"/>
      <c r="F92" s="10"/>
      <c r="G92" s="10"/>
      <c r="H92" s="10"/>
      <c r="I92" s="10"/>
      <c r="J92" s="10"/>
      <c r="K92" s="10"/>
      <c r="L92" s="10"/>
      <c r="M92" s="10"/>
      <c r="N92" s="10"/>
      <c r="O92" s="10"/>
      <c r="P92" s="10"/>
      <c r="Q92" s="10"/>
      <c r="R92" s="10"/>
      <c r="S92" s="10"/>
      <c r="T92" s="1">
        <v>65.099999999999994</v>
      </c>
      <c r="U92" s="1">
        <f>AVERAGE(T88:T92)</f>
        <v>76.47999999999999</v>
      </c>
      <c r="V92" s="1"/>
      <c r="W92" s="67">
        <v>9</v>
      </c>
      <c r="X92" s="67">
        <f>AVERAGE(W88:W92)</f>
        <v>17.510000000000002</v>
      </c>
      <c r="Y92" s="1"/>
      <c r="Z92" s="1"/>
      <c r="AA92" s="1">
        <v>2.27</v>
      </c>
      <c r="AB92" s="1">
        <f>AVERAGE(AA88:AA92)</f>
        <v>2.9579999999999997</v>
      </c>
      <c r="AC92" s="1"/>
      <c r="AD92" s="66">
        <f t="shared" si="0"/>
        <v>76.36999999999999</v>
      </c>
    </row>
    <row r="93" spans="1:35" ht="15" customHeight="1">
      <c r="A93" s="1"/>
      <c r="B93" s="1"/>
      <c r="C93" s="1">
        <v>3</v>
      </c>
      <c r="D93" s="1" t="s">
        <v>94</v>
      </c>
      <c r="E93" s="10"/>
      <c r="F93" s="10"/>
      <c r="G93" s="10"/>
      <c r="H93" s="10"/>
      <c r="I93" s="10"/>
      <c r="J93" s="10"/>
      <c r="K93" s="10"/>
      <c r="L93" s="10"/>
      <c r="M93" s="10"/>
      <c r="N93" s="10"/>
      <c r="O93" s="10"/>
      <c r="P93" s="10"/>
      <c r="Q93" s="10"/>
      <c r="R93" s="10"/>
      <c r="S93" s="10"/>
      <c r="T93" s="1">
        <v>50.9</v>
      </c>
      <c r="U93" s="1"/>
      <c r="V93" s="1"/>
      <c r="W93" s="1">
        <v>40.909999999999997</v>
      </c>
      <c r="X93" s="1"/>
      <c r="Y93" s="1"/>
      <c r="Z93" s="1"/>
      <c r="AA93" s="1">
        <v>3.1</v>
      </c>
      <c r="AB93" s="1"/>
      <c r="AC93" s="1"/>
      <c r="AD93" s="66">
        <f t="shared" si="0"/>
        <v>94.91</v>
      </c>
    </row>
    <row r="94" spans="1:35" ht="15" customHeight="1">
      <c r="A94" s="1"/>
      <c r="B94" s="1"/>
      <c r="C94" s="1">
        <v>3</v>
      </c>
      <c r="D94" s="1" t="s">
        <v>95</v>
      </c>
      <c r="E94" s="10"/>
      <c r="F94" s="10"/>
      <c r="G94" s="10"/>
      <c r="H94" s="10"/>
      <c r="I94" s="10"/>
      <c r="J94" s="10"/>
      <c r="K94" s="10"/>
      <c r="L94" s="10"/>
      <c r="M94" s="10"/>
      <c r="N94" s="10"/>
      <c r="O94" s="10"/>
      <c r="P94" s="10"/>
      <c r="Q94" s="10"/>
      <c r="R94" s="10"/>
      <c r="S94" s="10"/>
      <c r="T94" s="1">
        <v>60.1</v>
      </c>
      <c r="U94" s="1"/>
      <c r="V94" s="1"/>
      <c r="W94" s="1">
        <v>44.64</v>
      </c>
      <c r="X94" s="1"/>
      <c r="Y94" s="1"/>
      <c r="Z94" s="1"/>
      <c r="AA94" s="1">
        <v>2.52</v>
      </c>
      <c r="AB94" s="1"/>
      <c r="AC94" s="1"/>
      <c r="AD94" s="66">
        <f t="shared" si="0"/>
        <v>107.26</v>
      </c>
    </row>
    <row r="95" spans="1:35" ht="15" customHeight="1">
      <c r="A95" s="1"/>
      <c r="B95" s="1"/>
      <c r="C95" s="1">
        <v>3</v>
      </c>
      <c r="D95" s="1" t="s">
        <v>96</v>
      </c>
      <c r="E95" s="10"/>
      <c r="F95" s="10"/>
      <c r="G95" s="10"/>
      <c r="H95" s="10"/>
      <c r="I95" s="10"/>
      <c r="J95" s="10"/>
      <c r="K95" s="10"/>
      <c r="L95" s="10"/>
      <c r="M95" s="10"/>
      <c r="N95" s="10"/>
      <c r="O95" s="10"/>
      <c r="P95" s="10"/>
      <c r="Q95" s="10"/>
      <c r="R95" s="10"/>
      <c r="S95" s="10"/>
      <c r="T95" s="1">
        <v>57.5</v>
      </c>
      <c r="U95" s="1"/>
      <c r="V95" s="1"/>
      <c r="W95" s="1">
        <v>23.48</v>
      </c>
      <c r="X95" s="1"/>
      <c r="Y95" s="1"/>
      <c r="Z95" s="1"/>
      <c r="AA95" s="1">
        <v>1.67</v>
      </c>
      <c r="AB95" s="1"/>
      <c r="AC95" s="1"/>
      <c r="AD95" s="66">
        <f t="shared" si="0"/>
        <v>82.65</v>
      </c>
    </row>
    <row r="96" spans="1:35" ht="15" customHeight="1">
      <c r="A96" s="1"/>
      <c r="B96" s="1"/>
      <c r="C96" s="1">
        <v>3</v>
      </c>
      <c r="D96" s="1" t="s">
        <v>39</v>
      </c>
      <c r="E96" s="10"/>
      <c r="F96" s="10"/>
      <c r="G96" s="10"/>
      <c r="H96" s="10"/>
      <c r="I96" s="10"/>
      <c r="J96" s="10"/>
      <c r="K96" s="10"/>
      <c r="L96" s="10"/>
      <c r="M96" s="10"/>
      <c r="N96" s="10"/>
      <c r="O96" s="10"/>
      <c r="P96" s="10"/>
      <c r="Q96" s="10"/>
      <c r="R96" s="10"/>
      <c r="S96" s="10"/>
      <c r="T96" s="1">
        <v>62.5</v>
      </c>
      <c r="U96" s="1"/>
      <c r="V96" s="1"/>
      <c r="W96" s="1">
        <v>30.34</v>
      </c>
      <c r="X96" s="1"/>
      <c r="Y96" s="1"/>
      <c r="Z96" s="1"/>
      <c r="AA96" s="1">
        <v>3.01</v>
      </c>
      <c r="AB96" s="1"/>
      <c r="AC96" s="1"/>
      <c r="AD96" s="66">
        <f t="shared" si="0"/>
        <v>95.850000000000009</v>
      </c>
    </row>
    <row r="97" spans="1:35" ht="15" customHeight="1">
      <c r="A97" s="1"/>
      <c r="B97" s="1"/>
      <c r="C97" s="1">
        <v>3</v>
      </c>
      <c r="D97" s="1" t="s">
        <v>97</v>
      </c>
      <c r="E97" s="10"/>
      <c r="F97" s="10"/>
      <c r="G97" s="10"/>
      <c r="H97" s="10"/>
      <c r="I97" s="10"/>
      <c r="J97" s="10"/>
      <c r="K97" s="10"/>
      <c r="L97" s="10"/>
      <c r="M97" s="10"/>
      <c r="N97" s="10"/>
      <c r="O97" s="10"/>
      <c r="P97" s="10"/>
      <c r="Q97" s="10"/>
      <c r="R97" s="10"/>
      <c r="S97" s="10"/>
      <c r="T97" s="1">
        <v>49.5</v>
      </c>
      <c r="U97" s="1">
        <f>AVERAGE(T93:T97)</f>
        <v>56.1</v>
      </c>
      <c r="V97" s="1"/>
      <c r="W97" s="1">
        <v>31.52</v>
      </c>
      <c r="X97" s="1">
        <f>AVERAGE(W93:W97)</f>
        <v>34.178000000000004</v>
      </c>
      <c r="Y97" s="1"/>
      <c r="Z97" s="1"/>
      <c r="AA97" s="1">
        <v>1.63</v>
      </c>
      <c r="AB97" s="1">
        <f>AVERAGE(AA93:AA97)</f>
        <v>2.3860000000000001</v>
      </c>
      <c r="AC97" s="1"/>
      <c r="AD97" s="66">
        <f t="shared" si="0"/>
        <v>82.649999999999991</v>
      </c>
    </row>
    <row r="98" spans="1:35" ht="15" customHeight="1">
      <c r="A98" s="1"/>
      <c r="B98" s="1"/>
      <c r="C98" s="1">
        <v>4</v>
      </c>
      <c r="D98" s="1" t="s">
        <v>94</v>
      </c>
      <c r="E98" s="10"/>
      <c r="F98" s="10"/>
      <c r="G98" s="10"/>
      <c r="H98" s="10"/>
      <c r="I98" s="10"/>
      <c r="J98" s="10"/>
      <c r="K98" s="10"/>
      <c r="L98" s="10"/>
      <c r="M98" s="10"/>
      <c r="N98" s="10"/>
      <c r="O98" s="10"/>
      <c r="P98" s="10"/>
      <c r="Q98" s="10"/>
      <c r="R98" s="10"/>
      <c r="S98" s="10"/>
      <c r="T98" s="1">
        <v>95.6</v>
      </c>
      <c r="U98" s="1"/>
      <c r="V98" s="1"/>
      <c r="W98" s="67">
        <v>41.9</v>
      </c>
      <c r="X98" s="1"/>
      <c r="Y98" s="1"/>
      <c r="Z98" s="1"/>
      <c r="AA98" s="1">
        <v>3.82</v>
      </c>
      <c r="AB98" s="1"/>
      <c r="AC98" s="1"/>
      <c r="AD98" s="66">
        <f t="shared" si="0"/>
        <v>141.32</v>
      </c>
    </row>
    <row r="99" spans="1:35" ht="15" customHeight="1">
      <c r="A99" s="1"/>
      <c r="B99" s="1"/>
      <c r="C99" s="1">
        <v>4</v>
      </c>
      <c r="D99" s="1" t="s">
        <v>95</v>
      </c>
      <c r="E99" s="10"/>
      <c r="F99" s="10"/>
      <c r="G99" s="10"/>
      <c r="H99" s="10"/>
      <c r="I99" s="10"/>
      <c r="J99" s="10"/>
      <c r="K99" s="10"/>
      <c r="L99" s="10"/>
      <c r="M99" s="10"/>
      <c r="N99" s="10"/>
      <c r="O99" s="10"/>
      <c r="P99" s="10"/>
      <c r="Q99" s="10"/>
      <c r="R99" s="10"/>
      <c r="S99" s="10"/>
      <c r="T99" s="1">
        <v>80.099999999999994</v>
      </c>
      <c r="U99" s="1"/>
      <c r="V99" s="1"/>
      <c r="W99" s="1">
        <v>10.029999999999999</v>
      </c>
      <c r="X99" s="1"/>
      <c r="Y99" s="1"/>
      <c r="Z99" s="1"/>
      <c r="AA99" s="1">
        <v>1.72</v>
      </c>
      <c r="AB99" s="1"/>
      <c r="AC99" s="1"/>
      <c r="AD99" s="66">
        <f t="shared" si="0"/>
        <v>91.85</v>
      </c>
    </row>
    <row r="100" spans="1:35" ht="15" customHeight="1">
      <c r="A100" s="1"/>
      <c r="B100" s="1"/>
      <c r="C100" s="1">
        <v>4</v>
      </c>
      <c r="D100" s="1" t="s">
        <v>96</v>
      </c>
      <c r="E100" s="10"/>
      <c r="F100" s="10"/>
      <c r="G100" s="10"/>
      <c r="H100" s="10"/>
      <c r="I100" s="10"/>
      <c r="J100" s="10"/>
      <c r="K100" s="10"/>
      <c r="L100" s="10"/>
      <c r="M100" s="10"/>
      <c r="N100" s="10"/>
      <c r="O100" s="10"/>
      <c r="P100" s="10"/>
      <c r="Q100" s="10"/>
      <c r="R100" s="10"/>
      <c r="S100" s="10"/>
      <c r="T100" s="1">
        <v>77.8</v>
      </c>
      <c r="U100" s="1"/>
      <c r="V100" s="1"/>
      <c r="W100" s="77">
        <f>AVERAGE(W98,W99,W101,W101,W102)</f>
        <v>23.002000000000002</v>
      </c>
      <c r="X100" s="1"/>
      <c r="Y100" s="1" t="s">
        <v>206</v>
      </c>
      <c r="Z100" s="1"/>
      <c r="AA100" s="1">
        <v>2.19</v>
      </c>
      <c r="AB100" s="1"/>
      <c r="AC100" s="1"/>
      <c r="AD100" s="66">
        <f t="shared" si="0"/>
        <v>102.99199999999999</v>
      </c>
    </row>
    <row r="101" spans="1:35" ht="15" customHeight="1">
      <c r="A101" s="1"/>
      <c r="B101" s="1"/>
      <c r="C101" s="1">
        <v>4</v>
      </c>
      <c r="D101" s="1" t="s">
        <v>39</v>
      </c>
      <c r="E101" s="10"/>
      <c r="F101" s="10"/>
      <c r="G101" s="10"/>
      <c r="H101" s="10"/>
      <c r="I101" s="10"/>
      <c r="J101" s="10"/>
      <c r="K101" s="10"/>
      <c r="L101" s="10"/>
      <c r="M101" s="10"/>
      <c r="N101" s="10"/>
      <c r="O101" s="10"/>
      <c r="P101" s="10"/>
      <c r="Q101" s="10"/>
      <c r="R101" s="10"/>
      <c r="S101" s="10"/>
      <c r="T101" s="1">
        <v>59.6</v>
      </c>
      <c r="U101" s="1"/>
      <c r="V101" s="1"/>
      <c r="W101" s="8">
        <v>23</v>
      </c>
      <c r="X101" s="1"/>
      <c r="Y101" s="1" t="s">
        <v>207</v>
      </c>
      <c r="Z101" s="1"/>
      <c r="AA101" s="1">
        <v>4.18</v>
      </c>
      <c r="AB101" s="1"/>
      <c r="AC101" s="1"/>
      <c r="AD101" s="66">
        <f t="shared" si="0"/>
        <v>86.78</v>
      </c>
      <c r="AF101" s="6" t="s">
        <v>89</v>
      </c>
      <c r="AG101" s="6" t="s">
        <v>88</v>
      </c>
      <c r="AH101" s="6" t="s">
        <v>90</v>
      </c>
      <c r="AI101" s="6" t="s">
        <v>87</v>
      </c>
    </row>
    <row r="102" spans="1:35" ht="15" customHeight="1">
      <c r="A102" s="1"/>
      <c r="B102" s="1"/>
      <c r="C102" s="1">
        <v>4</v>
      </c>
      <c r="D102" s="1" t="s">
        <v>97</v>
      </c>
      <c r="E102" s="10"/>
      <c r="F102" s="10"/>
      <c r="G102" s="10"/>
      <c r="H102" s="10"/>
      <c r="I102" s="10"/>
      <c r="J102" s="10"/>
      <c r="K102" s="10"/>
      <c r="L102" s="10"/>
      <c r="M102" s="10"/>
      <c r="N102" s="10"/>
      <c r="O102" s="10"/>
      <c r="P102" s="10"/>
      <c r="Q102" s="10"/>
      <c r="R102" s="10"/>
      <c r="S102" s="10"/>
      <c r="T102" s="1">
        <v>60.1</v>
      </c>
      <c r="U102" s="1">
        <f>AVERAGE(T98:T102)</f>
        <v>74.640000000000015</v>
      </c>
      <c r="V102" s="1"/>
      <c r="W102" s="67">
        <v>17.079999999999998</v>
      </c>
      <c r="X102" s="67">
        <f>AVERAGE(W98:W102)</f>
        <v>23.002400000000002</v>
      </c>
      <c r="Y102" s="1"/>
      <c r="Z102" s="1"/>
      <c r="AA102" s="1">
        <v>2.1800000000000002</v>
      </c>
      <c r="AB102" s="1">
        <f>AVERAGE(AA98:AA102)</f>
        <v>2.8180000000000001</v>
      </c>
      <c r="AC102" s="1"/>
      <c r="AD102" s="66">
        <f t="shared" si="0"/>
        <v>79.360000000000014</v>
      </c>
      <c r="AF102" s="6">
        <v>65.09</v>
      </c>
      <c r="AG102" s="6">
        <v>95.38</v>
      </c>
      <c r="AH102" s="6">
        <v>64.05</v>
      </c>
      <c r="AI102" s="6">
        <v>105.94000000000001</v>
      </c>
    </row>
    <row r="103" spans="1:35" ht="15" customHeight="1">
      <c r="A103" s="1" t="s">
        <v>37</v>
      </c>
      <c r="B103" s="1" t="s">
        <v>101</v>
      </c>
      <c r="C103" s="1">
        <v>1</v>
      </c>
      <c r="D103" s="1" t="s">
        <v>94</v>
      </c>
      <c r="E103" s="10"/>
      <c r="F103" s="10"/>
      <c r="G103" s="10"/>
      <c r="H103" s="10"/>
      <c r="I103" s="10"/>
      <c r="J103" s="10"/>
      <c r="K103" s="10"/>
      <c r="L103" s="10"/>
      <c r="M103" s="10"/>
      <c r="N103" s="10"/>
      <c r="O103" s="10"/>
      <c r="P103" s="10"/>
      <c r="Q103" s="10"/>
      <c r="R103" s="10"/>
      <c r="S103" s="10"/>
      <c r="T103" s="1">
        <v>63.3</v>
      </c>
      <c r="U103" s="1"/>
      <c r="V103" s="1"/>
      <c r="W103" s="67">
        <v>1.18</v>
      </c>
      <c r="X103" s="1"/>
      <c r="Y103" s="1"/>
      <c r="Z103" s="1"/>
      <c r="AA103" s="1">
        <v>0.61</v>
      </c>
      <c r="AB103" s="1"/>
      <c r="AC103" s="1"/>
      <c r="AD103" s="66">
        <f t="shared" si="0"/>
        <v>65.09</v>
      </c>
      <c r="AF103" s="6">
        <v>115.8</v>
      </c>
      <c r="AG103" s="6">
        <v>108.55000000000001</v>
      </c>
      <c r="AH103" s="6">
        <v>104.18999999999998</v>
      </c>
      <c r="AI103" s="6">
        <v>92.28</v>
      </c>
    </row>
    <row r="104" spans="1:35" ht="15" customHeight="1">
      <c r="A104" s="1"/>
      <c r="B104" s="1"/>
      <c r="C104" s="1">
        <v>1</v>
      </c>
      <c r="D104" s="1" t="s">
        <v>95</v>
      </c>
      <c r="E104" s="10"/>
      <c r="F104" s="10"/>
      <c r="G104" s="10"/>
      <c r="H104" s="10"/>
      <c r="I104" s="10"/>
      <c r="J104" s="10"/>
      <c r="K104" s="10"/>
      <c r="L104" s="10"/>
      <c r="M104" s="10"/>
      <c r="N104" s="10"/>
      <c r="O104" s="10"/>
      <c r="P104" s="10"/>
      <c r="Q104" s="10"/>
      <c r="R104" s="10"/>
      <c r="S104" s="10"/>
      <c r="T104" s="1">
        <v>93.5</v>
      </c>
      <c r="U104" s="1"/>
      <c r="V104" s="1"/>
      <c r="W104" s="67">
        <v>19.7</v>
      </c>
      <c r="X104" s="1"/>
      <c r="Y104" s="1"/>
      <c r="Z104" s="1"/>
      <c r="AA104" s="1">
        <v>2.6</v>
      </c>
      <c r="AB104" s="1"/>
      <c r="AC104" s="1"/>
      <c r="AD104" s="66">
        <f t="shared" si="0"/>
        <v>115.8</v>
      </c>
      <c r="AF104" s="6">
        <v>77.09</v>
      </c>
      <c r="AG104" s="6">
        <v>109.86</v>
      </c>
      <c r="AH104" s="6">
        <v>90.61999999999999</v>
      </c>
      <c r="AI104" s="6">
        <v>75.350000000000009</v>
      </c>
    </row>
    <row r="105" spans="1:35" ht="15" customHeight="1">
      <c r="A105" s="1"/>
      <c r="B105" s="1"/>
      <c r="C105" s="1">
        <v>1</v>
      </c>
      <c r="D105" s="1" t="s">
        <v>96</v>
      </c>
      <c r="E105" s="10"/>
      <c r="F105" s="10"/>
      <c r="G105" s="10"/>
      <c r="H105" s="10"/>
      <c r="I105" s="10"/>
      <c r="J105" s="10"/>
      <c r="K105" s="10"/>
      <c r="L105" s="10"/>
      <c r="M105" s="10"/>
      <c r="N105" s="10"/>
      <c r="O105" s="10"/>
      <c r="P105" s="10"/>
      <c r="Q105" s="10"/>
      <c r="R105" s="10"/>
      <c r="S105" s="10"/>
      <c r="T105" s="1">
        <v>69.5</v>
      </c>
      <c r="U105" s="1"/>
      <c r="V105" s="1"/>
      <c r="W105" s="67">
        <v>4.2</v>
      </c>
      <c r="X105" s="1"/>
      <c r="Y105" s="1"/>
      <c r="Z105" s="1"/>
      <c r="AA105" s="1">
        <v>3.39</v>
      </c>
      <c r="AB105" s="1"/>
      <c r="AC105" s="1"/>
      <c r="AD105" s="66">
        <f t="shared" si="0"/>
        <v>77.09</v>
      </c>
      <c r="AF105" s="6">
        <v>126.35</v>
      </c>
      <c r="AG105" s="6">
        <v>69.790000000000006</v>
      </c>
      <c r="AH105" s="6">
        <v>91.99</v>
      </c>
      <c r="AI105" s="6">
        <v>83.06</v>
      </c>
    </row>
    <row r="106" spans="1:35" ht="15" customHeight="1">
      <c r="A106" s="1"/>
      <c r="B106" s="1"/>
      <c r="C106" s="1">
        <v>1</v>
      </c>
      <c r="D106" s="1" t="s">
        <v>39</v>
      </c>
      <c r="E106" s="10"/>
      <c r="F106" s="10"/>
      <c r="G106" s="10"/>
      <c r="H106" s="10"/>
      <c r="I106" s="10"/>
      <c r="J106" s="10"/>
      <c r="K106" s="10"/>
      <c r="L106" s="10"/>
      <c r="M106" s="10"/>
      <c r="N106" s="10"/>
      <c r="O106" s="10"/>
      <c r="P106" s="10"/>
      <c r="Q106" s="10"/>
      <c r="R106" s="10"/>
      <c r="S106" s="10"/>
      <c r="T106" s="1">
        <v>75.900000000000006</v>
      </c>
      <c r="U106" s="1"/>
      <c r="V106" s="1"/>
      <c r="W106" s="67">
        <v>44.73</v>
      </c>
      <c r="X106" s="1"/>
      <c r="Y106" s="1"/>
      <c r="Z106" s="1"/>
      <c r="AA106" s="1">
        <v>5.72</v>
      </c>
      <c r="AB106" s="1"/>
      <c r="AC106" s="1"/>
      <c r="AD106" s="66">
        <f t="shared" si="0"/>
        <v>126.35</v>
      </c>
      <c r="AF106" s="6">
        <v>85.260000000000019</v>
      </c>
      <c r="AG106" s="6">
        <v>80.850000000000009</v>
      </c>
      <c r="AH106" s="6">
        <v>98.88</v>
      </c>
      <c r="AI106" s="6">
        <v>79.55</v>
      </c>
    </row>
    <row r="107" spans="1:35" ht="15" customHeight="1">
      <c r="A107" s="1"/>
      <c r="B107" s="1"/>
      <c r="C107" s="1">
        <v>1</v>
      </c>
      <c r="D107" s="1" t="s">
        <v>97</v>
      </c>
      <c r="E107" s="10"/>
      <c r="F107" s="10"/>
      <c r="G107" s="10"/>
      <c r="H107" s="10"/>
      <c r="I107" s="10"/>
      <c r="J107" s="10"/>
      <c r="K107" s="10"/>
      <c r="L107" s="10"/>
      <c r="M107" s="10"/>
      <c r="N107" s="10"/>
      <c r="O107" s="10"/>
      <c r="P107" s="10"/>
      <c r="Q107" s="10"/>
      <c r="R107" s="10"/>
      <c r="S107" s="10"/>
      <c r="T107" s="8">
        <f>AVERAGE(T103:T106)</f>
        <v>75.550000000000011</v>
      </c>
      <c r="U107" s="1">
        <f>AVERAGE(T103:T107)</f>
        <v>75.550000000000011</v>
      </c>
      <c r="V107" s="1"/>
      <c r="W107" s="67">
        <v>7.59</v>
      </c>
      <c r="X107" s="67">
        <f>AVERAGE(W103:W107)</f>
        <v>15.48</v>
      </c>
      <c r="Y107" s="1"/>
      <c r="Z107" s="1"/>
      <c r="AA107" s="1">
        <v>2.12</v>
      </c>
      <c r="AB107" s="1">
        <f>AVERAGE(AA103:AA107)</f>
        <v>2.8880000000000003</v>
      </c>
      <c r="AC107" s="1"/>
      <c r="AD107" s="66">
        <f t="shared" si="0"/>
        <v>85.260000000000019</v>
      </c>
    </row>
    <row r="108" spans="1:35" ht="15" customHeight="1">
      <c r="A108" s="1"/>
      <c r="B108" s="1"/>
      <c r="C108" s="1">
        <v>2</v>
      </c>
      <c r="D108" s="1" t="s">
        <v>94</v>
      </c>
      <c r="E108" s="10"/>
      <c r="F108" s="10"/>
      <c r="G108" s="10"/>
      <c r="H108" s="10"/>
      <c r="I108" s="10"/>
      <c r="J108" s="10"/>
      <c r="K108" s="10"/>
      <c r="L108" s="10"/>
      <c r="M108" s="10"/>
      <c r="N108" s="10"/>
      <c r="O108" s="10"/>
      <c r="P108" s="10"/>
      <c r="Q108" s="10"/>
      <c r="R108" s="10"/>
      <c r="S108" s="10"/>
      <c r="T108" s="1">
        <v>77</v>
      </c>
      <c r="U108" s="1"/>
      <c r="V108" s="1"/>
      <c r="W108" s="67">
        <v>16.32</v>
      </c>
      <c r="X108" s="1"/>
      <c r="Y108" s="1"/>
      <c r="Z108" s="1"/>
      <c r="AA108" s="1">
        <v>2.06</v>
      </c>
      <c r="AB108" s="1"/>
      <c r="AC108" s="1"/>
      <c r="AD108" s="66">
        <f t="shared" si="0"/>
        <v>95.38</v>
      </c>
    </row>
    <row r="109" spans="1:35" ht="15" customHeight="1">
      <c r="A109" s="1"/>
      <c r="B109" s="1"/>
      <c r="C109" s="1">
        <v>2</v>
      </c>
      <c r="D109" s="1" t="s">
        <v>95</v>
      </c>
      <c r="E109" s="10"/>
      <c r="F109" s="10"/>
      <c r="G109" s="10"/>
      <c r="H109" s="10"/>
      <c r="I109" s="10"/>
      <c r="J109" s="10"/>
      <c r="K109" s="10"/>
      <c r="L109" s="10"/>
      <c r="M109" s="10"/>
      <c r="N109" s="10"/>
      <c r="O109" s="10"/>
      <c r="P109" s="10"/>
      <c r="Q109" s="10"/>
      <c r="R109" s="10"/>
      <c r="S109" s="10"/>
      <c r="T109" s="1">
        <v>85.2</v>
      </c>
      <c r="U109" s="1"/>
      <c r="V109" s="1"/>
      <c r="W109" s="67">
        <v>20.84</v>
      </c>
      <c r="X109" s="1"/>
      <c r="Y109" s="1"/>
      <c r="Z109" s="1"/>
      <c r="AA109" s="1">
        <v>2.5099999999999998</v>
      </c>
      <c r="AB109" s="1"/>
      <c r="AC109" s="1"/>
      <c r="AD109" s="66">
        <f t="shared" si="0"/>
        <v>108.55000000000001</v>
      </c>
    </row>
    <row r="110" spans="1:35" ht="15" customHeight="1">
      <c r="A110" s="1"/>
      <c r="B110" s="1"/>
      <c r="C110" s="1">
        <v>2</v>
      </c>
      <c r="D110" s="1" t="s">
        <v>96</v>
      </c>
      <c r="E110" s="10"/>
      <c r="F110" s="10"/>
      <c r="G110" s="10"/>
      <c r="H110" s="10"/>
      <c r="I110" s="10"/>
      <c r="J110" s="10"/>
      <c r="K110" s="10"/>
      <c r="L110" s="10"/>
      <c r="M110" s="10"/>
      <c r="N110" s="10"/>
      <c r="O110" s="10"/>
      <c r="P110" s="10"/>
      <c r="Q110" s="10"/>
      <c r="R110" s="10"/>
      <c r="S110" s="10"/>
      <c r="T110" s="1">
        <v>94.5</v>
      </c>
      <c r="U110" s="1"/>
      <c r="V110" s="1"/>
      <c r="W110" s="67">
        <v>11.64</v>
      </c>
      <c r="X110" s="1"/>
      <c r="Y110" s="1"/>
      <c r="Z110" s="1"/>
      <c r="AA110" s="1">
        <v>3.72</v>
      </c>
      <c r="AB110" s="1"/>
      <c r="AC110" s="1"/>
      <c r="AD110" s="66">
        <f t="shared" si="0"/>
        <v>109.86</v>
      </c>
    </row>
    <row r="111" spans="1:35" ht="15" customHeight="1">
      <c r="A111" s="1"/>
      <c r="B111" s="1"/>
      <c r="C111" s="1">
        <v>2</v>
      </c>
      <c r="D111" s="1" t="s">
        <v>39</v>
      </c>
      <c r="E111" s="10"/>
      <c r="F111" s="10"/>
      <c r="G111" s="10"/>
      <c r="H111" s="10"/>
      <c r="I111" s="10"/>
      <c r="J111" s="10"/>
      <c r="K111" s="10"/>
      <c r="L111" s="10"/>
      <c r="M111" s="10"/>
      <c r="N111" s="10"/>
      <c r="O111" s="10"/>
      <c r="P111" s="10"/>
      <c r="Q111" s="10"/>
      <c r="R111" s="10"/>
      <c r="S111" s="10"/>
      <c r="T111" s="1">
        <v>60.1</v>
      </c>
      <c r="U111" s="1"/>
      <c r="V111" s="1"/>
      <c r="W111" s="67">
        <v>8.69</v>
      </c>
      <c r="X111" s="1"/>
      <c r="Y111" s="1"/>
      <c r="Z111" s="1"/>
      <c r="AA111" s="1">
        <v>1</v>
      </c>
      <c r="AB111" s="1"/>
      <c r="AC111" s="1"/>
      <c r="AD111" s="66">
        <f t="shared" si="0"/>
        <v>69.790000000000006</v>
      </c>
    </row>
    <row r="112" spans="1:35" ht="15" customHeight="1">
      <c r="A112" s="1"/>
      <c r="B112" s="1"/>
      <c r="C112" s="1">
        <v>2</v>
      </c>
      <c r="D112" s="1" t="s">
        <v>97</v>
      </c>
      <c r="E112" s="10"/>
      <c r="F112" s="10"/>
      <c r="G112" s="10"/>
      <c r="H112" s="10"/>
      <c r="I112" s="10"/>
      <c r="J112" s="10"/>
      <c r="K112" s="10"/>
      <c r="L112" s="10"/>
      <c r="M112" s="10"/>
      <c r="N112" s="10"/>
      <c r="O112" s="10"/>
      <c r="P112" s="10"/>
      <c r="Q112" s="10"/>
      <c r="R112" s="10"/>
      <c r="S112" s="10"/>
      <c r="T112" s="1">
        <v>66.400000000000006</v>
      </c>
      <c r="U112" s="1">
        <f>AVERAGE(T108:T112)</f>
        <v>76.640000000000015</v>
      </c>
      <c r="V112" s="1"/>
      <c r="W112" s="67">
        <v>10.23</v>
      </c>
      <c r="X112" s="67">
        <f>AVERAGE(W108:W112)</f>
        <v>13.544</v>
      </c>
      <c r="Y112" s="1"/>
      <c r="Z112" s="1"/>
      <c r="AA112" s="1">
        <v>4.22</v>
      </c>
      <c r="AB112" s="1">
        <f>AVERAGE(AA108:AA112)</f>
        <v>2.7020000000000004</v>
      </c>
      <c r="AC112" s="1"/>
      <c r="AD112" s="66">
        <f t="shared" si="0"/>
        <v>80.850000000000009</v>
      </c>
    </row>
    <row r="113" spans="1:35" ht="15" customHeight="1">
      <c r="A113" s="1"/>
      <c r="B113" s="1"/>
      <c r="C113" s="1">
        <v>3</v>
      </c>
      <c r="D113" s="1" t="s">
        <v>94</v>
      </c>
      <c r="E113" s="10"/>
      <c r="F113" s="10"/>
      <c r="G113" s="10"/>
      <c r="H113" s="10"/>
      <c r="I113" s="10"/>
      <c r="J113" s="10"/>
      <c r="K113" s="10"/>
      <c r="L113" s="10"/>
      <c r="M113" s="10"/>
      <c r="N113" s="10"/>
      <c r="O113" s="10"/>
      <c r="P113" s="10"/>
      <c r="Q113" s="10"/>
      <c r="R113" s="10"/>
      <c r="S113" s="10"/>
      <c r="T113" s="1">
        <v>43.6</v>
      </c>
      <c r="U113" s="1"/>
      <c r="V113" s="1"/>
      <c r="W113" s="67">
        <v>17.03</v>
      </c>
      <c r="X113" s="1"/>
      <c r="Y113" s="1"/>
      <c r="Z113" s="1"/>
      <c r="AA113" s="1">
        <v>3.42</v>
      </c>
      <c r="AB113" s="1"/>
      <c r="AC113" s="1"/>
      <c r="AD113" s="66">
        <f t="shared" si="0"/>
        <v>64.05</v>
      </c>
    </row>
    <row r="114" spans="1:35" ht="15" customHeight="1">
      <c r="A114" s="1"/>
      <c r="B114" s="1"/>
      <c r="C114" s="1">
        <v>3</v>
      </c>
      <c r="D114" s="1" t="s">
        <v>95</v>
      </c>
      <c r="E114" s="10"/>
      <c r="F114" s="10"/>
      <c r="G114" s="10"/>
      <c r="H114" s="10"/>
      <c r="I114" s="10"/>
      <c r="J114" s="10"/>
      <c r="K114" s="10"/>
      <c r="L114" s="10"/>
      <c r="M114" s="10"/>
      <c r="N114" s="10"/>
      <c r="O114" s="10"/>
      <c r="P114" s="10"/>
      <c r="Q114" s="10"/>
      <c r="R114" s="10"/>
      <c r="S114" s="10"/>
      <c r="T114" s="1">
        <v>67.599999999999994</v>
      </c>
      <c r="U114" s="1"/>
      <c r="V114" s="1"/>
      <c r="W114" s="67">
        <v>33.57</v>
      </c>
      <c r="X114" s="1"/>
      <c r="Y114" s="1"/>
      <c r="Z114" s="1"/>
      <c r="AA114" s="1">
        <v>3.02</v>
      </c>
      <c r="AB114" s="1"/>
      <c r="AC114" s="1"/>
      <c r="AD114" s="66">
        <f t="shared" si="0"/>
        <v>104.18999999999998</v>
      </c>
    </row>
    <row r="115" spans="1:35" ht="15" customHeight="1">
      <c r="A115" s="1"/>
      <c r="B115" s="1"/>
      <c r="C115" s="1">
        <v>3</v>
      </c>
      <c r="D115" s="1" t="s">
        <v>96</v>
      </c>
      <c r="E115" s="10"/>
      <c r="F115" s="10"/>
      <c r="G115" s="10"/>
      <c r="H115" s="10"/>
      <c r="I115" s="10"/>
      <c r="J115" s="10"/>
      <c r="K115" s="10"/>
      <c r="L115" s="10"/>
      <c r="M115" s="10"/>
      <c r="N115" s="10"/>
      <c r="O115" s="10"/>
      <c r="P115" s="10"/>
      <c r="Q115" s="10"/>
      <c r="R115" s="10"/>
      <c r="S115" s="10"/>
      <c r="T115" s="1">
        <v>73.2</v>
      </c>
      <c r="U115" s="1"/>
      <c r="V115" s="1"/>
      <c r="W115" s="67">
        <v>13.71</v>
      </c>
      <c r="X115" s="1"/>
      <c r="Y115" s="1"/>
      <c r="Z115" s="1"/>
      <c r="AA115" s="1">
        <v>3.71</v>
      </c>
      <c r="AB115" s="1"/>
      <c r="AC115" s="1"/>
      <c r="AD115" s="66">
        <f t="shared" si="0"/>
        <v>90.61999999999999</v>
      </c>
    </row>
    <row r="116" spans="1:35" ht="15" customHeight="1">
      <c r="A116" s="1"/>
      <c r="B116" s="1"/>
      <c r="C116" s="1">
        <v>3</v>
      </c>
      <c r="D116" s="1" t="s">
        <v>39</v>
      </c>
      <c r="E116" s="10"/>
      <c r="F116" s="10"/>
      <c r="G116" s="10"/>
      <c r="H116" s="10"/>
      <c r="I116" s="10"/>
      <c r="J116" s="10"/>
      <c r="K116" s="10"/>
      <c r="L116" s="10"/>
      <c r="M116" s="10"/>
      <c r="N116" s="10"/>
      <c r="O116" s="10"/>
      <c r="P116" s="10"/>
      <c r="Q116" s="10"/>
      <c r="R116" s="10"/>
      <c r="S116" s="10"/>
      <c r="T116" s="1">
        <v>77.599999999999994</v>
      </c>
      <c r="U116" s="1"/>
      <c r="V116" s="1"/>
      <c r="W116" s="67">
        <v>11.55</v>
      </c>
      <c r="X116" s="1"/>
      <c r="Y116" s="1"/>
      <c r="Z116" s="1"/>
      <c r="AA116" s="1">
        <v>2.84</v>
      </c>
      <c r="AB116" s="1"/>
      <c r="AC116" s="1"/>
      <c r="AD116" s="66">
        <f t="shared" si="0"/>
        <v>91.99</v>
      </c>
    </row>
    <row r="117" spans="1:35" ht="15" customHeight="1">
      <c r="A117" s="1"/>
      <c r="B117" s="1"/>
      <c r="C117" s="1">
        <v>3</v>
      </c>
      <c r="D117" s="1" t="s">
        <v>97</v>
      </c>
      <c r="E117" s="10"/>
      <c r="F117" s="10"/>
      <c r="G117" s="10"/>
      <c r="H117" s="10"/>
      <c r="I117" s="10"/>
      <c r="J117" s="10"/>
      <c r="K117" s="10"/>
      <c r="L117" s="10"/>
      <c r="M117" s="10"/>
      <c r="N117" s="10"/>
      <c r="O117" s="10"/>
      <c r="P117" s="10"/>
      <c r="Q117" s="10"/>
      <c r="R117" s="10"/>
      <c r="S117" s="10"/>
      <c r="T117" s="1">
        <v>79.3</v>
      </c>
      <c r="U117" s="1">
        <f>AVERAGE(T113:T117)</f>
        <v>68.260000000000005</v>
      </c>
      <c r="V117" s="1"/>
      <c r="W117" s="67">
        <v>15.4</v>
      </c>
      <c r="X117" s="67">
        <f>AVERAGE(W113:W117)</f>
        <v>18.252000000000002</v>
      </c>
      <c r="Y117" s="1"/>
      <c r="Z117" s="1"/>
      <c r="AA117" s="1">
        <v>4.18</v>
      </c>
      <c r="AB117" s="1">
        <f>AVERAGE(AA113:AA117)</f>
        <v>3.4339999999999997</v>
      </c>
      <c r="AC117" s="1"/>
      <c r="AD117" s="66">
        <f t="shared" si="0"/>
        <v>98.88</v>
      </c>
    </row>
    <row r="118" spans="1:35" ht="15" customHeight="1">
      <c r="A118" s="1"/>
      <c r="B118" s="1"/>
      <c r="C118" s="1">
        <v>4</v>
      </c>
      <c r="D118" s="1" t="s">
        <v>94</v>
      </c>
      <c r="E118" s="10"/>
      <c r="F118" s="10"/>
      <c r="G118" s="10"/>
      <c r="H118" s="10"/>
      <c r="I118" s="10"/>
      <c r="J118" s="10"/>
      <c r="K118" s="10"/>
      <c r="L118" s="10"/>
      <c r="M118" s="10"/>
      <c r="N118" s="10"/>
      <c r="O118" s="10"/>
      <c r="P118" s="10"/>
      <c r="Q118" s="10"/>
      <c r="R118" s="10"/>
      <c r="S118" s="10"/>
      <c r="T118" s="1">
        <v>58.6</v>
      </c>
      <c r="U118" s="1"/>
      <c r="V118" s="1"/>
      <c r="W118" s="67">
        <v>42.55</v>
      </c>
      <c r="X118" s="1"/>
      <c r="Y118" s="1"/>
      <c r="Z118" s="1"/>
      <c r="AA118" s="1">
        <v>4.79</v>
      </c>
      <c r="AB118" s="1"/>
      <c r="AC118" s="1"/>
      <c r="AD118" s="66">
        <f t="shared" si="0"/>
        <v>105.94000000000001</v>
      </c>
    </row>
    <row r="119" spans="1:35" ht="15" customHeight="1">
      <c r="A119" s="1"/>
      <c r="B119" s="1"/>
      <c r="C119" s="1">
        <v>4</v>
      </c>
      <c r="D119" s="1" t="s">
        <v>95</v>
      </c>
      <c r="E119" s="10"/>
      <c r="F119" s="10"/>
      <c r="G119" s="10"/>
      <c r="H119" s="10"/>
      <c r="I119" s="10"/>
      <c r="J119" s="10"/>
      <c r="K119" s="10"/>
      <c r="L119" s="10"/>
      <c r="M119" s="10"/>
      <c r="N119" s="10"/>
      <c r="O119" s="10"/>
      <c r="P119" s="10"/>
      <c r="Q119" s="10"/>
      <c r="R119" s="10"/>
      <c r="S119" s="10"/>
      <c r="T119" s="1">
        <v>50</v>
      </c>
      <c r="U119" s="1"/>
      <c r="V119" s="1"/>
      <c r="W119" s="67">
        <v>40.39</v>
      </c>
      <c r="X119" s="1"/>
      <c r="Y119" s="1"/>
      <c r="Z119" s="1"/>
      <c r="AA119" s="1">
        <v>1.89</v>
      </c>
      <c r="AB119" s="1"/>
      <c r="AC119" s="1"/>
      <c r="AD119" s="66">
        <f t="shared" si="0"/>
        <v>92.28</v>
      </c>
      <c r="AF119" s="6" t="s">
        <v>88</v>
      </c>
      <c r="AG119" s="6" t="s">
        <v>89</v>
      </c>
      <c r="AH119" s="6" t="s">
        <v>87</v>
      </c>
      <c r="AI119" s="6" t="s">
        <v>90</v>
      </c>
    </row>
    <row r="120" spans="1:35" ht="15" customHeight="1">
      <c r="A120" s="1"/>
      <c r="B120" s="1"/>
      <c r="C120" s="1">
        <v>4</v>
      </c>
      <c r="D120" s="1" t="s">
        <v>96</v>
      </c>
      <c r="E120" s="10"/>
      <c r="F120" s="10"/>
      <c r="G120" s="10"/>
      <c r="H120" s="10"/>
      <c r="I120" s="10"/>
      <c r="J120" s="10"/>
      <c r="K120" s="10"/>
      <c r="L120" s="10"/>
      <c r="M120" s="10"/>
      <c r="N120" s="10"/>
      <c r="O120" s="10"/>
      <c r="P120" s="10"/>
      <c r="Q120" s="10"/>
      <c r="R120" s="10"/>
      <c r="S120" s="10"/>
      <c r="T120" s="1">
        <v>62.2</v>
      </c>
      <c r="U120" s="1"/>
      <c r="V120" s="1"/>
      <c r="W120" s="67">
        <v>9.5299999999999994</v>
      </c>
      <c r="X120" s="1"/>
      <c r="Y120" s="1"/>
      <c r="Z120" s="1"/>
      <c r="AA120" s="1">
        <v>3.62</v>
      </c>
      <c r="AB120" s="1"/>
      <c r="AC120" s="1"/>
      <c r="AD120" s="66">
        <f t="shared" si="0"/>
        <v>75.350000000000009</v>
      </c>
      <c r="AF120" s="6">
        <v>107.48</v>
      </c>
      <c r="AG120" s="6">
        <v>95.339999999999989</v>
      </c>
      <c r="AH120" s="6">
        <v>99.87</v>
      </c>
      <c r="AI120" s="6">
        <v>90.429999999999993</v>
      </c>
    </row>
    <row r="121" spans="1:35" ht="15" customHeight="1">
      <c r="A121" s="1"/>
      <c r="B121" s="1"/>
      <c r="C121" s="1">
        <v>4</v>
      </c>
      <c r="D121" s="1" t="s">
        <v>39</v>
      </c>
      <c r="E121" s="10"/>
      <c r="F121" s="10"/>
      <c r="G121" s="10"/>
      <c r="H121" s="10"/>
      <c r="I121" s="10"/>
      <c r="J121" s="10"/>
      <c r="K121" s="10"/>
      <c r="L121" s="10"/>
      <c r="M121" s="10"/>
      <c r="N121" s="10"/>
      <c r="O121" s="10"/>
      <c r="P121" s="10"/>
      <c r="Q121" s="10"/>
      <c r="R121" s="10"/>
      <c r="S121" s="10"/>
      <c r="T121" s="1">
        <v>67.5</v>
      </c>
      <c r="U121" s="1"/>
      <c r="V121" s="1"/>
      <c r="W121" s="67">
        <v>13.28</v>
      </c>
      <c r="X121" s="1"/>
      <c r="Y121" s="1"/>
      <c r="Z121" s="1"/>
      <c r="AA121" s="1">
        <v>2.2799999999999998</v>
      </c>
      <c r="AB121" s="1"/>
      <c r="AC121" s="1"/>
      <c r="AD121" s="66">
        <f t="shared" si="0"/>
        <v>83.06</v>
      </c>
      <c r="AF121" s="6">
        <v>85.62</v>
      </c>
      <c r="AG121" s="6">
        <v>59.910000000000004</v>
      </c>
      <c r="AH121" s="6">
        <v>89.089999999999989</v>
      </c>
      <c r="AI121" s="6">
        <v>98.26</v>
      </c>
    </row>
    <row r="122" spans="1:35" ht="15" customHeight="1">
      <c r="A122" s="1"/>
      <c r="B122" s="1"/>
      <c r="C122" s="1">
        <v>4</v>
      </c>
      <c r="D122" s="1" t="s">
        <v>97</v>
      </c>
      <c r="E122" s="10"/>
      <c r="F122" s="10"/>
      <c r="G122" s="10"/>
      <c r="H122" s="10"/>
      <c r="I122" s="10"/>
      <c r="J122" s="10"/>
      <c r="K122" s="10"/>
      <c r="L122" s="10"/>
      <c r="M122" s="10"/>
      <c r="N122" s="10"/>
      <c r="O122" s="10"/>
      <c r="P122" s="10"/>
      <c r="Q122" s="10"/>
      <c r="R122" s="10"/>
      <c r="S122" s="10"/>
      <c r="T122" s="1">
        <v>59.7</v>
      </c>
      <c r="U122" s="1">
        <f>AVERAGE(T118:T122)</f>
        <v>59.6</v>
      </c>
      <c r="V122" s="1"/>
      <c r="W122" s="67">
        <v>17.27</v>
      </c>
      <c r="X122" s="67">
        <f>AVERAGE(W118:W122)</f>
        <v>24.603999999999999</v>
      </c>
      <c r="Y122" s="1"/>
      <c r="Z122" s="1"/>
      <c r="AA122" s="1">
        <v>2.58</v>
      </c>
      <c r="AB122" s="1">
        <f>AVERAGE(AA118:AA122)</f>
        <v>3.032</v>
      </c>
      <c r="AC122" s="1"/>
      <c r="AD122" s="66">
        <f t="shared" si="0"/>
        <v>79.55</v>
      </c>
      <c r="AF122" s="6">
        <v>94.87</v>
      </c>
      <c r="AG122" s="6">
        <v>83.149999999999991</v>
      </c>
      <c r="AH122" s="6">
        <v>85.05</v>
      </c>
      <c r="AI122" s="6">
        <v>90.65</v>
      </c>
    </row>
    <row r="123" spans="1:35" ht="15" customHeight="1">
      <c r="A123" s="1" t="s">
        <v>37</v>
      </c>
      <c r="B123" s="1" t="s">
        <v>102</v>
      </c>
      <c r="C123" s="1">
        <v>1</v>
      </c>
      <c r="D123" s="1" t="s">
        <v>94</v>
      </c>
      <c r="E123" s="10"/>
      <c r="F123" s="10"/>
      <c r="G123" s="10"/>
      <c r="H123" s="10"/>
      <c r="I123" s="10"/>
      <c r="J123" s="10"/>
      <c r="K123" s="10"/>
      <c r="L123" s="10"/>
      <c r="M123" s="10"/>
      <c r="N123" s="10"/>
      <c r="O123" s="10"/>
      <c r="P123" s="10"/>
      <c r="Q123" s="10"/>
      <c r="R123" s="10"/>
      <c r="S123" s="10"/>
      <c r="T123" s="1">
        <v>97.4</v>
      </c>
      <c r="U123" s="1"/>
      <c r="V123" s="1"/>
      <c r="W123" s="67">
        <v>7.46</v>
      </c>
      <c r="X123" s="1"/>
      <c r="Y123" s="1"/>
      <c r="Z123" s="1"/>
      <c r="AA123" s="1">
        <v>2.62</v>
      </c>
      <c r="AB123" s="1"/>
      <c r="AC123" s="1"/>
      <c r="AD123" s="66">
        <f t="shared" si="0"/>
        <v>107.48</v>
      </c>
      <c r="AF123" s="6">
        <v>110.81</v>
      </c>
      <c r="AG123" s="6">
        <v>86.08</v>
      </c>
      <c r="AH123" s="6">
        <v>89.89</v>
      </c>
      <c r="AI123" s="6">
        <v>80.86</v>
      </c>
    </row>
    <row r="124" spans="1:35" ht="15" customHeight="1">
      <c r="A124" s="1"/>
      <c r="B124" s="1"/>
      <c r="C124" s="1">
        <v>1</v>
      </c>
      <c r="D124" s="1" t="s">
        <v>95</v>
      </c>
      <c r="E124" s="10"/>
      <c r="F124" s="10"/>
      <c r="G124" s="10"/>
      <c r="H124" s="10"/>
      <c r="I124" s="10"/>
      <c r="J124" s="10"/>
      <c r="K124" s="10"/>
      <c r="L124" s="10"/>
      <c r="M124" s="10"/>
      <c r="N124" s="10"/>
      <c r="O124" s="10"/>
      <c r="P124" s="10"/>
      <c r="Q124" s="10"/>
      <c r="R124" s="10"/>
      <c r="S124" s="10"/>
      <c r="T124" s="1">
        <v>77.400000000000006</v>
      </c>
      <c r="U124" s="1"/>
      <c r="V124" s="1"/>
      <c r="W124" s="67">
        <v>5.09</v>
      </c>
      <c r="X124" s="1"/>
      <c r="Y124" s="1"/>
      <c r="Z124" s="1"/>
      <c r="AA124" s="1">
        <v>3.13</v>
      </c>
      <c r="AB124" s="1"/>
      <c r="AC124" s="1"/>
      <c r="AD124" s="66">
        <f t="shared" si="0"/>
        <v>85.62</v>
      </c>
      <c r="AF124" s="6">
        <v>79.760000000000005</v>
      </c>
      <c r="AG124" s="6">
        <v>91.01</v>
      </c>
      <c r="AH124" s="6">
        <v>98.67</v>
      </c>
      <c r="AI124" s="6">
        <v>159.93</v>
      </c>
    </row>
    <row r="125" spans="1:35" ht="15" customHeight="1">
      <c r="A125" s="1"/>
      <c r="B125" s="1"/>
      <c r="C125" s="1">
        <v>1</v>
      </c>
      <c r="D125" s="1" t="s">
        <v>96</v>
      </c>
      <c r="E125" s="10"/>
      <c r="F125" s="10"/>
      <c r="G125" s="10"/>
      <c r="H125" s="10"/>
      <c r="I125" s="10"/>
      <c r="J125" s="10"/>
      <c r="K125" s="10"/>
      <c r="L125" s="10"/>
      <c r="M125" s="10"/>
      <c r="N125" s="10"/>
      <c r="O125" s="10"/>
      <c r="P125" s="10"/>
      <c r="Q125" s="10"/>
      <c r="R125" s="10"/>
      <c r="S125" s="10"/>
      <c r="T125" s="1">
        <v>78.3</v>
      </c>
      <c r="U125" s="1"/>
      <c r="V125" s="1"/>
      <c r="W125" s="67">
        <v>13.87</v>
      </c>
      <c r="X125" s="1"/>
      <c r="Y125" s="1"/>
      <c r="Z125" s="1"/>
      <c r="AA125" s="1">
        <v>2.7</v>
      </c>
      <c r="AB125" s="1"/>
      <c r="AC125" s="1"/>
      <c r="AD125" s="66">
        <f t="shared" si="0"/>
        <v>94.87</v>
      </c>
    </row>
    <row r="126" spans="1:35" ht="15" customHeight="1">
      <c r="A126" s="1"/>
      <c r="B126" s="1"/>
      <c r="C126" s="1">
        <v>1</v>
      </c>
      <c r="D126" s="1" t="s">
        <v>39</v>
      </c>
      <c r="E126" s="10"/>
      <c r="F126" s="10"/>
      <c r="G126" s="10"/>
      <c r="H126" s="10"/>
      <c r="I126" s="10"/>
      <c r="J126" s="10"/>
      <c r="K126" s="10"/>
      <c r="L126" s="10"/>
      <c r="M126" s="10"/>
      <c r="N126" s="10"/>
      <c r="O126" s="10"/>
      <c r="P126" s="10"/>
      <c r="Q126" s="10"/>
      <c r="R126" s="10"/>
      <c r="S126" s="10"/>
      <c r="T126" s="1">
        <v>96.3</v>
      </c>
      <c r="U126" s="1"/>
      <c r="V126" s="1"/>
      <c r="W126" s="67">
        <v>11.47</v>
      </c>
      <c r="X126" s="1"/>
      <c r="Y126" s="1"/>
      <c r="Z126" s="1"/>
      <c r="AA126" s="1">
        <v>3.04</v>
      </c>
      <c r="AB126" s="1"/>
      <c r="AC126" s="1"/>
      <c r="AD126" s="66">
        <f t="shared" si="0"/>
        <v>110.81</v>
      </c>
    </row>
    <row r="127" spans="1:35" ht="15" customHeight="1">
      <c r="A127" s="1"/>
      <c r="B127" s="1"/>
      <c r="C127" s="1">
        <v>1</v>
      </c>
      <c r="D127" s="1" t="s">
        <v>97</v>
      </c>
      <c r="E127" s="10"/>
      <c r="F127" s="10"/>
      <c r="G127" s="10"/>
      <c r="H127" s="10"/>
      <c r="I127" s="10"/>
      <c r="J127" s="10"/>
      <c r="K127" s="10"/>
      <c r="L127" s="10"/>
      <c r="M127" s="10"/>
      <c r="N127" s="10"/>
      <c r="O127" s="10"/>
      <c r="P127" s="10"/>
      <c r="Q127" s="10"/>
      <c r="R127" s="10"/>
      <c r="S127" s="10"/>
      <c r="T127" s="1">
        <v>72.5</v>
      </c>
      <c r="U127" s="1">
        <f>AVERAGE(T123:T127)</f>
        <v>84.38000000000001</v>
      </c>
      <c r="V127" s="1"/>
      <c r="W127" s="67">
        <v>5.29</v>
      </c>
      <c r="X127" s="67">
        <f>AVERAGE(W123:W127)</f>
        <v>8.6359999999999992</v>
      </c>
      <c r="Y127" s="1"/>
      <c r="Z127" s="1"/>
      <c r="AA127" s="1">
        <v>1.97</v>
      </c>
      <c r="AB127" s="1">
        <f>AVERAGE(AA123:AA127)</f>
        <v>2.6919999999999997</v>
      </c>
      <c r="AC127" s="1"/>
      <c r="AD127" s="66">
        <f t="shared" si="0"/>
        <v>79.760000000000005</v>
      </c>
    </row>
    <row r="128" spans="1:35" ht="15" customHeight="1">
      <c r="A128" s="1"/>
      <c r="B128" s="1"/>
      <c r="C128" s="1">
        <v>2</v>
      </c>
      <c r="D128" s="1" t="s">
        <v>94</v>
      </c>
      <c r="E128" s="10"/>
      <c r="F128" s="10"/>
      <c r="G128" s="10"/>
      <c r="H128" s="10"/>
      <c r="I128" s="10"/>
      <c r="J128" s="10"/>
      <c r="K128" s="10"/>
      <c r="L128" s="10"/>
      <c r="M128" s="10"/>
      <c r="N128" s="10"/>
      <c r="O128" s="10"/>
      <c r="P128" s="10"/>
      <c r="Q128" s="10"/>
      <c r="R128" s="10"/>
      <c r="S128" s="10"/>
      <c r="T128" s="1">
        <v>77.5</v>
      </c>
      <c r="U128" s="1"/>
      <c r="V128" s="1"/>
      <c r="W128" s="67">
        <v>13.49</v>
      </c>
      <c r="X128" s="1"/>
      <c r="Y128" s="1"/>
      <c r="Z128" s="1"/>
      <c r="AA128" s="1">
        <v>4.3499999999999996</v>
      </c>
      <c r="AB128" s="1"/>
      <c r="AC128" s="1"/>
      <c r="AD128" s="66">
        <f t="shared" si="0"/>
        <v>95.339999999999989</v>
      </c>
    </row>
    <row r="129" spans="1:35" ht="15" customHeight="1">
      <c r="A129" s="1"/>
      <c r="B129" s="1"/>
      <c r="C129" s="1">
        <v>2</v>
      </c>
      <c r="D129" s="1" t="s">
        <v>95</v>
      </c>
      <c r="E129" s="10"/>
      <c r="F129" s="10"/>
      <c r="G129" s="10"/>
      <c r="H129" s="10"/>
      <c r="I129" s="10"/>
      <c r="J129" s="10"/>
      <c r="K129" s="10"/>
      <c r="L129" s="10"/>
      <c r="M129" s="10"/>
      <c r="N129" s="10"/>
      <c r="O129" s="10"/>
      <c r="P129" s="10"/>
      <c r="Q129" s="10"/>
      <c r="R129" s="10"/>
      <c r="S129" s="10"/>
      <c r="T129" s="1">
        <v>46.2</v>
      </c>
      <c r="U129" s="1"/>
      <c r="V129" s="1"/>
      <c r="W129" s="67">
        <v>10.74</v>
      </c>
      <c r="X129" s="1"/>
      <c r="Y129" s="1"/>
      <c r="Z129" s="1"/>
      <c r="AA129" s="1">
        <v>2.97</v>
      </c>
      <c r="AB129" s="1"/>
      <c r="AC129" s="1"/>
      <c r="AD129" s="66">
        <f t="shared" si="0"/>
        <v>59.910000000000004</v>
      </c>
    </row>
    <row r="130" spans="1:35" ht="15" customHeight="1">
      <c r="A130" s="1"/>
      <c r="B130" s="1"/>
      <c r="C130" s="1">
        <v>2</v>
      </c>
      <c r="D130" s="1" t="s">
        <v>96</v>
      </c>
      <c r="E130" s="10"/>
      <c r="F130" s="10"/>
      <c r="G130" s="10"/>
      <c r="H130" s="10"/>
      <c r="I130" s="10"/>
      <c r="J130" s="10"/>
      <c r="K130" s="10"/>
      <c r="L130" s="10"/>
      <c r="M130" s="10"/>
      <c r="N130" s="10"/>
      <c r="O130" s="10"/>
      <c r="P130" s="10"/>
      <c r="Q130" s="10"/>
      <c r="R130" s="10"/>
      <c r="S130" s="10"/>
      <c r="T130" s="1">
        <v>69.5</v>
      </c>
      <c r="U130" s="1"/>
      <c r="V130" s="1"/>
      <c r="W130" s="67">
        <v>11.52</v>
      </c>
      <c r="X130" s="1"/>
      <c r="Y130" s="1"/>
      <c r="Z130" s="1"/>
      <c r="AA130" s="1">
        <v>2.13</v>
      </c>
      <c r="AB130" s="1"/>
      <c r="AC130" s="1"/>
      <c r="AD130" s="66">
        <f t="shared" si="0"/>
        <v>83.149999999999991</v>
      </c>
    </row>
    <row r="131" spans="1:35" ht="15" customHeight="1">
      <c r="A131" s="1"/>
      <c r="B131" s="1"/>
      <c r="C131" s="1">
        <v>2</v>
      </c>
      <c r="D131" s="1" t="s">
        <v>39</v>
      </c>
      <c r="E131" s="10"/>
      <c r="F131" s="10"/>
      <c r="G131" s="10"/>
      <c r="H131" s="10"/>
      <c r="I131" s="10"/>
      <c r="J131" s="10"/>
      <c r="K131" s="10"/>
      <c r="L131" s="10"/>
      <c r="M131" s="10"/>
      <c r="N131" s="10"/>
      <c r="O131" s="10"/>
      <c r="P131" s="10"/>
      <c r="Q131" s="10"/>
      <c r="R131" s="10"/>
      <c r="S131" s="10"/>
      <c r="T131" s="1">
        <v>69</v>
      </c>
      <c r="U131" s="1"/>
      <c r="V131" s="1"/>
      <c r="W131" s="67">
        <v>14.31</v>
      </c>
      <c r="X131" s="1"/>
      <c r="Y131" s="1"/>
      <c r="Z131" s="1"/>
      <c r="AA131" s="1">
        <v>2.77</v>
      </c>
      <c r="AB131" s="1"/>
      <c r="AC131" s="1"/>
      <c r="AD131" s="66">
        <f t="shared" si="0"/>
        <v>86.08</v>
      </c>
    </row>
    <row r="132" spans="1:35" ht="15" customHeight="1">
      <c r="A132" s="1"/>
      <c r="B132" s="1"/>
      <c r="C132" s="1">
        <v>2</v>
      </c>
      <c r="D132" s="1" t="s">
        <v>97</v>
      </c>
      <c r="E132" s="10"/>
      <c r="F132" s="10"/>
      <c r="G132" s="10"/>
      <c r="H132" s="10"/>
      <c r="I132" s="10"/>
      <c r="J132" s="10"/>
      <c r="K132" s="10"/>
      <c r="L132" s="10"/>
      <c r="M132" s="10"/>
      <c r="N132" s="10"/>
      <c r="O132" s="10"/>
      <c r="P132" s="10"/>
      <c r="Q132" s="10"/>
      <c r="R132" s="10"/>
      <c r="S132" s="10"/>
      <c r="T132" s="1">
        <v>83.2</v>
      </c>
      <c r="U132" s="1">
        <f>AVERAGE(T128:T132)</f>
        <v>69.08</v>
      </c>
      <c r="V132" s="1"/>
      <c r="W132" s="67">
        <v>6.11</v>
      </c>
      <c r="X132" s="67">
        <f>AVERAGE(W128:W132)</f>
        <v>11.234</v>
      </c>
      <c r="Y132" s="1"/>
      <c r="Z132" s="1"/>
      <c r="AA132" s="1">
        <v>1.7</v>
      </c>
      <c r="AB132" s="1">
        <f>AVERAGE(AA128:AA132)</f>
        <v>2.7839999999999998</v>
      </c>
      <c r="AC132" s="1"/>
      <c r="AD132" s="66">
        <f t="shared" si="0"/>
        <v>91.01</v>
      </c>
    </row>
    <row r="133" spans="1:35" ht="15" customHeight="1">
      <c r="A133" s="1"/>
      <c r="B133" s="1"/>
      <c r="C133" s="1">
        <v>3</v>
      </c>
      <c r="D133" s="1" t="s">
        <v>94</v>
      </c>
      <c r="E133" s="10"/>
      <c r="F133" s="10"/>
      <c r="G133" s="10"/>
      <c r="H133" s="10"/>
      <c r="I133" s="10"/>
      <c r="J133" s="10"/>
      <c r="K133" s="10"/>
      <c r="L133" s="10"/>
      <c r="M133" s="10"/>
      <c r="N133" s="10"/>
      <c r="O133" s="10"/>
      <c r="P133" s="10"/>
      <c r="Q133" s="10"/>
      <c r="R133" s="10"/>
      <c r="S133" s="10"/>
      <c r="T133" s="1">
        <v>73</v>
      </c>
      <c r="U133" s="1"/>
      <c r="V133" s="1"/>
      <c r="W133" s="67">
        <v>22.71</v>
      </c>
      <c r="X133" s="1"/>
      <c r="Y133" s="1"/>
      <c r="Z133" s="1"/>
      <c r="AA133" s="1">
        <v>4.16</v>
      </c>
      <c r="AB133" s="1"/>
      <c r="AC133" s="1"/>
      <c r="AD133" s="66">
        <f t="shared" si="0"/>
        <v>99.87</v>
      </c>
    </row>
    <row r="134" spans="1:35" ht="15" customHeight="1">
      <c r="A134" s="1"/>
      <c r="B134" s="1"/>
      <c r="C134" s="1">
        <v>3</v>
      </c>
      <c r="D134" s="1" t="s">
        <v>95</v>
      </c>
      <c r="E134" s="10"/>
      <c r="F134" s="10"/>
      <c r="G134" s="10"/>
      <c r="H134" s="10"/>
      <c r="I134" s="10"/>
      <c r="J134" s="10"/>
      <c r="K134" s="10"/>
      <c r="L134" s="10"/>
      <c r="M134" s="10"/>
      <c r="N134" s="10"/>
      <c r="O134" s="10"/>
      <c r="P134" s="10"/>
      <c r="Q134" s="10"/>
      <c r="R134" s="10"/>
      <c r="S134" s="10"/>
      <c r="T134" s="1">
        <v>70.3</v>
      </c>
      <c r="U134" s="1"/>
      <c r="V134" s="1"/>
      <c r="W134" s="1">
        <v>16.239999999999998</v>
      </c>
      <c r="X134" s="1"/>
      <c r="Y134" s="1"/>
      <c r="Z134" s="1"/>
      <c r="AA134" s="1">
        <v>2.5499999999999998</v>
      </c>
      <c r="AB134" s="1"/>
      <c r="AC134" s="1"/>
      <c r="AD134" s="66">
        <f t="shared" si="0"/>
        <v>89.089999999999989</v>
      </c>
    </row>
    <row r="135" spans="1:35" ht="15" customHeight="1">
      <c r="A135" s="1"/>
      <c r="B135" s="1"/>
      <c r="C135" s="1">
        <v>3</v>
      </c>
      <c r="D135" s="1" t="s">
        <v>96</v>
      </c>
      <c r="E135" s="10"/>
      <c r="F135" s="10"/>
      <c r="G135" s="10"/>
      <c r="H135" s="10"/>
      <c r="I135" s="10"/>
      <c r="J135" s="10"/>
      <c r="K135" s="10"/>
      <c r="L135" s="10"/>
      <c r="M135" s="10"/>
      <c r="N135" s="10"/>
      <c r="O135" s="10"/>
      <c r="P135" s="10"/>
      <c r="Q135" s="10"/>
      <c r="R135" s="10"/>
      <c r="S135" s="10"/>
      <c r="T135" s="1">
        <v>75.7</v>
      </c>
      <c r="U135" s="1"/>
      <c r="V135" s="1"/>
      <c r="W135" s="1">
        <v>5.38</v>
      </c>
      <c r="X135" s="1"/>
      <c r="Y135" s="1"/>
      <c r="Z135" s="1"/>
      <c r="AA135" s="1">
        <v>3.97</v>
      </c>
      <c r="AB135" s="1"/>
      <c r="AC135" s="1"/>
      <c r="AD135" s="66">
        <f t="shared" si="0"/>
        <v>85.05</v>
      </c>
    </row>
    <row r="136" spans="1:35" ht="15" customHeight="1">
      <c r="A136" s="1"/>
      <c r="B136" s="1"/>
      <c r="C136" s="1">
        <v>3</v>
      </c>
      <c r="D136" s="1" t="s">
        <v>39</v>
      </c>
      <c r="E136" s="10"/>
      <c r="F136" s="10"/>
      <c r="G136" s="10"/>
      <c r="H136" s="10"/>
      <c r="I136" s="10"/>
      <c r="J136" s="10"/>
      <c r="K136" s="10"/>
      <c r="L136" s="10"/>
      <c r="M136" s="10"/>
      <c r="N136" s="10"/>
      <c r="O136" s="10"/>
      <c r="P136" s="10"/>
      <c r="Q136" s="10"/>
      <c r="R136" s="10"/>
      <c r="S136" s="10"/>
      <c r="T136" s="1">
        <v>64.2</v>
      </c>
      <c r="U136" s="1"/>
      <c r="V136" s="1"/>
      <c r="W136" s="1">
        <v>23.78</v>
      </c>
      <c r="X136" s="1"/>
      <c r="Y136" s="1"/>
      <c r="Z136" s="1"/>
      <c r="AA136" s="1">
        <v>1.91</v>
      </c>
      <c r="AB136" s="1"/>
      <c r="AC136" s="1"/>
      <c r="AD136" s="66">
        <f t="shared" si="0"/>
        <v>89.89</v>
      </c>
    </row>
    <row r="137" spans="1:35" ht="15" customHeight="1">
      <c r="A137" s="1"/>
      <c r="B137" s="1"/>
      <c r="C137" s="1">
        <v>3</v>
      </c>
      <c r="D137" s="1" t="s">
        <v>97</v>
      </c>
      <c r="E137" s="10"/>
      <c r="F137" s="10"/>
      <c r="G137" s="10"/>
      <c r="H137" s="10"/>
      <c r="I137" s="10"/>
      <c r="J137" s="10"/>
      <c r="K137" s="10"/>
      <c r="L137" s="10"/>
      <c r="M137" s="10"/>
      <c r="N137" s="10"/>
      <c r="O137" s="10"/>
      <c r="P137" s="10"/>
      <c r="Q137" s="10"/>
      <c r="R137" s="10"/>
      <c r="S137" s="10"/>
      <c r="T137" s="1">
        <v>75.7</v>
      </c>
      <c r="U137" s="1">
        <f>AVERAGE(T133:T137)</f>
        <v>71.78</v>
      </c>
      <c r="V137" s="1"/>
      <c r="W137" s="1">
        <v>18.510000000000002</v>
      </c>
      <c r="X137" s="67">
        <f>AVERAGE(W133:W137)</f>
        <v>17.324000000000005</v>
      </c>
      <c r="Y137" s="1"/>
      <c r="Z137" s="1"/>
      <c r="AA137" s="1">
        <v>4.46</v>
      </c>
      <c r="AB137" s="1">
        <f>AVERAGE(AA133:AA137)</f>
        <v>3.41</v>
      </c>
      <c r="AC137" s="1"/>
      <c r="AD137" s="66">
        <f t="shared" si="0"/>
        <v>98.67</v>
      </c>
    </row>
    <row r="138" spans="1:35" ht="15" customHeight="1">
      <c r="A138" s="1"/>
      <c r="B138" s="1"/>
      <c r="C138" s="1">
        <v>4</v>
      </c>
      <c r="D138" s="1" t="s">
        <v>94</v>
      </c>
      <c r="E138" s="10"/>
      <c r="F138" s="10"/>
      <c r="G138" s="10"/>
      <c r="H138" s="10"/>
      <c r="I138" s="10"/>
      <c r="J138" s="10"/>
      <c r="K138" s="10"/>
      <c r="L138" s="10"/>
      <c r="M138" s="10"/>
      <c r="N138" s="10"/>
      <c r="O138" s="10"/>
      <c r="P138" s="10"/>
      <c r="Q138" s="10"/>
      <c r="R138" s="10"/>
      <c r="S138" s="10"/>
      <c r="T138" s="1">
        <v>74.8</v>
      </c>
      <c r="U138" s="1"/>
      <c r="V138" s="1"/>
      <c r="W138" s="1">
        <v>11.33</v>
      </c>
      <c r="X138" s="1"/>
      <c r="Y138" s="1"/>
      <c r="Z138" s="1"/>
      <c r="AA138" s="1">
        <v>4.3</v>
      </c>
      <c r="AB138" s="1"/>
      <c r="AC138" s="1"/>
      <c r="AD138" s="66">
        <f t="shared" si="0"/>
        <v>90.429999999999993</v>
      </c>
    </row>
    <row r="139" spans="1:35" ht="15" customHeight="1">
      <c r="A139" s="1"/>
      <c r="B139" s="1"/>
      <c r="C139" s="1">
        <v>4</v>
      </c>
      <c r="D139" s="1" t="s">
        <v>95</v>
      </c>
      <c r="E139" s="10"/>
      <c r="F139" s="10"/>
      <c r="G139" s="10"/>
      <c r="H139" s="10"/>
      <c r="I139" s="10"/>
      <c r="J139" s="10"/>
      <c r="K139" s="10"/>
      <c r="L139" s="10"/>
      <c r="M139" s="10"/>
      <c r="N139" s="10"/>
      <c r="O139" s="10"/>
      <c r="P139" s="10"/>
      <c r="Q139" s="10"/>
      <c r="R139" s="10"/>
      <c r="S139" s="10"/>
      <c r="T139" s="1">
        <v>84</v>
      </c>
      <c r="U139" s="1"/>
      <c r="V139" s="1"/>
      <c r="W139" s="1">
        <v>11.96</v>
      </c>
      <c r="X139" s="1"/>
      <c r="Y139" s="1"/>
      <c r="Z139" s="1"/>
      <c r="AA139" s="1">
        <v>2.2999999999999998</v>
      </c>
      <c r="AB139" s="1"/>
      <c r="AC139" s="1"/>
      <c r="AD139" s="66">
        <f t="shared" si="0"/>
        <v>98.26</v>
      </c>
    </row>
    <row r="140" spans="1:35" ht="15" customHeight="1">
      <c r="A140" s="1"/>
      <c r="B140" s="1"/>
      <c r="C140" s="1">
        <v>4</v>
      </c>
      <c r="D140" s="1" t="s">
        <v>96</v>
      </c>
      <c r="E140" s="10"/>
      <c r="F140" s="10"/>
      <c r="G140" s="10"/>
      <c r="H140" s="10"/>
      <c r="I140" s="10"/>
      <c r="J140" s="10"/>
      <c r="K140" s="10"/>
      <c r="L140" s="10"/>
      <c r="M140" s="10"/>
      <c r="N140" s="10"/>
      <c r="O140" s="10"/>
      <c r="P140" s="10"/>
      <c r="Q140" s="10"/>
      <c r="R140" s="10"/>
      <c r="S140" s="10"/>
      <c r="T140" s="1">
        <v>74.7</v>
      </c>
      <c r="U140" s="1"/>
      <c r="V140" s="1"/>
      <c r="W140" s="1">
        <v>11.72</v>
      </c>
      <c r="X140" s="1"/>
      <c r="Y140" s="1"/>
      <c r="Z140" s="1"/>
      <c r="AA140" s="1">
        <v>4.2300000000000004</v>
      </c>
      <c r="AB140" s="1"/>
      <c r="AC140" s="1"/>
      <c r="AD140" s="66">
        <f t="shared" si="0"/>
        <v>90.65</v>
      </c>
    </row>
    <row r="141" spans="1:35" ht="15" customHeight="1">
      <c r="A141" s="1"/>
      <c r="B141" s="1"/>
      <c r="C141" s="1">
        <v>4</v>
      </c>
      <c r="D141" s="1" t="s">
        <v>39</v>
      </c>
      <c r="E141" s="10"/>
      <c r="F141" s="10"/>
      <c r="G141" s="10"/>
      <c r="H141" s="10"/>
      <c r="I141" s="10"/>
      <c r="J141" s="10"/>
      <c r="K141" s="10"/>
      <c r="L141" s="10"/>
      <c r="M141" s="10"/>
      <c r="N141" s="10"/>
      <c r="O141" s="10"/>
      <c r="P141" s="10"/>
      <c r="Q141" s="10"/>
      <c r="R141" s="10"/>
      <c r="S141" s="10"/>
      <c r="T141" s="1">
        <v>72.099999999999994</v>
      </c>
      <c r="U141" s="1"/>
      <c r="V141" s="1"/>
      <c r="W141" s="1">
        <v>6.23</v>
      </c>
      <c r="X141" s="1"/>
      <c r="Y141" s="1"/>
      <c r="Z141" s="1"/>
      <c r="AA141" s="1">
        <v>2.5299999999999998</v>
      </c>
      <c r="AB141" s="1"/>
      <c r="AC141" s="1"/>
      <c r="AD141" s="66">
        <f t="shared" si="0"/>
        <v>80.86</v>
      </c>
      <c r="AF141" s="57" t="s">
        <v>87</v>
      </c>
      <c r="AG141" s="57" t="s">
        <v>90</v>
      </c>
      <c r="AH141" s="57" t="s">
        <v>88</v>
      </c>
      <c r="AI141" s="57" t="s">
        <v>89</v>
      </c>
    </row>
    <row r="142" spans="1:35" ht="15" customHeight="1">
      <c r="A142" s="1"/>
      <c r="B142" s="1"/>
      <c r="C142" s="1">
        <v>4</v>
      </c>
      <c r="D142" s="1" t="s">
        <v>97</v>
      </c>
      <c r="E142" s="10"/>
      <c r="F142" s="10"/>
      <c r="G142" s="10"/>
      <c r="H142" s="10"/>
      <c r="I142" s="10"/>
      <c r="J142" s="10"/>
      <c r="K142" s="10"/>
      <c r="L142" s="10"/>
      <c r="M142" s="10"/>
      <c r="N142" s="10"/>
      <c r="O142" s="10"/>
      <c r="P142" s="10"/>
      <c r="Q142" s="10"/>
      <c r="R142" s="10"/>
      <c r="S142" s="10"/>
      <c r="T142" s="35">
        <v>136.4</v>
      </c>
      <c r="U142" s="1">
        <f>AVERAGE(T138:T142)</f>
        <v>88.4</v>
      </c>
      <c r="V142" s="1"/>
      <c r="W142" s="1">
        <v>18.54</v>
      </c>
      <c r="X142" s="1">
        <f>AVERAGE(W138:W142)</f>
        <v>11.956</v>
      </c>
      <c r="Y142" s="1"/>
      <c r="Z142" s="1"/>
      <c r="AA142" s="1">
        <v>4.99</v>
      </c>
      <c r="AB142" s="1">
        <f>AVERAGE(AA138:AA142)</f>
        <v>3.6700000000000004</v>
      </c>
      <c r="AC142" s="1"/>
      <c r="AD142" s="66">
        <f t="shared" si="0"/>
        <v>159.93</v>
      </c>
      <c r="AF142" s="6">
        <v>80.050000000000011</v>
      </c>
      <c r="AG142" s="6">
        <v>91.88</v>
      </c>
      <c r="AH142" s="6">
        <v>82.399999999999991</v>
      </c>
      <c r="AI142" s="6">
        <v>82.76</v>
      </c>
    </row>
    <row r="143" spans="1:35" ht="15" customHeight="1">
      <c r="A143" s="1" t="s">
        <v>103</v>
      </c>
      <c r="B143" s="1" t="s">
        <v>106</v>
      </c>
      <c r="C143" s="1">
        <v>1</v>
      </c>
      <c r="D143" s="1" t="s">
        <v>94</v>
      </c>
      <c r="E143" s="10"/>
      <c r="F143" s="10"/>
      <c r="G143" s="10"/>
      <c r="H143" s="10"/>
      <c r="I143" s="10"/>
      <c r="J143" s="10"/>
      <c r="K143" s="10"/>
      <c r="L143" s="10"/>
      <c r="M143" s="10"/>
      <c r="N143" s="10"/>
      <c r="O143" s="10"/>
      <c r="P143" s="10"/>
      <c r="Q143" s="10"/>
      <c r="R143" s="10"/>
      <c r="S143" s="10"/>
      <c r="T143" s="1">
        <v>69.2</v>
      </c>
      <c r="U143" s="1"/>
      <c r="V143" s="1"/>
      <c r="W143" s="1">
        <v>7.98</v>
      </c>
      <c r="X143" s="1"/>
      <c r="Y143" s="1"/>
      <c r="Z143" s="1"/>
      <c r="AA143" s="1">
        <v>2.87</v>
      </c>
      <c r="AB143" s="1"/>
      <c r="AC143" s="1"/>
      <c r="AD143" s="66">
        <f t="shared" si="0"/>
        <v>80.050000000000011</v>
      </c>
      <c r="AF143" s="6">
        <v>92.929999999999993</v>
      </c>
      <c r="AG143" s="6">
        <v>78.78</v>
      </c>
      <c r="AH143" s="6">
        <v>90.6</v>
      </c>
      <c r="AI143" s="6">
        <v>88.37</v>
      </c>
    </row>
    <row r="144" spans="1:35" ht="15" customHeight="1">
      <c r="A144" s="1"/>
      <c r="B144" s="1"/>
      <c r="C144" s="1">
        <v>1</v>
      </c>
      <c r="D144" s="1" t="s">
        <v>107</v>
      </c>
      <c r="E144" s="10"/>
      <c r="F144" s="10"/>
      <c r="G144" s="10"/>
      <c r="H144" s="10"/>
      <c r="I144" s="10"/>
      <c r="J144" s="10"/>
      <c r="K144" s="10"/>
      <c r="L144" s="10"/>
      <c r="M144" s="10"/>
      <c r="N144" s="10"/>
      <c r="O144" s="10"/>
      <c r="P144" s="10"/>
      <c r="Q144" s="10"/>
      <c r="R144" s="10"/>
      <c r="S144" s="10"/>
      <c r="T144" s="1">
        <v>85</v>
      </c>
      <c r="U144" s="1"/>
      <c r="V144" s="1"/>
      <c r="W144" s="1">
        <v>5.27</v>
      </c>
      <c r="X144" s="1"/>
      <c r="Y144" s="1"/>
      <c r="Z144" s="1"/>
      <c r="AA144" s="1">
        <v>2.66</v>
      </c>
      <c r="AB144" s="1"/>
      <c r="AC144" s="1"/>
      <c r="AD144" s="66">
        <f t="shared" si="0"/>
        <v>92.929999999999993</v>
      </c>
      <c r="AF144" s="6">
        <v>51.800000000000004</v>
      </c>
      <c r="AG144" s="6">
        <v>92.149999999999991</v>
      </c>
      <c r="AH144" s="6">
        <v>97.149999999999991</v>
      </c>
      <c r="AI144" s="6">
        <v>68.56</v>
      </c>
    </row>
    <row r="145" spans="1:35" ht="15" customHeight="1">
      <c r="A145" s="1"/>
      <c r="B145" s="1"/>
      <c r="C145" s="1">
        <v>1</v>
      </c>
      <c r="D145" s="1" t="s">
        <v>108</v>
      </c>
      <c r="E145" s="10"/>
      <c r="F145" s="10"/>
      <c r="G145" s="10"/>
      <c r="H145" s="10"/>
      <c r="I145" s="10"/>
      <c r="J145" s="10"/>
      <c r="K145" s="10"/>
      <c r="L145" s="10"/>
      <c r="M145" s="10"/>
      <c r="N145" s="10"/>
      <c r="O145" s="10"/>
      <c r="P145" s="10"/>
      <c r="Q145" s="10"/>
      <c r="R145" s="10"/>
      <c r="S145" s="10"/>
      <c r="T145" s="1">
        <v>45.7</v>
      </c>
      <c r="U145" s="1"/>
      <c r="V145" s="1"/>
      <c r="W145" s="1">
        <v>1.85</v>
      </c>
      <c r="X145" s="1"/>
      <c r="Y145" s="1"/>
      <c r="Z145" s="1"/>
      <c r="AA145" s="1">
        <v>4.25</v>
      </c>
      <c r="AB145" s="1"/>
      <c r="AC145" s="1"/>
      <c r="AD145" s="66">
        <f t="shared" si="0"/>
        <v>51.800000000000004</v>
      </c>
      <c r="AF145" s="6">
        <v>137.85</v>
      </c>
      <c r="AG145" s="6">
        <v>87.89</v>
      </c>
      <c r="AH145" s="6">
        <v>88.36</v>
      </c>
      <c r="AI145" s="6">
        <v>97.89</v>
      </c>
    </row>
    <row r="146" spans="1:35" ht="15" customHeight="1">
      <c r="A146" s="1"/>
      <c r="B146" s="1"/>
      <c r="C146" s="1">
        <v>1</v>
      </c>
      <c r="D146" s="1" t="s">
        <v>96</v>
      </c>
      <c r="E146" s="10"/>
      <c r="F146" s="10"/>
      <c r="G146" s="10"/>
      <c r="H146" s="10"/>
      <c r="I146" s="10"/>
      <c r="J146" s="10"/>
      <c r="K146" s="10"/>
      <c r="L146" s="10"/>
      <c r="M146" s="10"/>
      <c r="N146" s="10"/>
      <c r="O146" s="10"/>
      <c r="P146" s="10"/>
      <c r="Q146" s="10"/>
      <c r="R146" s="10"/>
      <c r="S146" s="10"/>
      <c r="T146" s="35">
        <v>113.5</v>
      </c>
      <c r="U146" s="1"/>
      <c r="V146" s="1"/>
      <c r="W146" s="1">
        <v>19.899999999999999</v>
      </c>
      <c r="X146" s="1"/>
      <c r="Y146" s="1"/>
      <c r="Z146" s="1"/>
      <c r="AA146" s="1">
        <v>4.45</v>
      </c>
      <c r="AB146" s="1"/>
      <c r="AC146" s="1"/>
      <c r="AD146" s="66">
        <f t="shared" si="0"/>
        <v>137.85</v>
      </c>
      <c r="AF146" s="6">
        <v>94.54</v>
      </c>
      <c r="AG146" s="6">
        <v>102.03999999999999</v>
      </c>
      <c r="AH146" s="6">
        <v>89.06</v>
      </c>
      <c r="AI146" s="6">
        <v>77.784999999999997</v>
      </c>
    </row>
    <row r="147" spans="1:35" ht="15" customHeight="1">
      <c r="A147" s="1"/>
      <c r="B147" s="1"/>
      <c r="C147" s="1">
        <v>1</v>
      </c>
      <c r="D147" s="1" t="s">
        <v>39</v>
      </c>
      <c r="E147" s="10"/>
      <c r="F147" s="10"/>
      <c r="G147" s="10"/>
      <c r="H147" s="10"/>
      <c r="I147" s="10"/>
      <c r="J147" s="10"/>
      <c r="K147" s="10"/>
      <c r="L147" s="10"/>
      <c r="M147" s="10"/>
      <c r="N147" s="10"/>
      <c r="O147" s="10"/>
      <c r="P147" s="10"/>
      <c r="Q147" s="10"/>
      <c r="R147" s="10"/>
      <c r="S147" s="10"/>
      <c r="T147" s="1">
        <v>80.900000000000006</v>
      </c>
      <c r="U147" s="1">
        <f>AVERAGE(T143:T147)</f>
        <v>78.859999999999985</v>
      </c>
      <c r="V147" s="1"/>
      <c r="W147" s="8">
        <f>AVERAGE(W143:W146)</f>
        <v>8.75</v>
      </c>
      <c r="X147" s="1">
        <f>AVERAGE(W143:W147)</f>
        <v>8.75</v>
      </c>
      <c r="Y147" s="1"/>
      <c r="Z147" s="1"/>
      <c r="AA147" s="69">
        <v>4.8899999999999997</v>
      </c>
      <c r="AB147" s="1">
        <f>AVERAGE(AA143:AA147)</f>
        <v>3.8240000000000003</v>
      </c>
      <c r="AC147" s="1"/>
      <c r="AD147" s="66">
        <f t="shared" si="0"/>
        <v>94.54</v>
      </c>
    </row>
    <row r="148" spans="1:35" ht="15" customHeight="1">
      <c r="A148" s="1"/>
      <c r="B148" s="1"/>
      <c r="C148" s="1">
        <v>2</v>
      </c>
      <c r="D148" s="1" t="s">
        <v>94</v>
      </c>
      <c r="E148" s="10"/>
      <c r="F148" s="10"/>
      <c r="G148" s="10"/>
      <c r="H148" s="10"/>
      <c r="I148" s="10"/>
      <c r="J148" s="10"/>
      <c r="K148" s="10"/>
      <c r="L148" s="10"/>
      <c r="M148" s="10"/>
      <c r="N148" s="10"/>
      <c r="O148" s="10"/>
      <c r="P148" s="10"/>
      <c r="Q148" s="10"/>
      <c r="R148" s="10"/>
      <c r="S148" s="10"/>
      <c r="T148" s="1">
        <v>81</v>
      </c>
      <c r="U148" s="1"/>
      <c r="V148" s="1"/>
      <c r="W148" s="8">
        <f>AVERAGE(W149:W152)</f>
        <v>8.11</v>
      </c>
      <c r="X148" s="1"/>
      <c r="Y148" s="1"/>
      <c r="Z148" s="1"/>
      <c r="AA148" s="1">
        <v>2.77</v>
      </c>
      <c r="AB148" s="1"/>
      <c r="AC148" s="1"/>
      <c r="AD148" s="66">
        <f t="shared" si="0"/>
        <v>91.88</v>
      </c>
    </row>
    <row r="149" spans="1:35" ht="15" customHeight="1">
      <c r="A149" s="1"/>
      <c r="B149" s="1"/>
      <c r="C149" s="1">
        <v>2</v>
      </c>
      <c r="D149" s="1" t="s">
        <v>107</v>
      </c>
      <c r="E149" s="10"/>
      <c r="F149" s="10"/>
      <c r="G149" s="10"/>
      <c r="H149" s="10"/>
      <c r="I149" s="10"/>
      <c r="J149" s="10"/>
      <c r="K149" s="10"/>
      <c r="L149" s="10"/>
      <c r="M149" s="10"/>
      <c r="N149" s="10"/>
      <c r="O149" s="10"/>
      <c r="P149" s="10"/>
      <c r="Q149" s="10"/>
      <c r="R149" s="10"/>
      <c r="S149" s="10"/>
      <c r="T149" s="1">
        <v>70.3</v>
      </c>
      <c r="U149" s="1"/>
      <c r="V149" s="1"/>
      <c r="W149" s="1">
        <v>5.26</v>
      </c>
      <c r="X149" s="1"/>
      <c r="Y149" s="1"/>
      <c r="Z149" s="1"/>
      <c r="AA149" s="1">
        <v>3.22</v>
      </c>
      <c r="AB149" s="1"/>
      <c r="AC149" s="1"/>
      <c r="AD149" s="66">
        <f t="shared" si="0"/>
        <v>78.78</v>
      </c>
    </row>
    <row r="150" spans="1:35" ht="15" customHeight="1">
      <c r="A150" s="1"/>
      <c r="B150" s="1"/>
      <c r="C150" s="1">
        <v>2</v>
      </c>
      <c r="D150" s="1" t="s">
        <v>108</v>
      </c>
      <c r="E150" s="10"/>
      <c r="F150" s="10"/>
      <c r="G150" s="10"/>
      <c r="H150" s="10"/>
      <c r="I150" s="10"/>
      <c r="J150" s="10"/>
      <c r="K150" s="10"/>
      <c r="L150" s="10"/>
      <c r="M150" s="10"/>
      <c r="N150" s="10"/>
      <c r="O150" s="10"/>
      <c r="P150" s="10"/>
      <c r="Q150" s="10"/>
      <c r="R150" s="10"/>
      <c r="S150" s="10"/>
      <c r="T150" s="1">
        <v>82.3</v>
      </c>
      <c r="U150" s="1"/>
      <c r="V150" s="1"/>
      <c r="W150" s="1">
        <v>7</v>
      </c>
      <c r="X150" s="1"/>
      <c r="Y150" s="1"/>
      <c r="Z150" s="1"/>
      <c r="AA150" s="1">
        <v>2.85</v>
      </c>
      <c r="AB150" s="1"/>
      <c r="AC150" s="1"/>
      <c r="AD150" s="66">
        <f t="shared" si="0"/>
        <v>92.149999999999991</v>
      </c>
    </row>
    <row r="151" spans="1:35" ht="15" customHeight="1">
      <c r="A151" s="1"/>
      <c r="B151" s="1"/>
      <c r="C151" s="1">
        <v>2</v>
      </c>
      <c r="D151" s="1" t="s">
        <v>96</v>
      </c>
      <c r="E151" s="10"/>
      <c r="F151" s="10"/>
      <c r="G151" s="10"/>
      <c r="H151" s="10"/>
      <c r="I151" s="10"/>
      <c r="J151" s="10"/>
      <c r="K151" s="10"/>
      <c r="L151" s="10"/>
      <c r="M151" s="10"/>
      <c r="N151" s="10"/>
      <c r="O151" s="10"/>
      <c r="P151" s="10"/>
      <c r="Q151" s="10"/>
      <c r="R151" s="10"/>
      <c r="S151" s="10"/>
      <c r="T151" s="1">
        <v>74.2</v>
      </c>
      <c r="U151" s="1"/>
      <c r="V151" s="1"/>
      <c r="W151" s="30">
        <v>9.08</v>
      </c>
      <c r="X151" s="1"/>
      <c r="Y151" s="1"/>
      <c r="Z151" s="1"/>
      <c r="AA151" s="1">
        <v>4.6100000000000003</v>
      </c>
      <c r="AB151" s="1"/>
      <c r="AC151" s="1"/>
      <c r="AD151" s="66">
        <f t="shared" si="0"/>
        <v>87.89</v>
      </c>
    </row>
    <row r="152" spans="1:35" ht="15" customHeight="1">
      <c r="A152" s="1"/>
      <c r="B152" s="1"/>
      <c r="C152" s="1">
        <v>2</v>
      </c>
      <c r="D152" s="1" t="s">
        <v>39</v>
      </c>
      <c r="E152" s="10"/>
      <c r="F152" s="10"/>
      <c r="G152" s="10"/>
      <c r="H152" s="10"/>
      <c r="I152" s="10"/>
      <c r="J152" s="10"/>
      <c r="K152" s="10"/>
      <c r="L152" s="10"/>
      <c r="M152" s="10"/>
      <c r="N152" s="10"/>
      <c r="O152" s="10"/>
      <c r="P152" s="10"/>
      <c r="Q152" s="10"/>
      <c r="R152" s="10"/>
      <c r="S152" s="10"/>
      <c r="T152" s="1">
        <v>88.8</v>
      </c>
      <c r="U152" s="1">
        <f>AVERAGE(T148:T152)</f>
        <v>79.320000000000007</v>
      </c>
      <c r="V152" s="1"/>
      <c r="W152" s="30">
        <v>11.1</v>
      </c>
      <c r="X152" s="1">
        <f>AVERAGE(W148:W152)</f>
        <v>8.11</v>
      </c>
      <c r="Y152" s="1"/>
      <c r="Z152" s="1"/>
      <c r="AA152" s="1">
        <v>2.14</v>
      </c>
      <c r="AB152" s="1">
        <f>AVERAGE(AA148:AA152)</f>
        <v>3.1179999999999999</v>
      </c>
      <c r="AC152" s="1"/>
      <c r="AD152" s="66">
        <f t="shared" si="0"/>
        <v>102.03999999999999</v>
      </c>
    </row>
    <row r="153" spans="1:35" ht="15" customHeight="1">
      <c r="A153" s="1"/>
      <c r="B153" s="1"/>
      <c r="C153" s="1">
        <v>3</v>
      </c>
      <c r="D153" s="1" t="s">
        <v>94</v>
      </c>
      <c r="E153" s="10"/>
      <c r="F153" s="10"/>
      <c r="G153" s="10"/>
      <c r="H153" s="10"/>
      <c r="I153" s="10"/>
      <c r="J153" s="10"/>
      <c r="K153" s="10"/>
      <c r="L153" s="10"/>
      <c r="M153" s="10"/>
      <c r="N153" s="10"/>
      <c r="O153" s="10"/>
      <c r="P153" s="10"/>
      <c r="Q153" s="10"/>
      <c r="R153" s="10"/>
      <c r="S153" s="10"/>
      <c r="T153" s="1">
        <v>73</v>
      </c>
      <c r="U153" s="1"/>
      <c r="V153" s="1"/>
      <c r="W153" s="1">
        <v>7.88</v>
      </c>
      <c r="X153" s="1"/>
      <c r="Y153" s="1"/>
      <c r="Z153" s="1"/>
      <c r="AA153" s="1">
        <v>1.52</v>
      </c>
      <c r="AB153" s="1"/>
      <c r="AC153" s="1"/>
      <c r="AD153" s="66">
        <f t="shared" si="0"/>
        <v>82.399999999999991</v>
      </c>
    </row>
    <row r="154" spans="1:35" ht="15" customHeight="1">
      <c r="A154" s="1"/>
      <c r="B154" s="1"/>
      <c r="C154" s="1">
        <v>3</v>
      </c>
      <c r="D154" s="1" t="s">
        <v>107</v>
      </c>
      <c r="E154" s="10"/>
      <c r="F154" s="10"/>
      <c r="G154" s="10"/>
      <c r="H154" s="10"/>
      <c r="I154" s="10"/>
      <c r="J154" s="10"/>
      <c r="K154" s="10"/>
      <c r="L154" s="10"/>
      <c r="M154" s="10"/>
      <c r="N154" s="10"/>
      <c r="O154" s="10"/>
      <c r="P154" s="10"/>
      <c r="Q154" s="10"/>
      <c r="R154" s="10"/>
      <c r="S154" s="10"/>
      <c r="T154" s="1">
        <v>83.1</v>
      </c>
      <c r="U154" s="1"/>
      <c r="V154" s="1"/>
      <c r="W154" s="1">
        <v>5.76</v>
      </c>
      <c r="X154" s="1"/>
      <c r="Y154" s="1"/>
      <c r="Z154" s="1"/>
      <c r="AA154" s="1">
        <v>1.74</v>
      </c>
      <c r="AB154" s="1"/>
      <c r="AC154" s="1"/>
      <c r="AD154" s="66">
        <f t="shared" si="0"/>
        <v>90.6</v>
      </c>
    </row>
    <row r="155" spans="1:35" ht="15" customHeight="1">
      <c r="A155" s="1"/>
      <c r="B155" s="1"/>
      <c r="C155" s="1">
        <v>3</v>
      </c>
      <c r="D155" s="1" t="s">
        <v>108</v>
      </c>
      <c r="E155" s="10"/>
      <c r="F155" s="10"/>
      <c r="G155" s="10"/>
      <c r="H155" s="10"/>
      <c r="I155" s="10"/>
      <c r="J155" s="10"/>
      <c r="K155" s="10"/>
      <c r="L155" s="10"/>
      <c r="M155" s="10"/>
      <c r="N155" s="10"/>
      <c r="O155" s="10"/>
      <c r="P155" s="10"/>
      <c r="Q155" s="10"/>
      <c r="R155" s="10"/>
      <c r="S155" s="10"/>
      <c r="T155" s="1">
        <v>85.8</v>
      </c>
      <c r="U155" s="1"/>
      <c r="V155" s="1"/>
      <c r="W155" s="1">
        <v>9.24</v>
      </c>
      <c r="X155" s="1"/>
      <c r="Y155" s="1"/>
      <c r="Z155" s="1"/>
      <c r="AA155" s="1">
        <v>2.11</v>
      </c>
      <c r="AB155" s="1"/>
      <c r="AC155" s="1"/>
      <c r="AD155" s="66">
        <f t="shared" si="0"/>
        <v>97.149999999999991</v>
      </c>
    </row>
    <row r="156" spans="1:35" ht="15" customHeight="1">
      <c r="A156" s="1"/>
      <c r="B156" s="1"/>
      <c r="C156" s="1">
        <v>3</v>
      </c>
      <c r="D156" s="1" t="s">
        <v>96</v>
      </c>
      <c r="E156" s="10"/>
      <c r="F156" s="10"/>
      <c r="G156" s="10"/>
      <c r="H156" s="10"/>
      <c r="I156" s="10"/>
      <c r="J156" s="10"/>
      <c r="K156" s="10"/>
      <c r="L156" s="10"/>
      <c r="M156" s="10"/>
      <c r="N156" s="10"/>
      <c r="O156" s="10"/>
      <c r="P156" s="10"/>
      <c r="Q156" s="10"/>
      <c r="R156" s="10"/>
      <c r="S156" s="10"/>
      <c r="T156" s="1">
        <v>77.599999999999994</v>
      </c>
      <c r="U156" s="1"/>
      <c r="V156" s="1"/>
      <c r="W156" s="1">
        <v>8.1999999999999993</v>
      </c>
      <c r="X156" s="1"/>
      <c r="Y156" s="1"/>
      <c r="Z156" s="1"/>
      <c r="AA156" s="1">
        <v>2.56</v>
      </c>
      <c r="AB156" s="1"/>
      <c r="AC156" s="1"/>
      <c r="AD156" s="66">
        <f t="shared" si="0"/>
        <v>88.36</v>
      </c>
    </row>
    <row r="157" spans="1:35" ht="15" customHeight="1">
      <c r="A157" s="1"/>
      <c r="B157" s="1"/>
      <c r="C157" s="1">
        <v>3</v>
      </c>
      <c r="D157" s="1" t="s">
        <v>39</v>
      </c>
      <c r="E157" s="10"/>
      <c r="F157" s="10"/>
      <c r="G157" s="10"/>
      <c r="H157" s="10"/>
      <c r="I157" s="10"/>
      <c r="J157" s="10"/>
      <c r="K157" s="10"/>
      <c r="L157" s="10"/>
      <c r="M157" s="10"/>
      <c r="N157" s="10"/>
      <c r="O157" s="10"/>
      <c r="P157" s="10"/>
      <c r="Q157" s="10"/>
      <c r="R157" s="10"/>
      <c r="S157" s="10"/>
      <c r="T157" s="1">
        <v>82.3</v>
      </c>
      <c r="U157" s="1">
        <f>AVERAGE(T153:T157)</f>
        <v>80.36</v>
      </c>
      <c r="V157" s="1"/>
      <c r="W157" s="1">
        <v>4.28</v>
      </c>
      <c r="X157" s="1">
        <f>AVERAGE(W153:W157)</f>
        <v>7.0720000000000001</v>
      </c>
      <c r="Y157" s="1"/>
      <c r="Z157" s="1"/>
      <c r="AA157" s="1">
        <v>2.48</v>
      </c>
      <c r="AB157" s="1">
        <f>AVERAGE(AA153:AA157)</f>
        <v>2.0819999999999999</v>
      </c>
      <c r="AC157" s="1"/>
      <c r="AD157" s="66">
        <f t="shared" si="0"/>
        <v>89.06</v>
      </c>
    </row>
    <row r="158" spans="1:35" ht="15" customHeight="1">
      <c r="A158" s="1"/>
      <c r="B158" s="1"/>
      <c r="C158" s="1">
        <v>4</v>
      </c>
      <c r="D158" s="1" t="s">
        <v>94</v>
      </c>
      <c r="E158" s="10"/>
      <c r="F158" s="10"/>
      <c r="G158" s="10"/>
      <c r="H158" s="10"/>
      <c r="I158" s="10"/>
      <c r="J158" s="10"/>
      <c r="K158" s="10"/>
      <c r="L158" s="10"/>
      <c r="M158" s="10"/>
      <c r="N158" s="10"/>
      <c r="O158" s="10"/>
      <c r="P158" s="10"/>
      <c r="Q158" s="10"/>
      <c r="R158" s="10"/>
      <c r="S158" s="10"/>
      <c r="T158" s="1">
        <v>74.2</v>
      </c>
      <c r="U158" s="1"/>
      <c r="V158" s="1"/>
      <c r="W158" s="1">
        <v>5</v>
      </c>
      <c r="X158" s="1"/>
      <c r="Y158" s="1"/>
      <c r="Z158" s="1"/>
      <c r="AA158" s="1">
        <v>3.56</v>
      </c>
      <c r="AB158" s="1"/>
      <c r="AC158" s="1"/>
      <c r="AD158" s="66">
        <f t="shared" si="0"/>
        <v>82.76</v>
      </c>
    </row>
    <row r="159" spans="1:35" ht="15" customHeight="1">
      <c r="A159" s="1"/>
      <c r="B159" s="1"/>
      <c r="C159" s="1">
        <v>4</v>
      </c>
      <c r="D159" s="1" t="s">
        <v>107</v>
      </c>
      <c r="E159" s="10"/>
      <c r="F159" s="10"/>
      <c r="G159" s="10"/>
      <c r="H159" s="10"/>
      <c r="I159" s="10"/>
      <c r="J159" s="10"/>
      <c r="K159" s="10"/>
      <c r="L159" s="10"/>
      <c r="M159" s="10"/>
      <c r="N159" s="10"/>
      <c r="O159" s="10"/>
      <c r="P159" s="10"/>
      <c r="Q159" s="10"/>
      <c r="R159" s="10"/>
      <c r="S159" s="10"/>
      <c r="T159" s="1">
        <v>73</v>
      </c>
      <c r="U159" s="1"/>
      <c r="V159" s="1"/>
      <c r="W159" s="1">
        <v>10.89</v>
      </c>
      <c r="X159" s="1"/>
      <c r="Y159" s="1"/>
      <c r="Z159" s="1"/>
      <c r="AA159" s="1">
        <v>4.4800000000000004</v>
      </c>
      <c r="AB159" s="1"/>
      <c r="AC159" s="1"/>
      <c r="AD159" s="66">
        <f t="shared" si="0"/>
        <v>88.37</v>
      </c>
    </row>
    <row r="160" spans="1:35" ht="15" customHeight="1">
      <c r="A160" s="1"/>
      <c r="B160" s="1"/>
      <c r="C160" s="1">
        <v>4</v>
      </c>
      <c r="D160" s="1" t="s">
        <v>108</v>
      </c>
      <c r="E160" s="10"/>
      <c r="F160" s="10"/>
      <c r="G160" s="10"/>
      <c r="H160" s="10"/>
      <c r="I160" s="10"/>
      <c r="J160" s="10"/>
      <c r="K160" s="10"/>
      <c r="L160" s="10"/>
      <c r="M160" s="10"/>
      <c r="N160" s="10"/>
      <c r="O160" s="10"/>
      <c r="P160" s="10"/>
      <c r="Q160" s="10"/>
      <c r="R160" s="10"/>
      <c r="S160" s="10"/>
      <c r="T160" s="1">
        <v>61.2</v>
      </c>
      <c r="U160" s="1"/>
      <c r="V160" s="1"/>
      <c r="W160" s="1">
        <v>5.03</v>
      </c>
      <c r="X160" s="1"/>
      <c r="Y160" s="1"/>
      <c r="Z160" s="1"/>
      <c r="AA160" s="1">
        <v>2.33</v>
      </c>
      <c r="AB160" s="1"/>
      <c r="AC160" s="1"/>
      <c r="AD160" s="66">
        <f t="shared" si="0"/>
        <v>68.56</v>
      </c>
    </row>
    <row r="161" spans="1:35" ht="15" customHeight="1">
      <c r="A161" s="1"/>
      <c r="B161" s="1"/>
      <c r="C161" s="1">
        <v>4</v>
      </c>
      <c r="D161" s="1" t="s">
        <v>96</v>
      </c>
      <c r="E161" s="10"/>
      <c r="F161" s="10"/>
      <c r="G161" s="10"/>
      <c r="H161" s="10"/>
      <c r="I161" s="10"/>
      <c r="J161" s="10"/>
      <c r="K161" s="10"/>
      <c r="L161" s="10"/>
      <c r="M161" s="10"/>
      <c r="N161" s="10"/>
      <c r="O161" s="10"/>
      <c r="P161" s="10"/>
      <c r="Q161" s="10"/>
      <c r="R161" s="10"/>
      <c r="S161" s="10"/>
      <c r="T161" s="1">
        <v>82.5</v>
      </c>
      <c r="U161" s="1"/>
      <c r="V161" s="1"/>
      <c r="W161" s="1">
        <v>12.52</v>
      </c>
      <c r="X161" s="1"/>
      <c r="Y161" s="1"/>
      <c r="Z161" s="1"/>
      <c r="AA161" s="1">
        <v>2.87</v>
      </c>
      <c r="AB161" s="1"/>
      <c r="AC161" s="1"/>
      <c r="AD161" s="66">
        <f t="shared" si="0"/>
        <v>97.89</v>
      </c>
      <c r="AF161" s="6" t="s">
        <v>89</v>
      </c>
      <c r="AG161" s="6" t="s">
        <v>90</v>
      </c>
      <c r="AH161" s="6" t="s">
        <v>87</v>
      </c>
      <c r="AI161" s="6" t="s">
        <v>88</v>
      </c>
    </row>
    <row r="162" spans="1:35" ht="15" customHeight="1">
      <c r="A162" s="1"/>
      <c r="B162" s="1"/>
      <c r="C162" s="1">
        <v>4</v>
      </c>
      <c r="D162" s="1" t="s">
        <v>39</v>
      </c>
      <c r="E162" s="10"/>
      <c r="F162" s="10"/>
      <c r="G162" s="10"/>
      <c r="H162" s="10"/>
      <c r="I162" s="10"/>
      <c r="J162" s="10"/>
      <c r="K162" s="10"/>
      <c r="L162" s="10"/>
      <c r="M162" s="10"/>
      <c r="N162" s="10"/>
      <c r="O162" s="10"/>
      <c r="P162" s="10"/>
      <c r="Q162" s="10"/>
      <c r="R162" s="10"/>
      <c r="S162" s="10"/>
      <c r="T162" s="8">
        <f>AVERAGEA(T158:T161)</f>
        <v>72.724999999999994</v>
      </c>
      <c r="U162" s="1">
        <f>AVERAGE(T158:T162)</f>
        <v>72.724999999999994</v>
      </c>
      <c r="V162" s="1"/>
      <c r="W162" s="1">
        <v>1.75</v>
      </c>
      <c r="X162" s="1">
        <f>AVERAGE(W158:W162)</f>
        <v>7.0379999999999994</v>
      </c>
      <c r="Y162" s="1"/>
      <c r="Z162" s="1"/>
      <c r="AA162" s="8">
        <f>AVERAGE(AA158:AA161)</f>
        <v>3.3100000000000005</v>
      </c>
      <c r="AB162" s="1">
        <f>AVERAGE(AA158:AA162)</f>
        <v>3.3100000000000009</v>
      </c>
      <c r="AC162" s="1"/>
      <c r="AD162" s="66">
        <f t="shared" si="0"/>
        <v>77.784999999999997</v>
      </c>
      <c r="AF162" s="6">
        <v>68.739999999999995</v>
      </c>
      <c r="AG162" s="6">
        <v>82.954999999999984</v>
      </c>
      <c r="AH162" s="6">
        <v>77.38</v>
      </c>
      <c r="AI162" s="6">
        <v>83.200000000000017</v>
      </c>
    </row>
    <row r="163" spans="1:35" ht="15" customHeight="1">
      <c r="A163" s="1" t="s">
        <v>103</v>
      </c>
      <c r="B163" s="1" t="s">
        <v>110</v>
      </c>
      <c r="C163" s="1">
        <v>1</v>
      </c>
      <c r="D163" s="1" t="s">
        <v>94</v>
      </c>
      <c r="E163" s="10"/>
      <c r="F163" s="10"/>
      <c r="G163" s="10"/>
      <c r="H163" s="10"/>
      <c r="I163" s="10"/>
      <c r="J163" s="10"/>
      <c r="K163" s="10"/>
      <c r="L163" s="10"/>
      <c r="M163" s="10"/>
      <c r="N163" s="10"/>
      <c r="O163" s="10"/>
      <c r="P163" s="10"/>
      <c r="Q163" s="10"/>
      <c r="R163" s="10"/>
      <c r="S163" s="10"/>
      <c r="T163" s="8">
        <v>55.77</v>
      </c>
      <c r="U163" s="1"/>
      <c r="V163" s="1"/>
      <c r="W163" s="30">
        <v>10.53</v>
      </c>
      <c r="X163" s="1"/>
      <c r="Y163" s="1"/>
      <c r="Z163" s="1"/>
      <c r="AA163" s="1">
        <v>2.44</v>
      </c>
      <c r="AB163" s="1"/>
      <c r="AC163" s="1"/>
      <c r="AD163" s="66">
        <f t="shared" si="0"/>
        <v>68.739999999999995</v>
      </c>
      <c r="AF163" s="6">
        <v>68.706666666666663</v>
      </c>
      <c r="AG163" s="6">
        <v>67.36</v>
      </c>
      <c r="AH163" s="6">
        <v>15.650000000000002</v>
      </c>
      <c r="AI163" s="6">
        <v>102.45</v>
      </c>
    </row>
    <row r="164" spans="1:35" ht="15" customHeight="1">
      <c r="A164" s="1"/>
      <c r="B164" s="1"/>
      <c r="C164" s="1">
        <v>1</v>
      </c>
      <c r="D164" s="1" t="s">
        <v>95</v>
      </c>
      <c r="E164" s="10"/>
      <c r="F164" s="10"/>
      <c r="G164" s="10"/>
      <c r="H164" s="10"/>
      <c r="I164" s="10"/>
      <c r="J164" s="10"/>
      <c r="K164" s="10"/>
      <c r="L164" s="10"/>
      <c r="M164" s="10"/>
      <c r="N164" s="10"/>
      <c r="O164" s="10"/>
      <c r="P164" s="10"/>
      <c r="Q164" s="10"/>
      <c r="R164" s="10"/>
      <c r="S164" s="10"/>
      <c r="T164" s="1">
        <v>55.8</v>
      </c>
      <c r="U164" s="1"/>
      <c r="V164" s="1"/>
      <c r="W164" s="48">
        <f>AVERAGE(W163,W165,W167)</f>
        <v>9.8166666666666682</v>
      </c>
      <c r="X164" s="1"/>
      <c r="Y164" s="1"/>
      <c r="Z164" s="1"/>
      <c r="AA164" s="1">
        <v>3.09</v>
      </c>
      <c r="AB164" s="1"/>
      <c r="AC164" s="1"/>
      <c r="AD164" s="66">
        <f t="shared" si="0"/>
        <v>68.706666666666663</v>
      </c>
      <c r="AF164" s="6">
        <v>58.19</v>
      </c>
      <c r="AG164" s="6">
        <v>85</v>
      </c>
      <c r="AH164" s="6">
        <v>82.33</v>
      </c>
      <c r="AI164" s="6">
        <v>103.48</v>
      </c>
    </row>
    <row r="165" spans="1:35" ht="15" customHeight="1">
      <c r="A165" s="1"/>
      <c r="B165" s="1"/>
      <c r="C165" s="1">
        <v>1</v>
      </c>
      <c r="D165" s="1" t="s">
        <v>108</v>
      </c>
      <c r="E165" s="10"/>
      <c r="F165" s="10"/>
      <c r="G165" s="10"/>
      <c r="H165" s="10"/>
      <c r="I165" s="10"/>
      <c r="J165" s="10"/>
      <c r="K165" s="10"/>
      <c r="L165" s="10"/>
      <c r="M165" s="10"/>
      <c r="N165" s="10"/>
      <c r="O165" s="10"/>
      <c r="P165" s="10"/>
      <c r="Q165" s="10"/>
      <c r="R165" s="10"/>
      <c r="S165" s="10"/>
      <c r="T165" s="1">
        <v>44.4</v>
      </c>
      <c r="U165" s="1"/>
      <c r="V165" s="1"/>
      <c r="W165" s="1">
        <v>11</v>
      </c>
      <c r="X165" s="1"/>
      <c r="Y165" s="1"/>
      <c r="Z165" s="1"/>
      <c r="AA165" s="1">
        <v>2.79</v>
      </c>
      <c r="AB165" s="1"/>
      <c r="AC165" s="1"/>
      <c r="AD165" s="66">
        <f t="shared" si="0"/>
        <v>58.19</v>
      </c>
      <c r="AF165" s="6">
        <v>78.609999999999985</v>
      </c>
      <c r="AG165" s="6">
        <v>97.22999999999999</v>
      </c>
      <c r="AH165" s="6">
        <v>84.204999999999998</v>
      </c>
      <c r="AI165" s="6">
        <v>95.89</v>
      </c>
    </row>
    <row r="166" spans="1:35" ht="15" customHeight="1">
      <c r="A166" s="1"/>
      <c r="B166" s="1"/>
      <c r="C166" s="1">
        <v>1</v>
      </c>
      <c r="D166" s="1" t="s">
        <v>111</v>
      </c>
      <c r="E166" s="10"/>
      <c r="F166" s="10"/>
      <c r="G166" s="10"/>
      <c r="H166" s="10"/>
      <c r="I166" s="10"/>
      <c r="J166" s="10"/>
      <c r="K166" s="10"/>
      <c r="L166" s="10"/>
      <c r="M166" s="10"/>
      <c r="N166" s="10"/>
      <c r="O166" s="10"/>
      <c r="P166" s="10"/>
      <c r="Q166" s="10"/>
      <c r="R166" s="10"/>
      <c r="S166" s="10"/>
      <c r="T166" s="1">
        <v>67.099999999999994</v>
      </c>
      <c r="U166" s="1"/>
      <c r="V166" s="1"/>
      <c r="W166" s="48">
        <v>9.82</v>
      </c>
      <c r="X166" s="1"/>
      <c r="Y166" s="1" t="s">
        <v>221</v>
      </c>
      <c r="Z166" s="1"/>
      <c r="AA166" s="1">
        <v>1.69</v>
      </c>
      <c r="AB166" s="1"/>
      <c r="AC166" s="1"/>
      <c r="AD166" s="66">
        <f t="shared" si="0"/>
        <v>78.609999999999985</v>
      </c>
      <c r="AF166" s="6">
        <v>67.006666666666661</v>
      </c>
      <c r="AG166" s="6">
        <v>84.92</v>
      </c>
      <c r="AH166" s="6">
        <v>79.900000000000006</v>
      </c>
      <c r="AI166" s="6">
        <v>87.899999999999991</v>
      </c>
    </row>
    <row r="167" spans="1:35" ht="15" customHeight="1">
      <c r="A167" s="1"/>
      <c r="B167" s="1"/>
      <c r="C167" s="1">
        <v>1</v>
      </c>
      <c r="D167" s="1" t="s">
        <v>39</v>
      </c>
      <c r="E167" s="10"/>
      <c r="F167" s="10"/>
      <c r="G167" s="10"/>
      <c r="H167" s="10"/>
      <c r="I167" s="10"/>
      <c r="J167" s="10"/>
      <c r="K167" s="10"/>
      <c r="L167" s="10"/>
      <c r="M167" s="10"/>
      <c r="N167" s="10"/>
      <c r="O167" s="10"/>
      <c r="P167" s="10"/>
      <c r="Q167" s="10"/>
      <c r="R167" s="10"/>
      <c r="S167" s="10"/>
      <c r="T167" s="8">
        <f>AVERAGE(T164:T166)</f>
        <v>55.766666666666659</v>
      </c>
      <c r="U167" s="1">
        <f>AVERAGE(T163:T167)</f>
        <v>55.767333333333326</v>
      </c>
      <c r="V167" s="1"/>
      <c r="W167" s="67">
        <v>7.92</v>
      </c>
      <c r="X167" s="30">
        <f>AVERAGE(W163:W167)</f>
        <v>9.8173333333333339</v>
      </c>
      <c r="Y167" s="1"/>
      <c r="Z167" s="1"/>
      <c r="AA167" s="1">
        <v>3.32</v>
      </c>
      <c r="AB167" s="1">
        <f>AVERAGE(AA163:AA167)</f>
        <v>2.6659999999999999</v>
      </c>
      <c r="AC167" s="1"/>
      <c r="AD167" s="66">
        <f t="shared" si="0"/>
        <v>67.006666666666661</v>
      </c>
    </row>
    <row r="168" spans="1:35" ht="14.25" customHeight="1">
      <c r="A168" s="1"/>
      <c r="B168" s="1"/>
      <c r="C168" s="1">
        <v>2</v>
      </c>
      <c r="D168" s="1" t="s">
        <v>94</v>
      </c>
      <c r="E168" s="10"/>
      <c r="F168" s="10"/>
      <c r="G168" s="10"/>
      <c r="H168" s="10"/>
      <c r="I168" s="10"/>
      <c r="J168" s="10"/>
      <c r="K168" s="10"/>
      <c r="L168" s="10"/>
      <c r="M168" s="10"/>
      <c r="N168" s="10"/>
      <c r="O168" s="10"/>
      <c r="P168" s="10"/>
      <c r="Q168" s="10"/>
      <c r="R168" s="10"/>
      <c r="S168" s="10"/>
      <c r="T168" s="8">
        <v>70.099999999999994</v>
      </c>
      <c r="U168" s="1"/>
      <c r="V168" s="1"/>
      <c r="W168" s="48">
        <v>10.365</v>
      </c>
      <c r="X168" s="1"/>
      <c r="Y168" s="1" t="s">
        <v>222</v>
      </c>
      <c r="Z168" s="1"/>
      <c r="AA168" s="1">
        <v>2.4900000000000002</v>
      </c>
      <c r="AB168" s="1"/>
      <c r="AC168" s="1"/>
      <c r="AD168" s="66">
        <f t="shared" si="0"/>
        <v>82.954999999999984</v>
      </c>
    </row>
    <row r="169" spans="1:35" ht="16.5" customHeight="1">
      <c r="A169" s="1"/>
      <c r="B169" s="1"/>
      <c r="C169" s="1">
        <v>2</v>
      </c>
      <c r="D169" s="1" t="s">
        <v>95</v>
      </c>
      <c r="E169" s="10"/>
      <c r="F169" s="10"/>
      <c r="G169" s="10"/>
      <c r="H169" s="10"/>
      <c r="I169" s="10"/>
      <c r="J169" s="10"/>
      <c r="K169" s="10"/>
      <c r="L169" s="10"/>
      <c r="M169" s="10"/>
      <c r="N169" s="10"/>
      <c r="O169" s="10"/>
      <c r="P169" s="10"/>
      <c r="Q169" s="10"/>
      <c r="R169" s="10"/>
      <c r="S169" s="10"/>
      <c r="T169" s="1">
        <v>62.4</v>
      </c>
      <c r="U169" s="1"/>
      <c r="V169" s="1"/>
      <c r="W169" s="67">
        <v>3.03</v>
      </c>
      <c r="X169" s="1"/>
      <c r="Y169" s="1"/>
      <c r="Z169" s="1"/>
      <c r="AA169" s="1">
        <v>1.93</v>
      </c>
      <c r="AB169" s="1"/>
      <c r="AC169" s="1"/>
      <c r="AD169" s="66">
        <f t="shared" si="0"/>
        <v>67.36</v>
      </c>
    </row>
    <row r="170" spans="1:35" ht="15" customHeight="1">
      <c r="A170" s="1"/>
      <c r="B170" s="1"/>
      <c r="C170" s="1">
        <v>2</v>
      </c>
      <c r="D170" s="1" t="s">
        <v>96</v>
      </c>
      <c r="E170" s="10"/>
      <c r="F170" s="10"/>
      <c r="G170" s="10"/>
      <c r="H170" s="10"/>
      <c r="I170" s="10"/>
      <c r="J170" s="10"/>
      <c r="K170" s="10"/>
      <c r="L170" s="10"/>
      <c r="M170" s="10"/>
      <c r="N170" s="10"/>
      <c r="O170" s="10"/>
      <c r="P170" s="10"/>
      <c r="Q170" s="10"/>
      <c r="R170" s="10"/>
      <c r="S170" s="10"/>
      <c r="T170" s="1">
        <v>75.599999999999994</v>
      </c>
      <c r="U170" s="1"/>
      <c r="V170" s="1"/>
      <c r="W170" s="67">
        <v>6.34</v>
      </c>
      <c r="X170" s="1"/>
      <c r="Y170" s="1"/>
      <c r="Z170" s="1"/>
      <c r="AA170" s="1">
        <v>3.06</v>
      </c>
      <c r="AB170" s="1"/>
      <c r="AC170" s="1"/>
      <c r="AD170" s="66">
        <f t="shared" si="0"/>
        <v>85</v>
      </c>
    </row>
    <row r="171" spans="1:35" ht="15" customHeight="1">
      <c r="A171" s="1"/>
      <c r="B171" s="1"/>
      <c r="C171" s="1">
        <v>2</v>
      </c>
      <c r="D171" s="1" t="s">
        <v>39</v>
      </c>
      <c r="E171" s="10"/>
      <c r="F171" s="10"/>
      <c r="G171" s="10"/>
      <c r="H171" s="10"/>
      <c r="I171" s="10"/>
      <c r="J171" s="10"/>
      <c r="K171" s="10"/>
      <c r="L171" s="10"/>
      <c r="M171" s="10"/>
      <c r="N171" s="10"/>
      <c r="O171" s="10"/>
      <c r="P171" s="10"/>
      <c r="Q171" s="10"/>
      <c r="R171" s="10"/>
      <c r="S171" s="10"/>
      <c r="T171" s="1">
        <v>72.3</v>
      </c>
      <c r="U171" s="1"/>
      <c r="V171" s="1"/>
      <c r="W171" s="1">
        <v>22.13</v>
      </c>
      <c r="X171" s="1"/>
      <c r="Y171" s="1"/>
      <c r="Z171" s="1"/>
      <c r="AA171" s="1">
        <v>2.8</v>
      </c>
      <c r="AB171" s="1"/>
      <c r="AC171" s="1"/>
      <c r="AD171" s="66">
        <f t="shared" si="0"/>
        <v>97.22999999999999</v>
      </c>
    </row>
    <row r="172" spans="1:35" ht="15" customHeight="1">
      <c r="A172" s="1"/>
      <c r="B172" s="1"/>
      <c r="C172" s="1">
        <v>2</v>
      </c>
      <c r="D172" s="1" t="s">
        <v>97</v>
      </c>
      <c r="E172" s="10"/>
      <c r="F172" s="10"/>
      <c r="G172" s="10"/>
      <c r="H172" s="10"/>
      <c r="I172" s="10"/>
      <c r="J172" s="10"/>
      <c r="K172" s="10"/>
      <c r="L172" s="10"/>
      <c r="M172" s="10"/>
      <c r="N172" s="10"/>
      <c r="O172" s="10"/>
      <c r="P172" s="10"/>
      <c r="Q172" s="10"/>
      <c r="R172" s="10"/>
      <c r="S172" s="10"/>
      <c r="T172" s="8">
        <v>70.099999999999994</v>
      </c>
      <c r="U172" s="1">
        <f>AVERAGE(T168:T172)</f>
        <v>70.099999999999994</v>
      </c>
      <c r="V172" s="1"/>
      <c r="W172" s="67">
        <v>9.9600000000000009</v>
      </c>
      <c r="X172" s="30">
        <f>AVERAGE(W168:W172)</f>
        <v>10.364999999999998</v>
      </c>
      <c r="Y172" s="1"/>
      <c r="Z172" s="1"/>
      <c r="AA172" s="1">
        <v>4.8600000000000003</v>
      </c>
      <c r="AB172" s="1">
        <f>AVERAGE(AA168:AA172)</f>
        <v>3.028</v>
      </c>
      <c r="AC172" s="1"/>
      <c r="AD172" s="66">
        <f t="shared" si="0"/>
        <v>84.92</v>
      </c>
    </row>
    <row r="173" spans="1:35" ht="15" customHeight="1">
      <c r="A173" s="1"/>
      <c r="B173" s="1"/>
      <c r="C173" s="1">
        <v>3</v>
      </c>
      <c r="D173" s="1" t="s">
        <v>94</v>
      </c>
      <c r="E173" s="10"/>
      <c r="F173" s="10"/>
      <c r="G173" s="10"/>
      <c r="H173" s="10"/>
      <c r="I173" s="10"/>
      <c r="J173" s="10"/>
      <c r="K173" s="10"/>
      <c r="L173" s="10"/>
      <c r="M173" s="10"/>
      <c r="N173" s="10"/>
      <c r="O173" s="10"/>
      <c r="P173" s="10"/>
      <c r="Q173" s="10"/>
      <c r="R173" s="10"/>
      <c r="S173" s="10"/>
      <c r="T173" s="1">
        <v>74</v>
      </c>
      <c r="U173" s="1"/>
      <c r="V173" s="1"/>
      <c r="W173" s="1">
        <v>1.88</v>
      </c>
      <c r="X173" s="1"/>
      <c r="Y173" s="1"/>
      <c r="Z173" s="1"/>
      <c r="AA173" s="69">
        <v>1.5</v>
      </c>
      <c r="AB173" s="1"/>
      <c r="AC173" s="1"/>
      <c r="AD173" s="66">
        <f t="shared" si="0"/>
        <v>77.38</v>
      </c>
    </row>
    <row r="174" spans="1:35" ht="15" customHeight="1">
      <c r="A174" s="1"/>
      <c r="B174" s="1"/>
      <c r="C174" s="1">
        <v>3</v>
      </c>
      <c r="D174" s="1" t="s">
        <v>95</v>
      </c>
      <c r="E174" s="10"/>
      <c r="F174" s="10"/>
      <c r="G174" s="10"/>
      <c r="H174" s="10"/>
      <c r="I174" s="10"/>
      <c r="J174" s="10"/>
      <c r="K174" s="10"/>
      <c r="L174" s="10"/>
      <c r="M174" s="10"/>
      <c r="N174" s="10"/>
      <c r="O174" s="10"/>
      <c r="P174" s="10"/>
      <c r="Q174" s="10"/>
      <c r="R174" s="10"/>
      <c r="S174" s="10"/>
      <c r="T174" s="35">
        <v>12.3</v>
      </c>
      <c r="U174" s="1"/>
      <c r="V174" s="1"/>
      <c r="W174" s="1">
        <v>2.62</v>
      </c>
      <c r="X174" s="1"/>
      <c r="Y174" s="1"/>
      <c r="Z174" s="1"/>
      <c r="AA174" s="69">
        <v>0.73</v>
      </c>
      <c r="AB174" s="1"/>
      <c r="AC174" s="1"/>
      <c r="AD174" s="66">
        <f t="shared" si="0"/>
        <v>15.650000000000002</v>
      </c>
    </row>
    <row r="175" spans="1:35" ht="15" customHeight="1">
      <c r="A175" s="1"/>
      <c r="B175" s="1"/>
      <c r="C175" s="1">
        <v>3</v>
      </c>
      <c r="D175" s="1" t="s">
        <v>108</v>
      </c>
      <c r="E175" s="10"/>
      <c r="F175" s="10"/>
      <c r="G175" s="10"/>
      <c r="H175" s="10"/>
      <c r="I175" s="10"/>
      <c r="J175" s="10"/>
      <c r="K175" s="10"/>
      <c r="L175" s="10"/>
      <c r="M175" s="10"/>
      <c r="N175" s="10"/>
      <c r="O175" s="10"/>
      <c r="P175" s="10"/>
      <c r="Q175" s="10"/>
      <c r="R175" s="10"/>
      <c r="S175" s="10"/>
      <c r="T175" s="1">
        <v>66</v>
      </c>
      <c r="U175" s="1"/>
      <c r="V175" s="1"/>
      <c r="W175" s="1">
        <v>13.35</v>
      </c>
      <c r="X175" s="1"/>
      <c r="Y175" s="1"/>
      <c r="Z175" s="1"/>
      <c r="AA175" s="1">
        <v>2.98</v>
      </c>
      <c r="AB175" s="1"/>
      <c r="AC175" s="1"/>
      <c r="AD175" s="66">
        <f t="shared" si="0"/>
        <v>82.33</v>
      </c>
    </row>
    <row r="176" spans="1:35" ht="15" customHeight="1">
      <c r="A176" s="1"/>
      <c r="B176" s="1"/>
      <c r="C176" s="1">
        <v>3</v>
      </c>
      <c r="D176" s="1" t="s">
        <v>39</v>
      </c>
      <c r="E176" s="10"/>
      <c r="F176" s="10"/>
      <c r="G176" s="10"/>
      <c r="H176" s="10"/>
      <c r="I176" s="10"/>
      <c r="J176" s="10"/>
      <c r="K176" s="10"/>
      <c r="L176" s="10"/>
      <c r="M176" s="10"/>
      <c r="N176" s="10"/>
      <c r="O176" s="10"/>
      <c r="P176" s="10"/>
      <c r="Q176" s="10"/>
      <c r="R176" s="10"/>
      <c r="S176" s="10"/>
      <c r="T176" s="1">
        <v>75.8</v>
      </c>
      <c r="U176" s="1"/>
      <c r="V176" s="1"/>
      <c r="W176" s="8">
        <f>AVERAGE(W173:W175,W177)</f>
        <v>5.3450000000000006</v>
      </c>
      <c r="X176" s="1"/>
      <c r="Y176" s="1"/>
      <c r="Z176" s="1"/>
      <c r="AA176" s="1">
        <v>3.06</v>
      </c>
      <c r="AB176" s="1"/>
      <c r="AC176" s="1"/>
      <c r="AD176" s="66">
        <f t="shared" si="0"/>
        <v>84.204999999999998</v>
      </c>
    </row>
    <row r="177" spans="1:35" ht="15" customHeight="1">
      <c r="A177" s="1"/>
      <c r="B177" s="1"/>
      <c r="C177" s="1">
        <v>3</v>
      </c>
      <c r="D177" s="1" t="s">
        <v>97</v>
      </c>
      <c r="E177" s="10"/>
      <c r="F177" s="10"/>
      <c r="G177" s="10"/>
      <c r="H177" s="10"/>
      <c r="I177" s="10"/>
      <c r="J177" s="10"/>
      <c r="K177" s="10"/>
      <c r="L177" s="10"/>
      <c r="M177" s="10"/>
      <c r="N177" s="10"/>
      <c r="O177" s="10"/>
      <c r="P177" s="10"/>
      <c r="Q177" s="10"/>
      <c r="R177" s="10"/>
      <c r="S177" s="10"/>
      <c r="T177" s="1">
        <v>73.900000000000006</v>
      </c>
      <c r="U177" s="1">
        <f>AVERAGE(T173:T177)</f>
        <v>60.4</v>
      </c>
      <c r="V177" s="1"/>
      <c r="W177" s="1">
        <v>3.53</v>
      </c>
      <c r="X177" s="1">
        <f>AVERAGE(W173:W177)</f>
        <v>5.3450000000000006</v>
      </c>
      <c r="Y177" s="1"/>
      <c r="Z177" s="1"/>
      <c r="AA177" s="1">
        <v>2.4700000000000002</v>
      </c>
      <c r="AB177" s="1">
        <f>AVERAGE(AA173:AA177)</f>
        <v>2.1480000000000001</v>
      </c>
      <c r="AC177" s="1"/>
      <c r="AD177" s="66">
        <f t="shared" si="0"/>
        <v>79.900000000000006</v>
      </c>
    </row>
    <row r="178" spans="1:35" ht="15" customHeight="1">
      <c r="A178" s="1"/>
      <c r="B178" s="1"/>
      <c r="C178" s="1">
        <v>4</v>
      </c>
      <c r="D178" s="1" t="s">
        <v>94</v>
      </c>
      <c r="E178" s="10"/>
      <c r="F178" s="10"/>
      <c r="G178" s="10"/>
      <c r="H178" s="10"/>
      <c r="I178" s="10"/>
      <c r="J178" s="10"/>
      <c r="K178" s="10"/>
      <c r="L178" s="10"/>
      <c r="M178" s="10"/>
      <c r="N178" s="10"/>
      <c r="O178" s="10"/>
      <c r="P178" s="10"/>
      <c r="Q178" s="10"/>
      <c r="R178" s="10"/>
      <c r="S178" s="10"/>
      <c r="T178" s="1">
        <v>66.400000000000006</v>
      </c>
      <c r="U178" s="1"/>
      <c r="V178" s="1"/>
      <c r="W178" s="1">
        <v>12.62</v>
      </c>
      <c r="X178" s="1"/>
      <c r="Y178" s="1"/>
      <c r="Z178" s="1"/>
      <c r="AA178" s="1">
        <v>4.18</v>
      </c>
      <c r="AB178" s="1"/>
      <c r="AC178" s="1"/>
      <c r="AD178" s="66">
        <f t="shared" si="0"/>
        <v>83.200000000000017</v>
      </c>
    </row>
    <row r="179" spans="1:35" ht="15" customHeight="1">
      <c r="A179" s="1"/>
      <c r="B179" s="1"/>
      <c r="C179" s="1">
        <v>4</v>
      </c>
      <c r="D179" s="1" t="s">
        <v>95</v>
      </c>
      <c r="E179" s="10"/>
      <c r="F179" s="10"/>
      <c r="G179" s="10"/>
      <c r="H179" s="10"/>
      <c r="I179" s="10"/>
      <c r="J179" s="10"/>
      <c r="K179" s="10"/>
      <c r="L179" s="10"/>
      <c r="M179" s="10"/>
      <c r="N179" s="10"/>
      <c r="O179" s="10"/>
      <c r="P179" s="10"/>
      <c r="Q179" s="10"/>
      <c r="R179" s="10"/>
      <c r="S179" s="10"/>
      <c r="T179" s="8">
        <v>73.25</v>
      </c>
      <c r="U179" s="1"/>
      <c r="V179" s="1"/>
      <c r="W179" s="1">
        <v>23.81</v>
      </c>
      <c r="X179" s="1"/>
      <c r="Y179" s="1"/>
      <c r="Z179" s="1"/>
      <c r="AA179" s="1">
        <v>5.39</v>
      </c>
      <c r="AB179" s="1"/>
      <c r="AC179" s="1"/>
      <c r="AD179" s="66">
        <f t="shared" si="0"/>
        <v>102.45</v>
      </c>
    </row>
    <row r="180" spans="1:35" ht="15" customHeight="1">
      <c r="A180" s="1"/>
      <c r="B180" s="1"/>
      <c r="C180" s="1">
        <v>4</v>
      </c>
      <c r="D180" s="1" t="s">
        <v>96</v>
      </c>
      <c r="E180" s="10"/>
      <c r="F180" s="10"/>
      <c r="G180" s="10"/>
      <c r="H180" s="10"/>
      <c r="I180" s="10"/>
      <c r="J180" s="10"/>
      <c r="K180" s="10"/>
      <c r="L180" s="10"/>
      <c r="M180" s="10"/>
      <c r="N180" s="10"/>
      <c r="O180" s="10"/>
      <c r="P180" s="10"/>
      <c r="Q180" s="10"/>
      <c r="R180" s="10"/>
      <c r="S180" s="10"/>
      <c r="T180" s="1">
        <v>80.099999999999994</v>
      </c>
      <c r="U180" s="1"/>
      <c r="V180" s="1"/>
      <c r="W180" s="1">
        <v>18.34</v>
      </c>
      <c r="X180" s="1"/>
      <c r="Y180" s="1"/>
      <c r="Z180" s="1"/>
      <c r="AA180" s="1">
        <v>5.04</v>
      </c>
      <c r="AB180" s="1"/>
      <c r="AC180" s="1"/>
      <c r="AD180" s="66">
        <f t="shared" si="0"/>
        <v>103.48</v>
      </c>
    </row>
    <row r="181" spans="1:35" ht="15" customHeight="1">
      <c r="A181" s="1"/>
      <c r="B181" s="1"/>
      <c r="C181" s="1">
        <v>4</v>
      </c>
      <c r="D181" s="1" t="s">
        <v>39</v>
      </c>
      <c r="E181" s="10"/>
      <c r="F181" s="10"/>
      <c r="G181" s="10"/>
      <c r="H181" s="10"/>
      <c r="I181" s="10"/>
      <c r="J181" s="10"/>
      <c r="K181" s="10"/>
      <c r="L181" s="10"/>
      <c r="M181" s="10"/>
      <c r="N181" s="10"/>
      <c r="O181" s="10"/>
      <c r="P181" s="10"/>
      <c r="Q181" s="10"/>
      <c r="R181" s="10"/>
      <c r="S181" s="10"/>
      <c r="T181" s="8">
        <v>73.25</v>
      </c>
      <c r="U181" s="1"/>
      <c r="V181" s="1"/>
      <c r="W181" s="48">
        <v>16.62</v>
      </c>
      <c r="X181" s="6"/>
      <c r="Y181" s="1" t="s">
        <v>224</v>
      </c>
      <c r="Z181" s="1"/>
      <c r="AA181" s="1">
        <v>6.02</v>
      </c>
      <c r="AB181" s="1"/>
      <c r="AC181" s="1" t="s">
        <v>225</v>
      </c>
      <c r="AD181" s="66">
        <f t="shared" si="0"/>
        <v>95.89</v>
      </c>
      <c r="AF181" s="57" t="s">
        <v>87</v>
      </c>
      <c r="AG181" s="57" t="s">
        <v>89</v>
      </c>
      <c r="AH181" s="57" t="s">
        <v>226</v>
      </c>
      <c r="AI181" s="57" t="s">
        <v>88</v>
      </c>
    </row>
    <row r="182" spans="1:35" ht="15" customHeight="1">
      <c r="A182" s="1"/>
      <c r="B182" s="1"/>
      <c r="C182" s="1">
        <v>4</v>
      </c>
      <c r="D182" s="1" t="s">
        <v>97</v>
      </c>
      <c r="E182" s="10"/>
      <c r="F182" s="10"/>
      <c r="G182" s="10"/>
      <c r="H182" s="10"/>
      <c r="I182" s="10"/>
      <c r="J182" s="10"/>
      <c r="K182" s="10"/>
      <c r="L182" s="10"/>
      <c r="M182" s="10"/>
      <c r="N182" s="10"/>
      <c r="O182" s="10"/>
      <c r="P182" s="10"/>
      <c r="Q182" s="10"/>
      <c r="R182" s="10"/>
      <c r="S182" s="10"/>
      <c r="T182" s="8">
        <v>73.25</v>
      </c>
      <c r="U182" s="1">
        <f>AVERAGE(T178:T182)</f>
        <v>73.25</v>
      </c>
      <c r="V182" s="1"/>
      <c r="W182" s="30">
        <v>11.69</v>
      </c>
      <c r="X182" s="1">
        <f>AVERAGE(W178:W182)</f>
        <v>16.616</v>
      </c>
      <c r="Y182" s="1"/>
      <c r="Z182" s="1"/>
      <c r="AA182" s="1">
        <v>2.96</v>
      </c>
      <c r="AB182" s="1">
        <f>AVERAGE(AA178:AA182)</f>
        <v>4.718</v>
      </c>
      <c r="AC182" s="1"/>
      <c r="AD182" s="66">
        <f t="shared" si="0"/>
        <v>87.899999999999991</v>
      </c>
      <c r="AF182" s="6">
        <v>61.99</v>
      </c>
      <c r="AG182" s="6">
        <v>61.6</v>
      </c>
      <c r="AH182" s="6">
        <v>65.72999999999999</v>
      </c>
      <c r="AI182" s="6">
        <v>56.79</v>
      </c>
    </row>
    <row r="183" spans="1:35" ht="15" customHeight="1">
      <c r="A183" s="1" t="s">
        <v>109</v>
      </c>
      <c r="B183" s="1" t="s">
        <v>112</v>
      </c>
      <c r="C183" s="1">
        <v>1</v>
      </c>
      <c r="D183" s="1" t="s">
        <v>94</v>
      </c>
      <c r="E183" s="10"/>
      <c r="F183" s="10"/>
      <c r="G183" s="10"/>
      <c r="H183" s="10"/>
      <c r="I183" s="10"/>
      <c r="J183" s="10"/>
      <c r="K183" s="10"/>
      <c r="L183" s="10"/>
      <c r="M183" s="10"/>
      <c r="N183" s="10"/>
      <c r="O183" s="10"/>
      <c r="P183" s="10"/>
      <c r="Q183" s="10"/>
      <c r="R183" s="10"/>
      <c r="S183" s="10"/>
      <c r="T183" s="1">
        <v>53.1</v>
      </c>
      <c r="U183" s="1"/>
      <c r="V183" s="1"/>
      <c r="W183" s="67">
        <v>4.1500000000000004</v>
      </c>
      <c r="X183" s="1"/>
      <c r="Y183" s="1"/>
      <c r="Z183" s="1"/>
      <c r="AA183" s="1">
        <v>4.74</v>
      </c>
      <c r="AB183" s="1"/>
      <c r="AC183" s="1"/>
      <c r="AD183" s="66">
        <f t="shared" si="0"/>
        <v>61.99</v>
      </c>
      <c r="AF183" s="6">
        <v>57.929999999999993</v>
      </c>
      <c r="AG183" s="6">
        <v>60.99</v>
      </c>
      <c r="AH183" s="6">
        <v>75.09</v>
      </c>
      <c r="AI183" s="6">
        <v>59.455000000000005</v>
      </c>
    </row>
    <row r="184" spans="1:35" ht="15" customHeight="1">
      <c r="A184" s="1"/>
      <c r="B184" s="1"/>
      <c r="C184" s="1">
        <v>1</v>
      </c>
      <c r="D184" s="1" t="s">
        <v>107</v>
      </c>
      <c r="E184" s="10"/>
      <c r="F184" s="10"/>
      <c r="G184" s="10"/>
      <c r="H184" s="10"/>
      <c r="I184" s="10"/>
      <c r="J184" s="10"/>
      <c r="K184" s="10"/>
      <c r="L184" s="10"/>
      <c r="M184" s="10"/>
      <c r="N184" s="10"/>
      <c r="O184" s="10"/>
      <c r="P184" s="10"/>
      <c r="Q184" s="10"/>
      <c r="R184" s="10"/>
      <c r="S184" s="10"/>
      <c r="T184" s="1">
        <v>49.3</v>
      </c>
      <c r="U184" s="1"/>
      <c r="V184" s="1"/>
      <c r="W184" s="67">
        <v>1.58</v>
      </c>
      <c r="X184" s="1"/>
      <c r="Y184" s="1"/>
      <c r="Z184" s="1"/>
      <c r="AA184" s="1">
        <v>7.05</v>
      </c>
      <c r="AB184" s="1"/>
      <c r="AC184" s="1"/>
      <c r="AD184" s="66">
        <f t="shared" si="0"/>
        <v>57.929999999999993</v>
      </c>
      <c r="AF184" s="6">
        <v>60.71</v>
      </c>
      <c r="AG184" s="6">
        <v>60.64</v>
      </c>
      <c r="AH184" s="6">
        <v>44.55</v>
      </c>
      <c r="AI184" s="6">
        <v>57.18</v>
      </c>
    </row>
    <row r="185" spans="1:35" ht="15" customHeight="1">
      <c r="A185" s="1"/>
      <c r="B185" s="1"/>
      <c r="C185" s="1">
        <v>1</v>
      </c>
      <c r="D185" s="1" t="s">
        <v>108</v>
      </c>
      <c r="E185" s="10"/>
      <c r="F185" s="10"/>
      <c r="G185" s="10"/>
      <c r="H185" s="10"/>
      <c r="I185" s="10"/>
      <c r="J185" s="10"/>
      <c r="K185" s="10"/>
      <c r="L185" s="10"/>
      <c r="M185" s="10"/>
      <c r="N185" s="10"/>
      <c r="O185" s="10"/>
      <c r="P185" s="10"/>
      <c r="Q185" s="10"/>
      <c r="R185" s="10"/>
      <c r="S185" s="10"/>
      <c r="T185" s="1">
        <v>54.2</v>
      </c>
      <c r="U185" s="1"/>
      <c r="V185" s="1"/>
      <c r="W185" s="67">
        <v>3.64</v>
      </c>
      <c r="X185" s="1"/>
      <c r="Y185" s="1"/>
      <c r="Z185" s="1"/>
      <c r="AA185" s="1">
        <v>2.87</v>
      </c>
      <c r="AB185" s="1"/>
      <c r="AC185" s="1"/>
      <c r="AD185" s="66">
        <f t="shared" si="0"/>
        <v>60.71</v>
      </c>
      <c r="AF185" s="6">
        <v>56.94</v>
      </c>
      <c r="AG185" s="6">
        <v>65.67</v>
      </c>
      <c r="AH185" s="6">
        <v>61.81</v>
      </c>
      <c r="AI185" s="6">
        <v>65.5</v>
      </c>
    </row>
    <row r="186" spans="1:35" ht="15" customHeight="1">
      <c r="A186" s="1"/>
      <c r="B186" s="1"/>
      <c r="C186" s="1">
        <v>1</v>
      </c>
      <c r="D186" s="1" t="s">
        <v>96</v>
      </c>
      <c r="E186" s="10"/>
      <c r="F186" s="10"/>
      <c r="G186" s="10"/>
      <c r="H186" s="10"/>
      <c r="I186" s="10"/>
      <c r="J186" s="10"/>
      <c r="K186" s="10"/>
      <c r="L186" s="10"/>
      <c r="M186" s="10"/>
      <c r="N186" s="10"/>
      <c r="O186" s="10"/>
      <c r="P186" s="10"/>
      <c r="Q186" s="10"/>
      <c r="R186" s="10"/>
      <c r="S186" s="10"/>
      <c r="T186" s="1">
        <v>50.4</v>
      </c>
      <c r="U186" s="1"/>
      <c r="V186" s="1"/>
      <c r="W186" s="67">
        <v>2.95</v>
      </c>
      <c r="X186" s="1"/>
      <c r="Y186" s="1"/>
      <c r="Z186" s="1"/>
      <c r="AA186" s="1">
        <v>3.59</v>
      </c>
      <c r="AB186" s="1"/>
      <c r="AC186" s="1"/>
      <c r="AD186" s="66">
        <f t="shared" si="0"/>
        <v>56.94</v>
      </c>
      <c r="AF186" s="6">
        <v>61.85</v>
      </c>
      <c r="AG186" s="6">
        <v>58.29</v>
      </c>
      <c r="AH186" s="6">
        <v>60.32</v>
      </c>
      <c r="AI186" s="6">
        <v>63.690000000000005</v>
      </c>
    </row>
    <row r="187" spans="1:35" ht="15" customHeight="1">
      <c r="A187" s="1"/>
      <c r="B187" s="1"/>
      <c r="C187" s="1">
        <v>1</v>
      </c>
      <c r="D187" s="1" t="s">
        <v>39</v>
      </c>
      <c r="E187" s="10"/>
      <c r="F187" s="10"/>
      <c r="G187" s="10"/>
      <c r="H187" s="10"/>
      <c r="I187" s="10"/>
      <c r="J187" s="10"/>
      <c r="K187" s="10"/>
      <c r="L187" s="10"/>
      <c r="M187" s="10"/>
      <c r="N187" s="10"/>
      <c r="O187" s="10"/>
      <c r="P187" s="10"/>
      <c r="Q187" s="10"/>
      <c r="R187" s="10"/>
      <c r="S187" s="10"/>
      <c r="T187" s="1">
        <v>54.6</v>
      </c>
      <c r="U187" s="1">
        <f>AVERAGE(T183:T187)</f>
        <v>52.320000000000007</v>
      </c>
      <c r="V187" s="1"/>
      <c r="W187" s="30">
        <v>1</v>
      </c>
      <c r="X187" s="67">
        <f>AVERAGE(W183:W187)</f>
        <v>2.6640000000000001</v>
      </c>
      <c r="Y187" s="1"/>
      <c r="Z187" s="1"/>
      <c r="AA187" s="1">
        <v>6.25</v>
      </c>
      <c r="AB187" s="1">
        <f>AVERAGE(AA183:AA187)</f>
        <v>4.9000000000000004</v>
      </c>
      <c r="AC187" s="1"/>
      <c r="AD187" s="66">
        <f t="shared" si="0"/>
        <v>61.85</v>
      </c>
    </row>
    <row r="188" spans="1:35" ht="15" customHeight="1">
      <c r="A188" s="1"/>
      <c r="B188" s="1"/>
      <c r="C188" s="1">
        <v>2</v>
      </c>
      <c r="D188" s="1" t="s">
        <v>94</v>
      </c>
      <c r="E188" s="10"/>
      <c r="F188" s="10"/>
      <c r="G188" s="10"/>
      <c r="H188" s="10"/>
      <c r="I188" s="10"/>
      <c r="J188" s="10"/>
      <c r="K188" s="10"/>
      <c r="L188" s="10"/>
      <c r="M188" s="10"/>
      <c r="N188" s="10"/>
      <c r="O188" s="10"/>
      <c r="P188" s="10"/>
      <c r="Q188" s="10"/>
      <c r="R188" s="10"/>
      <c r="S188" s="10"/>
      <c r="T188" s="1">
        <v>54.8</v>
      </c>
      <c r="U188" s="1"/>
      <c r="V188" s="1"/>
      <c r="W188" s="30">
        <v>3.63</v>
      </c>
      <c r="X188" s="1"/>
      <c r="Y188" s="1"/>
      <c r="Z188" s="1"/>
      <c r="AA188" s="1">
        <v>3.17</v>
      </c>
      <c r="AB188" s="1"/>
      <c r="AC188" s="1"/>
      <c r="AD188" s="66">
        <f t="shared" si="0"/>
        <v>61.6</v>
      </c>
    </row>
    <row r="189" spans="1:35" ht="15" customHeight="1">
      <c r="A189" s="1"/>
      <c r="B189" s="1"/>
      <c r="C189" s="1">
        <v>2</v>
      </c>
      <c r="D189" s="1" t="s">
        <v>107</v>
      </c>
      <c r="E189" s="10"/>
      <c r="F189" s="10"/>
      <c r="G189" s="10"/>
      <c r="H189" s="10"/>
      <c r="I189" s="10"/>
      <c r="J189" s="10"/>
      <c r="K189" s="10"/>
      <c r="L189" s="10"/>
      <c r="M189" s="10"/>
      <c r="N189" s="10"/>
      <c r="O189" s="10"/>
      <c r="P189" s="10"/>
      <c r="Q189" s="10"/>
      <c r="R189" s="10"/>
      <c r="S189" s="10"/>
      <c r="T189" s="1">
        <v>49.6</v>
      </c>
      <c r="U189" s="1"/>
      <c r="V189" s="1"/>
      <c r="W189" s="30">
        <v>9.02</v>
      </c>
      <c r="X189" s="8">
        <v>2.15</v>
      </c>
      <c r="Y189" s="1" t="s">
        <v>230</v>
      </c>
      <c r="Z189" s="1"/>
      <c r="AA189" s="1">
        <v>2.37</v>
      </c>
      <c r="AB189" s="1"/>
      <c r="AC189" s="1"/>
      <c r="AD189" s="66">
        <f t="shared" si="0"/>
        <v>60.99</v>
      </c>
    </row>
    <row r="190" spans="1:35" ht="15" customHeight="1">
      <c r="A190" s="1"/>
      <c r="B190" s="1"/>
      <c r="C190" s="1">
        <v>2</v>
      </c>
      <c r="D190" s="1" t="s">
        <v>108</v>
      </c>
      <c r="E190" s="10"/>
      <c r="F190" s="10"/>
      <c r="G190" s="10"/>
      <c r="H190" s="10"/>
      <c r="I190" s="10"/>
      <c r="J190" s="10"/>
      <c r="K190" s="10"/>
      <c r="L190" s="10"/>
      <c r="M190" s="10"/>
      <c r="N190" s="10"/>
      <c r="O190" s="10"/>
      <c r="P190" s="10"/>
      <c r="Q190" s="10"/>
      <c r="R190" s="10"/>
      <c r="S190" s="10"/>
      <c r="T190" s="1">
        <v>54</v>
      </c>
      <c r="U190" s="1"/>
      <c r="V190" s="1"/>
      <c r="W190" s="30">
        <v>2.09</v>
      </c>
      <c r="X190" s="1"/>
      <c r="Y190" s="1"/>
      <c r="Z190" s="1"/>
      <c r="AA190" s="1">
        <v>4.55</v>
      </c>
      <c r="AB190" s="1"/>
      <c r="AC190" s="1"/>
      <c r="AD190" s="66">
        <f t="shared" si="0"/>
        <v>60.64</v>
      </c>
    </row>
    <row r="191" spans="1:35" ht="15" customHeight="1">
      <c r="A191" s="1"/>
      <c r="B191" s="1"/>
      <c r="C191" s="1">
        <v>2</v>
      </c>
      <c r="D191" s="1" t="s">
        <v>96</v>
      </c>
      <c r="E191" s="10"/>
      <c r="F191" s="10"/>
      <c r="G191" s="10"/>
      <c r="H191" s="10"/>
      <c r="I191" s="10"/>
      <c r="J191" s="10"/>
      <c r="K191" s="10"/>
      <c r="L191" s="10"/>
      <c r="M191" s="10"/>
      <c r="N191" s="10"/>
      <c r="O191" s="10"/>
      <c r="P191" s="10"/>
      <c r="Q191" s="10"/>
      <c r="R191" s="10"/>
      <c r="S191" s="10"/>
      <c r="T191" s="1">
        <v>49.1</v>
      </c>
      <c r="U191" s="1"/>
      <c r="V191" s="1"/>
      <c r="W191" s="30">
        <v>11.02</v>
      </c>
      <c r="X191" s="1"/>
      <c r="Y191" s="1"/>
      <c r="Z191" s="1"/>
      <c r="AA191" s="1">
        <v>5.55</v>
      </c>
      <c r="AB191" s="1"/>
      <c r="AC191" s="1"/>
      <c r="AD191" s="66">
        <f t="shared" si="0"/>
        <v>65.67</v>
      </c>
    </row>
    <row r="192" spans="1:35" ht="15" customHeight="1">
      <c r="A192" s="1"/>
      <c r="B192" s="1"/>
      <c r="C192" s="1">
        <v>2</v>
      </c>
      <c r="D192" s="1" t="s">
        <v>39</v>
      </c>
      <c r="E192" s="10"/>
      <c r="F192" s="10"/>
      <c r="G192" s="10"/>
      <c r="H192" s="10"/>
      <c r="I192" s="10"/>
      <c r="J192" s="10"/>
      <c r="K192" s="10"/>
      <c r="L192" s="10"/>
      <c r="M192" s="10"/>
      <c r="N192" s="10"/>
      <c r="O192" s="10"/>
      <c r="P192" s="10"/>
      <c r="Q192" s="10"/>
      <c r="R192" s="10"/>
      <c r="S192" s="10"/>
      <c r="T192" s="1">
        <v>52.8</v>
      </c>
      <c r="U192" s="1">
        <f>AVERAGE(T188:T192)</f>
        <v>52.06</v>
      </c>
      <c r="V192" s="1"/>
      <c r="W192" s="30">
        <v>2.17</v>
      </c>
      <c r="X192" s="30">
        <f>AVERAGE(W188:W192)</f>
        <v>5.5860000000000003</v>
      </c>
      <c r="Y192" s="1"/>
      <c r="Z192" s="1"/>
      <c r="AA192" s="1">
        <v>3.32</v>
      </c>
      <c r="AB192" s="1">
        <f>AVERAGE(AA188:AA192)</f>
        <v>3.7920000000000003</v>
      </c>
      <c r="AC192" s="1"/>
      <c r="AD192" s="66">
        <f t="shared" si="0"/>
        <v>58.29</v>
      </c>
    </row>
    <row r="193" spans="1:35" ht="15" customHeight="1">
      <c r="A193" s="1"/>
      <c r="B193" s="1"/>
      <c r="C193" s="1">
        <v>3</v>
      </c>
      <c r="D193" s="1" t="s">
        <v>94</v>
      </c>
      <c r="E193" s="10"/>
      <c r="F193" s="10"/>
      <c r="G193" s="10"/>
      <c r="H193" s="10"/>
      <c r="I193" s="10"/>
      <c r="J193" s="10"/>
      <c r="K193" s="10"/>
      <c r="L193" s="10"/>
      <c r="M193" s="10"/>
      <c r="N193" s="10"/>
      <c r="O193" s="10"/>
      <c r="P193" s="10"/>
      <c r="Q193" s="10"/>
      <c r="R193" s="10"/>
      <c r="S193" s="10"/>
      <c r="T193" s="1">
        <v>57.9</v>
      </c>
      <c r="U193" s="1"/>
      <c r="V193" s="1"/>
      <c r="W193" s="30">
        <v>2.5499999999999998</v>
      </c>
      <c r="X193" s="1"/>
      <c r="Y193" s="1"/>
      <c r="Z193" s="1"/>
      <c r="AA193" s="67">
        <v>5.28</v>
      </c>
      <c r="AB193" s="1"/>
      <c r="AC193" s="1"/>
      <c r="AD193" s="66">
        <f t="shared" si="0"/>
        <v>65.72999999999999</v>
      </c>
    </row>
    <row r="194" spans="1:35" ht="15" customHeight="1">
      <c r="A194" s="1"/>
      <c r="B194" s="1"/>
      <c r="C194" s="1">
        <v>3</v>
      </c>
      <c r="D194" s="1" t="s">
        <v>107</v>
      </c>
      <c r="E194" s="10"/>
      <c r="F194" s="10"/>
      <c r="G194" s="10"/>
      <c r="H194" s="10"/>
      <c r="I194" s="10"/>
      <c r="J194" s="10"/>
      <c r="K194" s="10"/>
      <c r="L194" s="10"/>
      <c r="M194" s="10"/>
      <c r="N194" s="10"/>
      <c r="O194" s="10"/>
      <c r="P194" s="10"/>
      <c r="Q194" s="10"/>
      <c r="R194" s="10"/>
      <c r="S194" s="10"/>
      <c r="T194" s="1">
        <v>65.8</v>
      </c>
      <c r="U194" s="1"/>
      <c r="V194" s="1"/>
      <c r="W194" s="30">
        <v>5.64</v>
      </c>
      <c r="X194" s="1"/>
      <c r="Y194" s="1"/>
      <c r="Z194" s="1"/>
      <c r="AA194" s="67">
        <v>3.65</v>
      </c>
      <c r="AB194" s="1"/>
      <c r="AC194" s="1"/>
      <c r="AD194" s="66">
        <f t="shared" si="0"/>
        <v>75.09</v>
      </c>
    </row>
    <row r="195" spans="1:35" ht="15" customHeight="1">
      <c r="A195" s="1"/>
      <c r="B195" s="1"/>
      <c r="C195" s="1">
        <v>3</v>
      </c>
      <c r="D195" s="1" t="s">
        <v>108</v>
      </c>
      <c r="E195" s="10"/>
      <c r="F195" s="10"/>
      <c r="G195" s="10"/>
      <c r="H195" s="10"/>
      <c r="I195" s="10"/>
      <c r="J195" s="10"/>
      <c r="K195" s="10"/>
      <c r="L195" s="10"/>
      <c r="M195" s="10"/>
      <c r="N195" s="10"/>
      <c r="O195" s="10"/>
      <c r="P195" s="10"/>
      <c r="Q195" s="10"/>
      <c r="R195" s="10"/>
      <c r="S195" s="10"/>
      <c r="T195" s="1">
        <v>39.9</v>
      </c>
      <c r="U195" s="1"/>
      <c r="V195" s="1"/>
      <c r="W195" s="30">
        <v>1.82</v>
      </c>
      <c r="X195" s="1"/>
      <c r="Y195" s="1"/>
      <c r="Z195" s="1"/>
      <c r="AA195" s="67">
        <v>2.83</v>
      </c>
      <c r="AB195" s="1"/>
      <c r="AC195" s="1"/>
      <c r="AD195" s="66">
        <f t="shared" si="0"/>
        <v>44.55</v>
      </c>
    </row>
    <row r="196" spans="1:35" ht="15" customHeight="1">
      <c r="A196" s="1"/>
      <c r="B196" s="1"/>
      <c r="C196" s="1">
        <v>3</v>
      </c>
      <c r="D196" s="1" t="s">
        <v>96</v>
      </c>
      <c r="E196" s="10"/>
      <c r="F196" s="10"/>
      <c r="G196" s="10"/>
      <c r="H196" s="10"/>
      <c r="I196" s="10"/>
      <c r="J196" s="10"/>
      <c r="K196" s="10"/>
      <c r="L196" s="10"/>
      <c r="M196" s="10"/>
      <c r="N196" s="10"/>
      <c r="O196" s="10"/>
      <c r="P196" s="10"/>
      <c r="Q196" s="10"/>
      <c r="R196" s="10"/>
      <c r="S196" s="10"/>
      <c r="T196" s="1">
        <v>56.7</v>
      </c>
      <c r="U196" s="1"/>
      <c r="V196" s="1"/>
      <c r="W196" s="30">
        <v>2.25</v>
      </c>
      <c r="X196" s="1"/>
      <c r="Y196" s="1"/>
      <c r="Z196" s="1"/>
      <c r="AA196" s="67">
        <v>2.86</v>
      </c>
      <c r="AB196" s="1"/>
      <c r="AC196" s="1"/>
      <c r="AD196" s="66">
        <f t="shared" si="0"/>
        <v>61.81</v>
      </c>
    </row>
    <row r="197" spans="1:35" ht="15" customHeight="1">
      <c r="A197" s="1"/>
      <c r="B197" s="1"/>
      <c r="C197" s="1">
        <v>3</v>
      </c>
      <c r="D197" s="1" t="s">
        <v>39</v>
      </c>
      <c r="E197" s="10"/>
      <c r="F197" s="10"/>
      <c r="G197" s="10"/>
      <c r="H197" s="10"/>
      <c r="I197" s="10"/>
      <c r="J197" s="10"/>
      <c r="K197" s="10"/>
      <c r="L197" s="10"/>
      <c r="M197" s="10"/>
      <c r="N197" s="10"/>
      <c r="O197" s="10"/>
      <c r="P197" s="10"/>
      <c r="Q197" s="10"/>
      <c r="R197" s="10"/>
      <c r="S197" s="10"/>
      <c r="T197" s="1">
        <v>54.9</v>
      </c>
      <c r="U197" s="1">
        <f>AVERAGE(T193:T197)</f>
        <v>55.04</v>
      </c>
      <c r="V197" s="1"/>
      <c r="W197" s="30">
        <v>1.82</v>
      </c>
      <c r="X197" s="30">
        <f>AVERAGE(W193:W197)</f>
        <v>2.8159999999999998</v>
      </c>
      <c r="Y197" s="1"/>
      <c r="Z197" s="1"/>
      <c r="AA197" s="67">
        <v>3.6</v>
      </c>
      <c r="AB197" s="67">
        <f>AVERAGE(AA193:AA197)</f>
        <v>3.6439999999999997</v>
      </c>
      <c r="AC197" s="1"/>
      <c r="AD197" s="66">
        <f t="shared" si="0"/>
        <v>60.32</v>
      </c>
    </row>
    <row r="198" spans="1:35" ht="15" customHeight="1">
      <c r="A198" s="1"/>
      <c r="B198" s="1"/>
      <c r="C198" s="1">
        <v>4</v>
      </c>
      <c r="D198" s="1" t="s">
        <v>94</v>
      </c>
      <c r="E198" s="10"/>
      <c r="F198" s="10"/>
      <c r="G198" s="10"/>
      <c r="H198" s="10"/>
      <c r="I198" s="10"/>
      <c r="J198" s="10"/>
      <c r="K198" s="10"/>
      <c r="L198" s="10"/>
      <c r="M198" s="10"/>
      <c r="N198" s="10"/>
      <c r="O198" s="10"/>
      <c r="P198" s="10"/>
      <c r="Q198" s="10"/>
      <c r="R198" s="10"/>
      <c r="S198" s="10"/>
      <c r="T198" s="1">
        <v>50.9</v>
      </c>
      <c r="U198" s="1"/>
      <c r="V198" s="1"/>
      <c r="W198" s="30">
        <v>1.93</v>
      </c>
      <c r="X198" s="1"/>
      <c r="Y198" s="1"/>
      <c r="Z198" s="1"/>
      <c r="AA198" s="67">
        <v>3.96</v>
      </c>
      <c r="AB198" s="1"/>
      <c r="AC198" s="1"/>
      <c r="AD198" s="66">
        <f t="shared" si="0"/>
        <v>56.79</v>
      </c>
    </row>
    <row r="199" spans="1:35" ht="15" customHeight="1">
      <c r="A199" s="1"/>
      <c r="B199" s="1"/>
      <c r="C199" s="1">
        <v>4</v>
      </c>
      <c r="D199" s="1" t="s">
        <v>107</v>
      </c>
      <c r="E199" s="10"/>
      <c r="F199" s="10"/>
      <c r="G199" s="10"/>
      <c r="H199" s="10"/>
      <c r="I199" s="10"/>
      <c r="J199" s="10"/>
      <c r="K199" s="10"/>
      <c r="L199" s="10"/>
      <c r="M199" s="10"/>
      <c r="N199" s="10"/>
      <c r="O199" s="10"/>
      <c r="P199" s="10"/>
      <c r="Q199" s="10"/>
      <c r="R199" s="10"/>
      <c r="S199" s="10"/>
      <c r="T199" s="8">
        <v>54.725000000000001</v>
      </c>
      <c r="U199" s="1"/>
      <c r="V199" s="1"/>
      <c r="W199" s="30">
        <v>0.42</v>
      </c>
      <c r="X199" s="1"/>
      <c r="Y199" s="1"/>
      <c r="Z199" s="1"/>
      <c r="AA199" s="67">
        <v>4.3099999999999996</v>
      </c>
      <c r="AB199" s="1"/>
      <c r="AC199" s="1"/>
      <c r="AD199" s="66">
        <f t="shared" si="0"/>
        <v>59.455000000000005</v>
      </c>
    </row>
    <row r="200" spans="1:35" ht="15" customHeight="1">
      <c r="A200" s="1"/>
      <c r="B200" s="1"/>
      <c r="C200" s="1">
        <v>4</v>
      </c>
      <c r="D200" s="1" t="s">
        <v>108</v>
      </c>
      <c r="E200" s="10"/>
      <c r="F200" s="10"/>
      <c r="G200" s="10"/>
      <c r="H200" s="10"/>
      <c r="I200" s="10"/>
      <c r="J200" s="10"/>
      <c r="K200" s="10"/>
      <c r="L200" s="10"/>
      <c r="M200" s="10"/>
      <c r="N200" s="10"/>
      <c r="O200" s="10"/>
      <c r="P200" s="10"/>
      <c r="Q200" s="10"/>
      <c r="R200" s="10"/>
      <c r="S200" s="10"/>
      <c r="T200" s="1">
        <v>53.7</v>
      </c>
      <c r="U200" s="1"/>
      <c r="V200" s="1"/>
      <c r="W200" s="30">
        <v>1.68</v>
      </c>
      <c r="X200" s="1"/>
      <c r="Y200" s="1"/>
      <c r="Z200" s="1"/>
      <c r="AA200" s="67">
        <v>1.8</v>
      </c>
      <c r="AB200" s="1"/>
      <c r="AC200" s="1"/>
      <c r="AD200" s="66">
        <f t="shared" si="0"/>
        <v>57.18</v>
      </c>
    </row>
    <row r="201" spans="1:35" ht="15" customHeight="1">
      <c r="A201" s="1"/>
      <c r="B201" s="1"/>
      <c r="C201" s="1">
        <v>4</v>
      </c>
      <c r="D201" s="1" t="s">
        <v>96</v>
      </c>
      <c r="E201" s="1"/>
      <c r="F201" s="1"/>
      <c r="G201" s="1"/>
      <c r="H201" s="1"/>
      <c r="I201" s="1"/>
      <c r="J201" s="1"/>
      <c r="K201" s="1"/>
      <c r="L201" s="1"/>
      <c r="M201" s="1"/>
      <c r="N201" s="1"/>
      <c r="O201" s="1"/>
      <c r="P201" s="1"/>
      <c r="Q201" s="1"/>
      <c r="R201" s="1"/>
      <c r="S201" s="1"/>
      <c r="T201" s="1">
        <v>56.7</v>
      </c>
      <c r="U201" s="1"/>
      <c r="V201" s="1"/>
      <c r="W201" s="30">
        <v>2</v>
      </c>
      <c r="X201" s="1"/>
      <c r="Y201" s="1"/>
      <c r="Z201" s="1"/>
      <c r="AA201" s="67">
        <v>6.8</v>
      </c>
      <c r="AB201" s="1"/>
      <c r="AC201" s="1"/>
      <c r="AD201" s="66">
        <f t="shared" si="0"/>
        <v>65.5</v>
      </c>
    </row>
    <row r="202" spans="1:35" ht="15" customHeight="1">
      <c r="A202" s="1"/>
      <c r="B202" s="1"/>
      <c r="C202" s="1">
        <v>4</v>
      </c>
      <c r="D202" s="1" t="s">
        <v>39</v>
      </c>
      <c r="E202" s="1"/>
      <c r="F202" s="1"/>
      <c r="G202" s="1"/>
      <c r="H202" s="1"/>
      <c r="I202" s="1"/>
      <c r="J202" s="1"/>
      <c r="K202" s="1"/>
      <c r="L202" s="1"/>
      <c r="M202" s="1"/>
      <c r="N202" s="1"/>
      <c r="O202" s="1"/>
      <c r="P202" s="1"/>
      <c r="Q202" s="1"/>
      <c r="R202" s="1"/>
      <c r="S202" s="1"/>
      <c r="T202" s="1">
        <v>57.6</v>
      </c>
      <c r="U202" s="1">
        <f>AVERAGE(T198:T202)</f>
        <v>54.725000000000001</v>
      </c>
      <c r="V202" s="1"/>
      <c r="W202" s="30">
        <v>4.0999999999999996</v>
      </c>
      <c r="X202" s="30">
        <f>AVERAGE(W198:W202)</f>
        <v>2.0259999999999998</v>
      </c>
      <c r="Y202" s="1"/>
      <c r="Z202" s="1"/>
      <c r="AA202" s="1">
        <v>1.99</v>
      </c>
      <c r="AB202" s="67">
        <f>AVERAGE(AA198:AA202)</f>
        <v>3.7719999999999998</v>
      </c>
      <c r="AC202" s="1"/>
      <c r="AD202" s="66">
        <f t="shared" si="0"/>
        <v>63.690000000000005</v>
      </c>
      <c r="AF202" s="6" t="s">
        <v>87</v>
      </c>
      <c r="AG202" s="6" t="s">
        <v>89</v>
      </c>
      <c r="AH202" s="6" t="s">
        <v>90</v>
      </c>
      <c r="AI202" s="6" t="s">
        <v>88</v>
      </c>
    </row>
    <row r="203" spans="1:35" ht="15" customHeight="1">
      <c r="A203" s="1" t="s">
        <v>109</v>
      </c>
      <c r="B203" s="1" t="s">
        <v>113</v>
      </c>
      <c r="C203" s="1">
        <v>1</v>
      </c>
      <c r="D203" s="1" t="s">
        <v>94</v>
      </c>
      <c r="E203" s="10"/>
      <c r="F203" s="10"/>
      <c r="G203" s="10"/>
      <c r="H203" s="10"/>
      <c r="I203" s="10"/>
      <c r="J203" s="10"/>
      <c r="K203" s="10"/>
      <c r="L203" s="10"/>
      <c r="M203" s="10"/>
      <c r="N203" s="10"/>
      <c r="O203" s="10"/>
      <c r="P203" s="10"/>
      <c r="Q203" s="10"/>
      <c r="R203" s="10"/>
      <c r="S203" s="10"/>
      <c r="T203" s="1">
        <v>47.6</v>
      </c>
      <c r="U203" s="1"/>
      <c r="V203" s="1"/>
      <c r="W203" s="67">
        <v>1.98</v>
      </c>
      <c r="X203" s="1"/>
      <c r="Y203" s="1"/>
      <c r="Z203" s="1"/>
      <c r="AA203" s="1">
        <v>2.63</v>
      </c>
      <c r="AB203" s="1"/>
      <c r="AC203" s="1"/>
      <c r="AD203" s="66">
        <f t="shared" si="0"/>
        <v>52.21</v>
      </c>
      <c r="AF203" s="6">
        <v>52.21</v>
      </c>
      <c r="AG203" s="6">
        <v>52.49</v>
      </c>
      <c r="AH203" s="6">
        <v>58.709999999999994</v>
      </c>
      <c r="AI203" s="6">
        <v>50.8125</v>
      </c>
    </row>
    <row r="204" spans="1:35" ht="15" customHeight="1">
      <c r="A204" s="1"/>
      <c r="B204" s="1"/>
      <c r="C204" s="1">
        <v>1</v>
      </c>
      <c r="D204" s="1" t="s">
        <v>95</v>
      </c>
      <c r="E204" s="10"/>
      <c r="F204" s="10"/>
      <c r="G204" s="10"/>
      <c r="H204" s="10"/>
      <c r="I204" s="10"/>
      <c r="J204" s="10"/>
      <c r="K204" s="10"/>
      <c r="L204" s="10"/>
      <c r="M204" s="10"/>
      <c r="N204" s="10"/>
      <c r="O204" s="10"/>
      <c r="P204" s="10"/>
      <c r="Q204" s="10"/>
      <c r="R204" s="10"/>
      <c r="S204" s="10"/>
      <c r="T204" s="1">
        <v>59</v>
      </c>
      <c r="U204" s="1"/>
      <c r="V204" s="1"/>
      <c r="W204" s="67">
        <v>2.12</v>
      </c>
      <c r="X204" s="1"/>
      <c r="Y204" s="1"/>
      <c r="Z204" s="1"/>
      <c r="AA204" s="1">
        <v>4.53</v>
      </c>
      <c r="AB204" s="1"/>
      <c r="AC204" s="1"/>
      <c r="AD204" s="66">
        <f t="shared" si="0"/>
        <v>65.649999999999991</v>
      </c>
      <c r="AF204" s="6">
        <v>65.649999999999991</v>
      </c>
      <c r="AG204" s="6">
        <v>57.24</v>
      </c>
      <c r="AH204" s="6">
        <v>50.64</v>
      </c>
      <c r="AI204" s="6">
        <v>55.77</v>
      </c>
    </row>
    <row r="205" spans="1:35" ht="15" customHeight="1">
      <c r="A205" s="1"/>
      <c r="B205" s="1"/>
      <c r="C205" s="1">
        <v>1</v>
      </c>
      <c r="D205" s="1" t="s">
        <v>96</v>
      </c>
      <c r="E205" s="10"/>
      <c r="F205" s="10"/>
      <c r="G205" s="10"/>
      <c r="H205" s="10"/>
      <c r="I205" s="10"/>
      <c r="J205" s="10"/>
      <c r="K205" s="10"/>
      <c r="L205" s="10"/>
      <c r="M205" s="10"/>
      <c r="N205" s="10"/>
      <c r="O205" s="10"/>
      <c r="P205" s="10"/>
      <c r="Q205" s="10"/>
      <c r="R205" s="10"/>
      <c r="S205" s="10"/>
      <c r="T205" s="1">
        <v>51.3</v>
      </c>
      <c r="U205" s="1"/>
      <c r="V205" s="1"/>
      <c r="W205" s="67">
        <v>2.44</v>
      </c>
      <c r="X205" s="1"/>
      <c r="Y205" s="1"/>
      <c r="Z205" s="1"/>
      <c r="AA205" s="1">
        <v>4.1500000000000004</v>
      </c>
      <c r="AB205" s="1"/>
      <c r="AC205" s="1"/>
      <c r="AD205" s="66">
        <f t="shared" si="0"/>
        <v>57.889999999999993</v>
      </c>
      <c r="AF205" s="6">
        <v>57.889999999999993</v>
      </c>
      <c r="AG205" s="6">
        <v>54.03</v>
      </c>
      <c r="AH205" s="6">
        <v>53.46</v>
      </c>
      <c r="AI205" s="6">
        <v>45.06</v>
      </c>
    </row>
    <row r="206" spans="1:35" ht="15" customHeight="1">
      <c r="A206" s="1"/>
      <c r="B206" s="1"/>
      <c r="C206" s="1">
        <v>1</v>
      </c>
      <c r="D206" s="1" t="s">
        <v>39</v>
      </c>
      <c r="E206" s="10"/>
      <c r="F206" s="10"/>
      <c r="G206" s="10"/>
      <c r="H206" s="10"/>
      <c r="I206" s="10"/>
      <c r="J206" s="10"/>
      <c r="K206" s="10"/>
      <c r="L206" s="10"/>
      <c r="M206" s="10"/>
      <c r="N206" s="10"/>
      <c r="O206" s="10"/>
      <c r="P206" s="10"/>
      <c r="Q206" s="10"/>
      <c r="R206" s="10"/>
      <c r="S206" s="10"/>
      <c r="T206" s="1">
        <v>42.8</v>
      </c>
      <c r="U206" s="1"/>
      <c r="V206" s="1"/>
      <c r="W206" s="67">
        <v>0.74</v>
      </c>
      <c r="X206" s="1"/>
      <c r="Y206" s="1"/>
      <c r="Z206" s="1"/>
      <c r="AA206" s="1">
        <v>2.14</v>
      </c>
      <c r="AB206" s="1"/>
      <c r="AC206" s="1"/>
      <c r="AD206" s="66">
        <f t="shared" si="0"/>
        <v>45.68</v>
      </c>
      <c r="AF206" s="6">
        <v>45.68</v>
      </c>
      <c r="AG206" s="6">
        <v>66.61</v>
      </c>
      <c r="AH206" s="6">
        <v>55.120000000000005</v>
      </c>
      <c r="AI206" s="6">
        <v>49.92</v>
      </c>
    </row>
    <row r="207" spans="1:35" ht="15" customHeight="1">
      <c r="A207" s="1"/>
      <c r="B207" s="1"/>
      <c r="C207" s="1">
        <v>1</v>
      </c>
      <c r="D207" s="1" t="s">
        <v>97</v>
      </c>
      <c r="E207" s="10"/>
      <c r="F207" s="10"/>
      <c r="G207" s="10"/>
      <c r="H207" s="10"/>
      <c r="I207" s="10"/>
      <c r="J207" s="10"/>
      <c r="K207" s="10"/>
      <c r="L207" s="10"/>
      <c r="M207" s="10"/>
      <c r="N207" s="10"/>
      <c r="O207" s="10"/>
      <c r="P207" s="10"/>
      <c r="Q207" s="10"/>
      <c r="R207" s="10"/>
      <c r="S207" s="10"/>
      <c r="T207" s="1">
        <v>42.2</v>
      </c>
      <c r="U207" s="1">
        <f>AVERAGE(T203:T207)</f>
        <v>48.58</v>
      </c>
      <c r="V207" s="1"/>
      <c r="W207" s="67">
        <v>5.15</v>
      </c>
      <c r="X207" s="67">
        <f>AVERAGE(W203:W207)</f>
        <v>2.4859999999999998</v>
      </c>
      <c r="Y207" s="1"/>
      <c r="Z207" s="1"/>
      <c r="AA207" s="1">
        <v>2.58</v>
      </c>
      <c r="AB207" s="1">
        <f>AVERAGE(AA203:AA207)</f>
        <v>3.2060000000000004</v>
      </c>
      <c r="AC207" s="1"/>
      <c r="AD207" s="66">
        <f t="shared" si="0"/>
        <v>49.93</v>
      </c>
      <c r="AF207" s="6">
        <v>49.93</v>
      </c>
      <c r="AG207" s="6">
        <v>56.49</v>
      </c>
      <c r="AH207" s="6">
        <v>46.13</v>
      </c>
      <c r="AI207" s="6">
        <v>49.28</v>
      </c>
    </row>
    <row r="208" spans="1:35" ht="15" customHeight="1">
      <c r="A208" s="1"/>
      <c r="B208" s="1"/>
      <c r="C208" s="1">
        <v>2</v>
      </c>
      <c r="D208" s="1" t="s">
        <v>94</v>
      </c>
      <c r="E208" s="10"/>
      <c r="F208" s="10"/>
      <c r="G208" s="10"/>
      <c r="H208" s="10"/>
      <c r="I208" s="10"/>
      <c r="J208" s="10"/>
      <c r="K208" s="10"/>
      <c r="L208" s="10"/>
      <c r="M208" s="10"/>
      <c r="N208" s="10"/>
      <c r="O208" s="10"/>
      <c r="P208" s="10"/>
      <c r="Q208" s="10"/>
      <c r="R208" s="10"/>
      <c r="S208" s="10"/>
      <c r="T208" s="1">
        <v>47.4</v>
      </c>
      <c r="U208" s="1"/>
      <c r="V208" s="1"/>
      <c r="W208" s="67">
        <v>1.42</v>
      </c>
      <c r="X208" s="1"/>
      <c r="Y208" s="1"/>
      <c r="Z208" s="1"/>
      <c r="AA208" s="1">
        <v>3.67</v>
      </c>
      <c r="AB208" s="1"/>
      <c r="AC208" s="1"/>
      <c r="AD208" s="66">
        <f t="shared" si="0"/>
        <v>52.49</v>
      </c>
    </row>
    <row r="209" spans="1:30" ht="15" customHeight="1">
      <c r="A209" s="1"/>
      <c r="B209" s="1"/>
      <c r="C209" s="1">
        <v>2</v>
      </c>
      <c r="D209" s="1" t="s">
        <v>95</v>
      </c>
      <c r="E209" s="10"/>
      <c r="F209" s="10"/>
      <c r="G209" s="10"/>
      <c r="H209" s="10"/>
      <c r="I209" s="10"/>
      <c r="J209" s="10"/>
      <c r="K209" s="10"/>
      <c r="L209" s="10"/>
      <c r="M209" s="10"/>
      <c r="N209" s="10"/>
      <c r="O209" s="10"/>
      <c r="P209" s="10"/>
      <c r="Q209" s="10"/>
      <c r="R209" s="10"/>
      <c r="S209" s="10"/>
      <c r="T209" s="1">
        <v>47.7</v>
      </c>
      <c r="U209" s="1"/>
      <c r="V209" s="1"/>
      <c r="W209" s="67">
        <v>6.33</v>
      </c>
      <c r="X209" s="1"/>
      <c r="Y209" s="1"/>
      <c r="Z209" s="1"/>
      <c r="AA209" s="1">
        <v>3.21</v>
      </c>
      <c r="AB209" s="1"/>
      <c r="AC209" s="1"/>
      <c r="AD209" s="66">
        <f t="shared" si="0"/>
        <v>57.24</v>
      </c>
    </row>
    <row r="210" spans="1:30" ht="15" customHeight="1">
      <c r="A210" s="1"/>
      <c r="B210" s="1"/>
      <c r="C210" s="1">
        <v>2</v>
      </c>
      <c r="D210" s="1" t="s">
        <v>96</v>
      </c>
      <c r="E210" s="10"/>
      <c r="F210" s="10"/>
      <c r="G210" s="10"/>
      <c r="H210" s="10"/>
      <c r="I210" s="10"/>
      <c r="J210" s="10"/>
      <c r="K210" s="10"/>
      <c r="L210" s="10"/>
      <c r="M210" s="10"/>
      <c r="N210" s="10"/>
      <c r="O210" s="10"/>
      <c r="P210" s="10"/>
      <c r="Q210" s="10"/>
      <c r="R210" s="10"/>
      <c r="S210" s="10"/>
      <c r="T210" s="1">
        <v>45.9</v>
      </c>
      <c r="U210" s="1"/>
      <c r="V210" s="1"/>
      <c r="W210" s="67">
        <v>1.9</v>
      </c>
      <c r="X210" s="1"/>
      <c r="Y210" s="1"/>
      <c r="Z210" s="1"/>
      <c r="AA210" s="1">
        <v>6.23</v>
      </c>
      <c r="AB210" s="1"/>
      <c r="AC210" s="1"/>
      <c r="AD210" s="66">
        <f t="shared" si="0"/>
        <v>54.03</v>
      </c>
    </row>
    <row r="211" spans="1:30" ht="15" customHeight="1">
      <c r="A211" s="1"/>
      <c r="B211" s="1"/>
      <c r="C211" s="1">
        <v>2</v>
      </c>
      <c r="D211" s="1" t="s">
        <v>39</v>
      </c>
      <c r="E211" s="10"/>
      <c r="F211" s="10"/>
      <c r="G211" s="10"/>
      <c r="H211" s="10"/>
      <c r="I211" s="10"/>
      <c r="J211" s="10"/>
      <c r="K211" s="10"/>
      <c r="L211" s="10"/>
      <c r="M211" s="10"/>
      <c r="N211" s="10"/>
      <c r="O211" s="10"/>
      <c r="P211" s="10"/>
      <c r="Q211" s="10"/>
      <c r="R211" s="10"/>
      <c r="S211" s="10"/>
      <c r="T211" s="1">
        <v>60.4</v>
      </c>
      <c r="U211" s="1"/>
      <c r="V211" s="1"/>
      <c r="W211" s="67">
        <v>2.5099999999999998</v>
      </c>
      <c r="X211" s="1"/>
      <c r="Y211" s="1"/>
      <c r="Z211" s="1"/>
      <c r="AA211" s="1">
        <v>3.7</v>
      </c>
      <c r="AB211" s="1"/>
      <c r="AC211" s="1"/>
      <c r="AD211" s="66">
        <f t="shared" si="0"/>
        <v>66.61</v>
      </c>
    </row>
    <row r="212" spans="1:30" ht="15" customHeight="1">
      <c r="A212" s="1"/>
      <c r="B212" s="1"/>
      <c r="C212" s="1">
        <v>2</v>
      </c>
      <c r="D212" s="1" t="s">
        <v>97</v>
      </c>
      <c r="E212" s="10"/>
      <c r="F212" s="10"/>
      <c r="G212" s="10"/>
      <c r="H212" s="10"/>
      <c r="I212" s="10"/>
      <c r="J212" s="10"/>
      <c r="K212" s="10"/>
      <c r="L212" s="10"/>
      <c r="M212" s="10"/>
      <c r="N212" s="10"/>
      <c r="O212" s="10"/>
      <c r="P212" s="10"/>
      <c r="Q212" s="10"/>
      <c r="R212" s="10"/>
      <c r="S212" s="10"/>
      <c r="T212" s="8">
        <v>50.35</v>
      </c>
      <c r="U212" s="1">
        <f>AVERAGE(T208:T212)</f>
        <v>50.35</v>
      </c>
      <c r="V212" s="1"/>
      <c r="W212" s="67">
        <v>2.08</v>
      </c>
      <c r="X212" s="67">
        <f>AVERAGE(W208:W212)</f>
        <v>2.8479999999999999</v>
      </c>
      <c r="Y212" s="1"/>
      <c r="Z212" s="1"/>
      <c r="AA212" s="1">
        <v>4.0599999999999996</v>
      </c>
      <c r="AB212" s="1">
        <f>AVERAGE(AA208:AA212)</f>
        <v>4.1739999999999995</v>
      </c>
      <c r="AC212" s="1"/>
      <c r="AD212" s="66">
        <f t="shared" si="0"/>
        <v>56.49</v>
      </c>
    </row>
    <row r="213" spans="1:30" ht="15" customHeight="1">
      <c r="A213" s="1"/>
      <c r="B213" s="1"/>
      <c r="C213" s="1">
        <v>3</v>
      </c>
      <c r="D213" s="1" t="s">
        <v>94</v>
      </c>
      <c r="E213" s="10"/>
      <c r="F213" s="10"/>
      <c r="G213" s="10"/>
      <c r="H213" s="10"/>
      <c r="I213" s="10"/>
      <c r="J213" s="10"/>
      <c r="K213" s="10"/>
      <c r="L213" s="10"/>
      <c r="M213" s="10"/>
      <c r="N213" s="10"/>
      <c r="O213" s="10"/>
      <c r="P213" s="10"/>
      <c r="Q213" s="10"/>
      <c r="R213" s="10"/>
      <c r="S213" s="10"/>
      <c r="T213" s="1">
        <v>53.8</v>
      </c>
      <c r="U213" s="1"/>
      <c r="V213" s="1"/>
      <c r="W213" s="67">
        <v>2.11</v>
      </c>
      <c r="X213" s="1"/>
      <c r="Y213" s="1"/>
      <c r="Z213" s="1"/>
      <c r="AA213" s="1">
        <v>2.8</v>
      </c>
      <c r="AB213" s="1"/>
      <c r="AC213" s="1"/>
      <c r="AD213" s="66">
        <f t="shared" si="0"/>
        <v>58.709999999999994</v>
      </c>
    </row>
    <row r="214" spans="1:30" ht="15" customHeight="1">
      <c r="A214" s="1"/>
      <c r="B214" s="1"/>
      <c r="C214" s="1">
        <v>3</v>
      </c>
      <c r="D214" s="1" t="s">
        <v>95</v>
      </c>
      <c r="E214" s="10"/>
      <c r="F214" s="10"/>
      <c r="G214" s="10"/>
      <c r="H214" s="10"/>
      <c r="I214" s="10"/>
      <c r="J214" s="10"/>
      <c r="K214" s="10"/>
      <c r="L214" s="10"/>
      <c r="M214" s="10"/>
      <c r="N214" s="10"/>
      <c r="O214" s="10"/>
      <c r="P214" s="10"/>
      <c r="Q214" s="10"/>
      <c r="R214" s="10"/>
      <c r="S214" s="10"/>
      <c r="T214" s="1">
        <v>47</v>
      </c>
      <c r="U214" s="1"/>
      <c r="V214" s="1"/>
      <c r="W214" s="67">
        <v>0.73</v>
      </c>
      <c r="X214" s="1"/>
      <c r="Y214" s="1"/>
      <c r="Z214" s="1"/>
      <c r="AA214" s="1">
        <v>2.91</v>
      </c>
      <c r="AB214" s="1"/>
      <c r="AC214" s="1"/>
      <c r="AD214" s="66">
        <f t="shared" si="0"/>
        <v>50.64</v>
      </c>
    </row>
    <row r="215" spans="1:30" ht="15" customHeight="1">
      <c r="A215" s="1"/>
      <c r="B215" s="1"/>
      <c r="C215" s="1">
        <v>3</v>
      </c>
      <c r="D215" s="1" t="s">
        <v>96</v>
      </c>
      <c r="E215" s="10"/>
      <c r="F215" s="10"/>
      <c r="G215" s="10"/>
      <c r="H215" s="10"/>
      <c r="I215" s="10"/>
      <c r="J215" s="10"/>
      <c r="K215" s="10"/>
      <c r="L215" s="10"/>
      <c r="M215" s="10"/>
      <c r="N215" s="10"/>
      <c r="O215" s="10"/>
      <c r="P215" s="10"/>
      <c r="Q215" s="10"/>
      <c r="R215" s="10"/>
      <c r="S215" s="10"/>
      <c r="T215" s="8">
        <v>48.1</v>
      </c>
      <c r="U215" s="1"/>
      <c r="V215" s="1"/>
      <c r="W215" s="67">
        <v>0.74</v>
      </c>
      <c r="X215" s="1"/>
      <c r="Y215" s="1"/>
      <c r="Z215" s="1"/>
      <c r="AA215" s="1">
        <v>4.62</v>
      </c>
      <c r="AB215" s="1"/>
      <c r="AC215" s="1"/>
      <c r="AD215" s="66">
        <f t="shared" si="0"/>
        <v>53.46</v>
      </c>
    </row>
    <row r="216" spans="1:30" ht="15" customHeight="1">
      <c r="A216" s="1"/>
      <c r="B216" s="1"/>
      <c r="C216" s="1">
        <v>3</v>
      </c>
      <c r="D216" s="1" t="s">
        <v>39</v>
      </c>
      <c r="E216" s="10"/>
      <c r="F216" s="10"/>
      <c r="G216" s="10"/>
      <c r="H216" s="10"/>
      <c r="I216" s="10"/>
      <c r="J216" s="10"/>
      <c r="K216" s="10"/>
      <c r="L216" s="10"/>
      <c r="M216" s="10"/>
      <c r="N216" s="10"/>
      <c r="O216" s="10"/>
      <c r="P216" s="10"/>
      <c r="Q216" s="10"/>
      <c r="R216" s="10"/>
      <c r="S216" s="10"/>
      <c r="T216" s="8">
        <v>48.1</v>
      </c>
      <c r="U216" s="1"/>
      <c r="V216" s="1"/>
      <c r="W216" s="67">
        <v>1.56</v>
      </c>
      <c r="X216" s="1"/>
      <c r="Y216" s="1"/>
      <c r="Z216" s="1"/>
      <c r="AA216" s="1">
        <v>5.46</v>
      </c>
      <c r="AB216" s="1"/>
      <c r="AC216" s="1"/>
      <c r="AD216" s="66">
        <f t="shared" si="0"/>
        <v>55.120000000000005</v>
      </c>
    </row>
    <row r="217" spans="1:30" ht="15" customHeight="1">
      <c r="A217" s="1"/>
      <c r="B217" s="1"/>
      <c r="C217" s="1">
        <v>3</v>
      </c>
      <c r="D217" s="1" t="s">
        <v>97</v>
      </c>
      <c r="E217" s="10"/>
      <c r="F217" s="10"/>
      <c r="G217" s="10"/>
      <c r="H217" s="10"/>
      <c r="I217" s="10"/>
      <c r="J217" s="10"/>
      <c r="K217" s="10"/>
      <c r="L217" s="10"/>
      <c r="M217" s="10"/>
      <c r="N217" s="10"/>
      <c r="O217" s="10"/>
      <c r="P217" s="10"/>
      <c r="Q217" s="10"/>
      <c r="R217" s="10"/>
      <c r="S217" s="10"/>
      <c r="T217" s="1">
        <v>43.5</v>
      </c>
      <c r="U217" s="1">
        <f>AVERAGE(T213:T217)</f>
        <v>48.1</v>
      </c>
      <c r="V217" s="1"/>
      <c r="W217" s="67">
        <v>1.38</v>
      </c>
      <c r="X217" s="67">
        <f>AVERAGE(W213:W217)</f>
        <v>1.304</v>
      </c>
      <c r="Y217" s="1"/>
      <c r="Z217" s="1"/>
      <c r="AA217" s="1">
        <v>1.25</v>
      </c>
      <c r="AB217" s="1">
        <f>AVERAGE(AA213:AA217)</f>
        <v>3.4079999999999999</v>
      </c>
      <c r="AC217" s="1"/>
      <c r="AD217" s="66">
        <f t="shared" si="0"/>
        <v>46.13</v>
      </c>
    </row>
    <row r="218" spans="1:30" ht="15" customHeight="1">
      <c r="A218" s="1"/>
      <c r="B218" s="1"/>
      <c r="C218" s="1">
        <v>4</v>
      </c>
      <c r="D218" s="1" t="s">
        <v>94</v>
      </c>
      <c r="E218" s="10"/>
      <c r="F218" s="10"/>
      <c r="G218" s="10"/>
      <c r="H218" s="10"/>
      <c r="I218" s="10"/>
      <c r="J218" s="10"/>
      <c r="K218" s="10"/>
      <c r="L218" s="10"/>
      <c r="M218" s="10"/>
      <c r="N218" s="10"/>
      <c r="O218" s="10"/>
      <c r="P218" s="10"/>
      <c r="Q218" s="10"/>
      <c r="R218" s="10"/>
      <c r="S218" s="10"/>
      <c r="T218" s="8">
        <v>46.6</v>
      </c>
      <c r="U218" s="1"/>
      <c r="V218" s="1"/>
      <c r="W218" s="77">
        <v>1.5225</v>
      </c>
      <c r="X218" s="1"/>
      <c r="Y218" s="1" t="s">
        <v>242</v>
      </c>
      <c r="Z218" s="1"/>
      <c r="AA218" s="1">
        <v>2.69</v>
      </c>
      <c r="AB218" s="1"/>
      <c r="AC218" s="1"/>
      <c r="AD218" s="66">
        <f t="shared" si="0"/>
        <v>50.8125</v>
      </c>
    </row>
    <row r="219" spans="1:30" ht="15" customHeight="1">
      <c r="A219" s="1"/>
      <c r="B219" s="1"/>
      <c r="C219" s="1">
        <v>4</v>
      </c>
      <c r="D219" s="1" t="s">
        <v>95</v>
      </c>
      <c r="E219" s="10"/>
      <c r="F219" s="10"/>
      <c r="G219" s="10"/>
      <c r="H219" s="10"/>
      <c r="I219" s="10"/>
      <c r="J219" s="10"/>
      <c r="K219" s="10"/>
      <c r="L219" s="10"/>
      <c r="M219" s="10"/>
      <c r="N219" s="10"/>
      <c r="O219" s="10"/>
      <c r="P219" s="10"/>
      <c r="Q219" s="10"/>
      <c r="R219" s="10"/>
      <c r="S219" s="10"/>
      <c r="T219" s="1">
        <v>52.8</v>
      </c>
      <c r="U219" s="1"/>
      <c r="V219" s="1"/>
      <c r="W219" s="67">
        <v>1.2</v>
      </c>
      <c r="X219" s="1"/>
      <c r="Y219" s="1"/>
      <c r="Z219" s="1"/>
      <c r="AA219" s="1">
        <v>1.77</v>
      </c>
      <c r="AB219" s="1"/>
      <c r="AC219" s="1"/>
      <c r="AD219" s="66">
        <f t="shared" si="0"/>
        <v>55.77</v>
      </c>
    </row>
    <row r="220" spans="1:30" ht="15" customHeight="1">
      <c r="A220" s="1"/>
      <c r="B220" s="1"/>
      <c r="C220" s="1">
        <v>4</v>
      </c>
      <c r="D220" s="1" t="s">
        <v>96</v>
      </c>
      <c r="E220" s="10"/>
      <c r="F220" s="10"/>
      <c r="G220" s="10"/>
      <c r="H220" s="10"/>
      <c r="I220" s="10"/>
      <c r="J220" s="10"/>
      <c r="K220" s="10"/>
      <c r="L220" s="10"/>
      <c r="M220" s="10"/>
      <c r="N220" s="10"/>
      <c r="O220" s="10"/>
      <c r="P220" s="10"/>
      <c r="Q220" s="10"/>
      <c r="R220" s="10"/>
      <c r="S220" s="10"/>
      <c r="T220" s="1">
        <v>41.4</v>
      </c>
      <c r="U220" s="1"/>
      <c r="V220" s="1"/>
      <c r="W220" s="67">
        <v>1.99</v>
      </c>
      <c r="X220" s="1"/>
      <c r="Y220" s="1"/>
      <c r="Z220" s="1"/>
      <c r="AA220" s="1">
        <v>1.67</v>
      </c>
      <c r="AB220" s="1"/>
      <c r="AC220" s="1"/>
      <c r="AD220" s="66">
        <f t="shared" si="0"/>
        <v>45.06</v>
      </c>
    </row>
    <row r="221" spans="1:30" ht="15" customHeight="1">
      <c r="A221" s="1"/>
      <c r="B221" s="1"/>
      <c r="C221" s="1">
        <v>4</v>
      </c>
      <c r="D221" s="1" t="s">
        <v>39</v>
      </c>
      <c r="E221" s="10"/>
      <c r="F221" s="10"/>
      <c r="G221" s="10"/>
      <c r="H221" s="10"/>
      <c r="I221" s="10"/>
      <c r="J221" s="10"/>
      <c r="K221" s="10"/>
      <c r="L221" s="10"/>
      <c r="M221" s="10"/>
      <c r="N221" s="10"/>
      <c r="O221" s="10"/>
      <c r="P221" s="10"/>
      <c r="Q221" s="10"/>
      <c r="R221" s="10"/>
      <c r="S221" s="10"/>
      <c r="T221" s="8">
        <v>46.6</v>
      </c>
      <c r="U221" s="1"/>
      <c r="V221" s="1"/>
      <c r="W221" s="67">
        <v>1.25</v>
      </c>
      <c r="X221" s="1"/>
      <c r="Y221" s="1"/>
      <c r="Z221" s="1"/>
      <c r="AA221" s="1">
        <v>2.0699999999999998</v>
      </c>
      <c r="AB221" s="1"/>
      <c r="AC221" s="1"/>
      <c r="AD221" s="66">
        <f t="shared" si="0"/>
        <v>49.92</v>
      </c>
    </row>
    <row r="222" spans="1:30" ht="15" customHeight="1">
      <c r="A222" s="1"/>
      <c r="B222" s="1"/>
      <c r="C222" s="1">
        <v>4</v>
      </c>
      <c r="D222" s="1" t="s">
        <v>97</v>
      </c>
      <c r="E222" s="10"/>
      <c r="F222" s="10"/>
      <c r="G222" s="10"/>
      <c r="H222" s="10"/>
      <c r="I222" s="10"/>
      <c r="J222" s="10"/>
      <c r="K222" s="10"/>
      <c r="L222" s="10"/>
      <c r="M222" s="10"/>
      <c r="N222" s="10"/>
      <c r="O222" s="10"/>
      <c r="P222" s="10"/>
      <c r="Q222" s="10"/>
      <c r="R222" s="10"/>
      <c r="S222" s="10"/>
      <c r="T222" s="1">
        <v>45.6</v>
      </c>
      <c r="U222" s="1">
        <f>AVERAGE(T218:T222)</f>
        <v>46.6</v>
      </c>
      <c r="V222" s="1"/>
      <c r="W222" s="67">
        <v>1.65</v>
      </c>
      <c r="X222" s="67">
        <f>AVERAGE(W218:W222)</f>
        <v>1.5225000000000002</v>
      </c>
      <c r="Y222" s="1"/>
      <c r="Z222" s="1"/>
      <c r="AA222" s="1">
        <v>2.0299999999999998</v>
      </c>
      <c r="AB222" s="1">
        <f>AVERAGE(AA218:AA222)</f>
        <v>2.0459999999999998</v>
      </c>
      <c r="AC222" s="1"/>
      <c r="AD222" s="66">
        <f t="shared" si="0"/>
        <v>49.28</v>
      </c>
    </row>
    <row r="223" spans="1:30" ht="1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66"/>
    </row>
    <row r="224" spans="1:30" ht="15.75" customHeight="1">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6"/>
    </row>
    <row r="225" spans="1:30" ht="15.75" customHeight="1">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6"/>
    </row>
    <row r="226" spans="1:30" ht="15.75" customHeight="1">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6"/>
    </row>
    <row r="227" spans="1:30" ht="15.75" customHeight="1">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6"/>
    </row>
    <row r="228" spans="1:30" ht="15.75" customHeight="1">
      <c r="A228" s="6"/>
      <c r="B228" s="6"/>
      <c r="C228" s="6"/>
      <c r="D228" s="6"/>
      <c r="E228" s="6"/>
      <c r="F228" s="6"/>
      <c r="G228" s="6"/>
      <c r="H228" s="6"/>
      <c r="I228" s="6"/>
      <c r="J228" s="6"/>
      <c r="K228" s="6"/>
      <c r="L228" s="6"/>
      <c r="M228" s="6"/>
      <c r="N228" s="6"/>
      <c r="O228" s="6"/>
      <c r="P228" s="6"/>
      <c r="Q228" s="6"/>
      <c r="R228" s="6"/>
      <c r="S228" s="6"/>
      <c r="T228" s="6"/>
      <c r="U228" s="6"/>
      <c r="V228" s="6"/>
      <c r="W228" s="6"/>
      <c r="X228" s="6"/>
      <c r="Y228" s="6" t="s">
        <v>256</v>
      </c>
      <c r="Z228" s="6"/>
      <c r="AA228" s="6" t="s">
        <v>257</v>
      </c>
      <c r="AB228" s="6"/>
      <c r="AC228" s="6"/>
      <c r="AD228" s="66"/>
    </row>
    <row r="229" spans="1:30" ht="15.75" customHeight="1">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6"/>
    </row>
    <row r="230" spans="1:30" ht="15.75" customHeight="1">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t="s">
        <v>150</v>
      </c>
      <c r="AA230" s="6"/>
      <c r="AB230" s="6"/>
      <c r="AC230" s="6"/>
      <c r="AD230" s="66"/>
    </row>
    <row r="231" spans="1:30" ht="15.75" customHeight="1">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t="s">
        <v>272</v>
      </c>
      <c r="AA231" s="6"/>
      <c r="AB231" s="6"/>
      <c r="AC231" s="6"/>
      <c r="AD231" s="66"/>
    </row>
    <row r="232" spans="1:30" ht="15.75" customHeight="1">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t="s">
        <v>280</v>
      </c>
      <c r="AA232" s="6"/>
      <c r="AB232" s="6"/>
      <c r="AC232" s="6"/>
      <c r="AD232" s="66"/>
    </row>
    <row r="233" spans="1:30" ht="15.75" customHeight="1">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t="s">
        <v>281</v>
      </c>
      <c r="AA233" s="6"/>
      <c r="AB233" s="6"/>
      <c r="AC233" s="6"/>
      <c r="AD233" s="66"/>
    </row>
    <row r="234" spans="1:30" ht="15.75" customHeight="1">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t="s">
        <v>129</v>
      </c>
      <c r="AA234" s="6"/>
      <c r="AB234" s="6"/>
      <c r="AC234" s="6"/>
      <c r="AD234" s="66"/>
    </row>
    <row r="235" spans="1:30" ht="15.75" customHeight="1">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t="s">
        <v>282</v>
      </c>
      <c r="AA235" s="6"/>
      <c r="AB235" s="6"/>
      <c r="AC235" s="6"/>
      <c r="AD235" s="66"/>
    </row>
  </sheetData>
  <mergeCells count="1">
    <mergeCell ref="E1:S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232"/>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7.28515625" defaultRowHeight="15" customHeight="1"/>
  <cols>
    <col min="1" max="1" width="8.42578125" customWidth="1"/>
    <col min="2" max="2" width="7.140625" customWidth="1"/>
    <col min="3" max="3" width="6.42578125" customWidth="1"/>
    <col min="4" max="4" width="7.42578125" customWidth="1"/>
    <col min="5" max="27" width="17.28515625" customWidth="1"/>
  </cols>
  <sheetData>
    <row r="1" spans="1:27" ht="15.75" customHeight="1">
      <c r="A1" s="70"/>
      <c r="B1" s="70"/>
      <c r="C1" s="70"/>
      <c r="D1" s="70"/>
      <c r="E1" s="126" t="s">
        <v>172</v>
      </c>
      <c r="F1" s="127"/>
      <c r="G1" s="127"/>
      <c r="H1" s="127"/>
      <c r="I1" s="127"/>
      <c r="J1" s="127"/>
      <c r="K1" s="127"/>
      <c r="L1" s="127"/>
      <c r="M1" s="127"/>
      <c r="N1" s="127"/>
      <c r="O1" s="127"/>
      <c r="P1" s="127"/>
      <c r="Q1" s="127"/>
      <c r="R1" s="127"/>
      <c r="S1" s="127"/>
      <c r="T1" s="128"/>
      <c r="U1" s="56"/>
      <c r="V1" s="71"/>
      <c r="W1" s="125" t="s">
        <v>174</v>
      </c>
      <c r="X1" s="115"/>
      <c r="Y1" s="115"/>
      <c r="Z1" s="115"/>
      <c r="AA1" s="71" t="s">
        <v>175</v>
      </c>
    </row>
    <row r="2" spans="1:27" ht="15.75" customHeight="1">
      <c r="A2" s="72" t="s">
        <v>3</v>
      </c>
      <c r="B2" s="72" t="s">
        <v>5</v>
      </c>
      <c r="C2" s="72" t="s">
        <v>6</v>
      </c>
      <c r="D2" s="72" t="s">
        <v>7</v>
      </c>
      <c r="E2" s="73" t="s">
        <v>176</v>
      </c>
      <c r="F2" s="73" t="s">
        <v>177</v>
      </c>
      <c r="G2" s="74" t="s">
        <v>178</v>
      </c>
      <c r="H2" s="28" t="s">
        <v>179</v>
      </c>
      <c r="I2" s="73" t="s">
        <v>180</v>
      </c>
      <c r="J2" s="73" t="s">
        <v>181</v>
      </c>
      <c r="K2" s="73" t="s">
        <v>182</v>
      </c>
      <c r="L2" s="75" t="s">
        <v>183</v>
      </c>
      <c r="M2" s="75" t="s">
        <v>184</v>
      </c>
      <c r="N2" s="75" t="s">
        <v>185</v>
      </c>
      <c r="O2" s="75" t="s">
        <v>186</v>
      </c>
      <c r="P2" s="75" t="s">
        <v>187</v>
      </c>
      <c r="Q2" s="75" t="s">
        <v>188</v>
      </c>
      <c r="R2" s="70" t="s">
        <v>26</v>
      </c>
      <c r="S2" s="70" t="s">
        <v>27</v>
      </c>
      <c r="T2" s="75" t="s">
        <v>189</v>
      </c>
      <c r="U2" s="13"/>
      <c r="V2" s="13" t="s">
        <v>190</v>
      </c>
      <c r="W2" s="13" t="s">
        <v>179</v>
      </c>
      <c r="X2" s="13" t="s">
        <v>191</v>
      </c>
      <c r="Y2" s="13" t="s">
        <v>192</v>
      </c>
      <c r="Z2" s="13" t="s">
        <v>134</v>
      </c>
      <c r="AA2" s="13" t="s">
        <v>193</v>
      </c>
    </row>
    <row r="3" spans="1:27" ht="15.75" customHeight="1">
      <c r="A3" s="70" t="s">
        <v>37</v>
      </c>
      <c r="B3" s="70" t="s">
        <v>39</v>
      </c>
      <c r="C3" s="70">
        <v>1</v>
      </c>
      <c r="D3" s="70" t="s">
        <v>94</v>
      </c>
      <c r="E3" s="76">
        <f>SUM(5.45-C225-B225)</f>
        <v>0.8600000000000001</v>
      </c>
      <c r="F3" s="76">
        <f>SUM(3.06-C225)</f>
        <v>0.20999999999999996</v>
      </c>
      <c r="G3" s="76"/>
      <c r="H3" s="76">
        <f>SUM(49.16-2*E225)</f>
        <v>20.399999999999995</v>
      </c>
      <c r="I3" s="76">
        <f>SUM(40.32-(2*E225))</f>
        <v>11.559999999999999</v>
      </c>
      <c r="J3" s="76">
        <f>SUM(12.15-C225-B225)</f>
        <v>7.5600000000000005</v>
      </c>
      <c r="K3" s="76">
        <f>SUM(2.91-C225)</f>
        <v>6.0000000000000053E-2</v>
      </c>
      <c r="L3" s="76">
        <f>SUM(26.38-2*D225)</f>
        <v>11.7</v>
      </c>
      <c r="M3" s="76">
        <f>SUM(69.92-2*E225)</f>
        <v>41.16</v>
      </c>
      <c r="N3" s="76">
        <f>SUM(39.96-2*E225)</f>
        <v>11.2</v>
      </c>
      <c r="O3" s="76">
        <f>SUM(6.03-B225-C225)</f>
        <v>1.44</v>
      </c>
      <c r="P3" s="78"/>
      <c r="Q3" s="78"/>
      <c r="R3" s="78">
        <f t="shared" ref="R3:R19" si="0">SUM(E3:P3)</f>
        <v>106.14999999999999</v>
      </c>
      <c r="S3" s="78">
        <f>AVERAGE(R3:R7)</f>
        <v>68.949999999999989</v>
      </c>
      <c r="T3" s="76" t="s">
        <v>89</v>
      </c>
      <c r="U3" s="28"/>
      <c r="V3" s="28" t="s">
        <v>195</v>
      </c>
      <c r="W3" s="28">
        <v>3.97</v>
      </c>
      <c r="X3" s="28">
        <v>3.25</v>
      </c>
      <c r="Y3" s="28">
        <v>2.63</v>
      </c>
      <c r="Z3" s="28">
        <f t="shared" ref="Z3:Z82" si="1">W3+X3</f>
        <v>7.2200000000000006</v>
      </c>
      <c r="AA3" s="28"/>
    </row>
    <row r="4" spans="1:27" ht="15.75" customHeight="1">
      <c r="A4" s="70"/>
      <c r="B4" s="70"/>
      <c r="C4" s="70">
        <v>1</v>
      </c>
      <c r="D4" s="70" t="s">
        <v>95</v>
      </c>
      <c r="E4" s="76">
        <f>SUM(2.24-B225)</f>
        <v>0.50000000000000022</v>
      </c>
      <c r="F4" s="76">
        <f>SUM(1.79-B225)</f>
        <v>5.0000000000000044E-2</v>
      </c>
      <c r="G4" s="76"/>
      <c r="H4" s="76">
        <f>SUM(32.95-E225)</f>
        <v>18.57</v>
      </c>
      <c r="I4" s="76">
        <f>SUM(19.98-E225)</f>
        <v>5.6</v>
      </c>
      <c r="J4" s="76">
        <f>SUM(22.91-E225)</f>
        <v>8.5299999999999994</v>
      </c>
      <c r="K4" s="78"/>
      <c r="L4" s="76">
        <f>SUM(16.22-E225)</f>
        <v>1.8399999999999981</v>
      </c>
      <c r="M4" s="76">
        <f>SUM(22.87-E225)</f>
        <v>8.49</v>
      </c>
      <c r="N4" s="76">
        <f>SUM(20.1-E225)</f>
        <v>5.7200000000000006</v>
      </c>
      <c r="O4" s="76">
        <f>SUM(2.05-B225)</f>
        <v>0.30999999999999983</v>
      </c>
      <c r="P4" s="78"/>
      <c r="Q4" s="78"/>
      <c r="R4" s="78">
        <f t="shared" si="0"/>
        <v>49.61</v>
      </c>
      <c r="S4" s="78"/>
      <c r="T4" s="78"/>
      <c r="V4" s="28" t="s">
        <v>195</v>
      </c>
      <c r="W4" s="28">
        <v>7.28</v>
      </c>
      <c r="X4">
        <f>6.33-2.85</f>
        <v>3.48</v>
      </c>
      <c r="Y4">
        <f>5.83-2.85</f>
        <v>2.98</v>
      </c>
      <c r="Z4" s="28">
        <f t="shared" si="1"/>
        <v>10.76</v>
      </c>
      <c r="AA4" s="28"/>
    </row>
    <row r="5" spans="1:27" ht="15.75" customHeight="1">
      <c r="A5" s="70"/>
      <c r="B5" s="70"/>
      <c r="C5" s="70">
        <v>1</v>
      </c>
      <c r="D5" s="70" t="s">
        <v>96</v>
      </c>
      <c r="E5" s="76">
        <f>SUM(30.42-E225)</f>
        <v>16.04</v>
      </c>
      <c r="F5" s="78"/>
      <c r="G5" s="78"/>
      <c r="H5" s="76">
        <f>SUM(34.57-E225)</f>
        <v>20.189999999999998</v>
      </c>
      <c r="I5" s="76">
        <f>SUM(17.18-E225)</f>
        <v>2.7999999999999989</v>
      </c>
      <c r="J5" s="76">
        <f>SUM(22.71-E225)</f>
        <v>8.33</v>
      </c>
      <c r="K5" s="76">
        <f>SUM(2.46-B225)</f>
        <v>0.72</v>
      </c>
      <c r="L5" s="76">
        <f>SUM(2.73-B225)</f>
        <v>0.99</v>
      </c>
      <c r="M5" s="76">
        <f>SUM(27.57-E225)</f>
        <v>13.19</v>
      </c>
      <c r="N5" s="76">
        <f>SUM(32.72-E225)</f>
        <v>18.339999999999996</v>
      </c>
      <c r="O5" s="76">
        <f>SUM(2.29-B225)</f>
        <v>0.55000000000000004</v>
      </c>
      <c r="P5" s="76"/>
      <c r="Q5" s="76">
        <f>SUM(3.79-B225)</f>
        <v>2.0499999999999998</v>
      </c>
      <c r="R5" s="78">
        <f t="shared" si="0"/>
        <v>81.149999999999991</v>
      </c>
      <c r="S5" s="78"/>
      <c r="T5" s="78"/>
      <c r="V5" s="28" t="s">
        <v>195</v>
      </c>
      <c r="W5" s="28">
        <v>4.13</v>
      </c>
      <c r="X5" s="28">
        <f>3.7-2.85</f>
        <v>0.85000000000000009</v>
      </c>
      <c r="Y5" s="28">
        <v>3.69</v>
      </c>
      <c r="Z5" s="28">
        <f t="shared" si="1"/>
        <v>4.9800000000000004</v>
      </c>
      <c r="AA5" s="28"/>
    </row>
    <row r="6" spans="1:27" ht="15.75" customHeight="1">
      <c r="A6" s="70"/>
      <c r="B6" s="70"/>
      <c r="C6" s="70">
        <v>1</v>
      </c>
      <c r="D6" s="70" t="s">
        <v>39</v>
      </c>
      <c r="E6" s="78"/>
      <c r="F6" s="78"/>
      <c r="G6" s="78"/>
      <c r="H6" s="76">
        <f>SUM(31.28-E225)</f>
        <v>16.899999999999999</v>
      </c>
      <c r="I6" s="76">
        <f>SUM(9.31-D225)</f>
        <v>1.9700000000000006</v>
      </c>
      <c r="J6" s="76">
        <f>SUM(8.26-D225)</f>
        <v>0.91999999999999993</v>
      </c>
      <c r="K6" s="76">
        <f>SUM(8.17-D225)</f>
        <v>0.83000000000000007</v>
      </c>
      <c r="L6" s="76">
        <f>SUM(10.67-D225)</f>
        <v>3.33</v>
      </c>
      <c r="M6" s="76">
        <f>SUM(30.96-E225)</f>
        <v>16.579999999999998</v>
      </c>
      <c r="N6" s="76">
        <f>SUM(2.19-B225)</f>
        <v>0.44999999999999996</v>
      </c>
      <c r="O6" s="76">
        <f>SUM(2.03-B225)</f>
        <v>0.28999999999999981</v>
      </c>
      <c r="P6" s="76"/>
      <c r="Q6" s="76">
        <f>SUM(2.34-B225)</f>
        <v>0.59999999999999987</v>
      </c>
      <c r="R6" s="78">
        <f t="shared" si="0"/>
        <v>41.269999999999996</v>
      </c>
      <c r="S6" s="78"/>
      <c r="T6" s="78"/>
      <c r="V6" s="28" t="s">
        <v>195</v>
      </c>
      <c r="W6" s="28">
        <v>12.78</v>
      </c>
      <c r="X6" s="28">
        <v>7.98</v>
      </c>
      <c r="Y6" s="28">
        <v>5.43</v>
      </c>
      <c r="Z6" s="28">
        <f t="shared" si="1"/>
        <v>20.759999999999998</v>
      </c>
      <c r="AA6" s="28"/>
    </row>
    <row r="7" spans="1:27" ht="15.75" customHeight="1">
      <c r="A7" s="70"/>
      <c r="B7" s="70"/>
      <c r="C7" s="70">
        <v>1</v>
      </c>
      <c r="D7" s="70" t="s">
        <v>97</v>
      </c>
      <c r="E7" s="76">
        <f>SUM(17.18-E225)</f>
        <v>2.7999999999999989</v>
      </c>
      <c r="F7" s="76">
        <f>SUM(2.02-B225)</f>
        <v>0.28000000000000003</v>
      </c>
      <c r="G7" s="76"/>
      <c r="H7" s="76">
        <f>SUM(23.87-E225)</f>
        <v>9.49</v>
      </c>
      <c r="I7" s="76">
        <f>SUM(20.23-E225)</f>
        <v>5.85</v>
      </c>
      <c r="J7" s="76">
        <f>SUM(2.34-B225)</f>
        <v>0.59999999999999987</v>
      </c>
      <c r="K7" s="76">
        <f>SUM(17.83-E225)</f>
        <v>3.4499999999999975</v>
      </c>
      <c r="L7" s="76">
        <f>SUM(16.6-E225)</f>
        <v>2.2200000000000006</v>
      </c>
      <c r="M7" s="76">
        <f>SUM(33.21-E225)</f>
        <v>18.829999999999998</v>
      </c>
      <c r="N7" s="76">
        <f>SUM(36.31-E225)</f>
        <v>21.93</v>
      </c>
      <c r="O7" s="76">
        <f>SUM(2.86-B225)</f>
        <v>1.1199999999999999</v>
      </c>
      <c r="P7" s="78"/>
      <c r="Q7" s="78"/>
      <c r="R7" s="78">
        <f t="shared" si="0"/>
        <v>66.569999999999993</v>
      </c>
      <c r="S7" s="78"/>
      <c r="T7" s="78"/>
      <c r="V7" s="28" t="s">
        <v>195</v>
      </c>
      <c r="W7" s="28">
        <v>1.67</v>
      </c>
      <c r="X7" s="80"/>
      <c r="Y7" s="28">
        <v>3.32</v>
      </c>
      <c r="Z7" s="28">
        <f t="shared" si="1"/>
        <v>1.67</v>
      </c>
      <c r="AA7" s="28">
        <f>SUM(Z3:Z7)/5</f>
        <v>9.0779999999999994</v>
      </c>
    </row>
    <row r="8" spans="1:27" ht="15.75" customHeight="1">
      <c r="A8" s="70"/>
      <c r="B8" s="70"/>
      <c r="C8" s="70">
        <v>2</v>
      </c>
      <c r="D8" s="70" t="s">
        <v>94</v>
      </c>
      <c r="E8" s="76">
        <v>1.68</v>
      </c>
      <c r="F8" s="78"/>
      <c r="G8" s="78"/>
      <c r="H8" s="76">
        <v>12.86</v>
      </c>
      <c r="I8" s="76">
        <v>4.38</v>
      </c>
      <c r="J8" s="76">
        <v>4.0599999999999996</v>
      </c>
      <c r="K8" s="78"/>
      <c r="L8" s="76">
        <v>0.19400000000000001</v>
      </c>
      <c r="M8" s="76">
        <v>37.5</v>
      </c>
      <c r="N8" s="76">
        <v>6.57</v>
      </c>
      <c r="O8" s="76">
        <v>1.054</v>
      </c>
      <c r="P8" s="78"/>
      <c r="Q8" s="78"/>
      <c r="R8" s="78">
        <f t="shared" si="0"/>
        <v>68.298000000000002</v>
      </c>
      <c r="S8" s="78">
        <f>AVERAGE(R8:R12)</f>
        <v>67.247600000000006</v>
      </c>
      <c r="T8" s="76" t="s">
        <v>90</v>
      </c>
      <c r="U8" s="28"/>
      <c r="V8" s="28" t="s">
        <v>195</v>
      </c>
      <c r="W8" s="28">
        <v>1.68</v>
      </c>
      <c r="X8" s="28">
        <v>2.79</v>
      </c>
      <c r="Y8" s="28">
        <v>5.63</v>
      </c>
      <c r="Z8" s="28">
        <f t="shared" si="1"/>
        <v>4.47</v>
      </c>
      <c r="AA8" s="28"/>
    </row>
    <row r="9" spans="1:27" ht="15.75" customHeight="1">
      <c r="A9" s="70"/>
      <c r="B9" s="70"/>
      <c r="C9" s="70">
        <v>2</v>
      </c>
      <c r="D9" s="70" t="s">
        <v>95</v>
      </c>
      <c r="E9" s="78"/>
      <c r="F9" s="78"/>
      <c r="G9" s="78"/>
      <c r="H9" s="76">
        <v>20.04</v>
      </c>
      <c r="I9" s="76">
        <f>SUM(4.56-C225)</f>
        <v>1.7099999999999995</v>
      </c>
      <c r="J9" s="76">
        <f>SUM(3.66-C225)</f>
        <v>0.81</v>
      </c>
      <c r="K9" s="78"/>
      <c r="L9" s="78"/>
      <c r="M9" s="76">
        <v>35.51</v>
      </c>
      <c r="N9" s="76">
        <v>8.44</v>
      </c>
      <c r="O9" s="76">
        <f>SUM(3.31-C225)</f>
        <v>0.45999999999999996</v>
      </c>
      <c r="P9" s="76"/>
      <c r="Q9" s="81">
        <f t="shared" ref="Q9:Q10" si="2">SUM(1.87-C225)</f>
        <v>-0.98</v>
      </c>
      <c r="R9" s="78">
        <f t="shared" si="0"/>
        <v>66.969999999999985</v>
      </c>
      <c r="S9" s="78"/>
      <c r="T9" s="78"/>
      <c r="V9" s="28" t="s">
        <v>195</v>
      </c>
      <c r="W9" s="28">
        <v>5.53</v>
      </c>
      <c r="X9" s="28">
        <v>4.22</v>
      </c>
      <c r="Y9" s="28">
        <v>7.82</v>
      </c>
      <c r="Z9" s="28">
        <f t="shared" si="1"/>
        <v>9.75</v>
      </c>
      <c r="AA9" s="28"/>
    </row>
    <row r="10" spans="1:27" ht="15.75" customHeight="1">
      <c r="A10" s="70"/>
      <c r="B10" s="70"/>
      <c r="C10" s="70">
        <v>2</v>
      </c>
      <c r="D10" s="70" t="s">
        <v>96</v>
      </c>
      <c r="E10" s="78"/>
      <c r="F10" s="78"/>
      <c r="G10" s="78"/>
      <c r="H10" s="76">
        <v>20.13</v>
      </c>
      <c r="I10" s="76">
        <v>4.72</v>
      </c>
      <c r="J10" s="76">
        <v>3.48</v>
      </c>
      <c r="K10" s="78"/>
      <c r="L10" s="76">
        <v>0.79100000000000004</v>
      </c>
      <c r="M10" s="76">
        <v>31.03</v>
      </c>
      <c r="N10" s="76">
        <v>3.96</v>
      </c>
      <c r="O10" s="76">
        <v>0.38100000000000001</v>
      </c>
      <c r="P10" s="76"/>
      <c r="Q10" s="76">
        <f t="shared" si="2"/>
        <v>1.87</v>
      </c>
      <c r="R10" s="78">
        <f t="shared" si="0"/>
        <v>64.49199999999999</v>
      </c>
      <c r="S10" s="78"/>
      <c r="T10" s="78"/>
      <c r="V10" s="28" t="s">
        <v>195</v>
      </c>
      <c r="W10" s="28">
        <v>2</v>
      </c>
      <c r="X10" s="28">
        <v>2.3199999999999998</v>
      </c>
      <c r="Y10" s="28">
        <v>2.59</v>
      </c>
      <c r="Z10" s="28">
        <f t="shared" si="1"/>
        <v>4.32</v>
      </c>
      <c r="AA10" s="28"/>
    </row>
    <row r="11" spans="1:27" ht="15.75" customHeight="1">
      <c r="A11" s="70"/>
      <c r="B11" s="70"/>
      <c r="C11" s="70">
        <v>2</v>
      </c>
      <c r="D11" s="70" t="s">
        <v>39</v>
      </c>
      <c r="E11" s="76">
        <v>5.81</v>
      </c>
      <c r="F11" s="78"/>
      <c r="G11" s="78"/>
      <c r="H11" s="76">
        <v>23.25</v>
      </c>
      <c r="I11" s="76">
        <v>4.58</v>
      </c>
      <c r="J11" s="76">
        <v>6.9</v>
      </c>
      <c r="K11" s="76">
        <v>1.79</v>
      </c>
      <c r="L11" s="76">
        <v>4.88</v>
      </c>
      <c r="M11" s="76">
        <v>18.32</v>
      </c>
      <c r="N11" s="76">
        <v>3.59</v>
      </c>
      <c r="O11" s="78"/>
      <c r="P11" s="78"/>
      <c r="Q11" s="78"/>
      <c r="R11" s="78">
        <f t="shared" si="0"/>
        <v>69.12</v>
      </c>
      <c r="S11" s="78"/>
      <c r="T11" s="78"/>
      <c r="V11" s="28" t="s">
        <v>195</v>
      </c>
      <c r="W11" s="28">
        <v>2.98</v>
      </c>
      <c r="X11" s="28">
        <v>1.73</v>
      </c>
      <c r="Y11" s="28">
        <v>4.26</v>
      </c>
      <c r="Z11" s="28">
        <f t="shared" si="1"/>
        <v>4.71</v>
      </c>
      <c r="AA11" s="28"/>
    </row>
    <row r="12" spans="1:27" ht="15.75" customHeight="1">
      <c r="A12" s="70"/>
      <c r="B12" s="70"/>
      <c r="C12" s="70">
        <v>2</v>
      </c>
      <c r="D12" s="70" t="s">
        <v>97</v>
      </c>
      <c r="E12" s="78"/>
      <c r="F12" s="78"/>
      <c r="G12" s="78"/>
      <c r="H12" s="76">
        <v>16.36</v>
      </c>
      <c r="I12" s="76">
        <v>4.88</v>
      </c>
      <c r="J12" s="76">
        <v>5.69</v>
      </c>
      <c r="K12" s="76">
        <v>0.24399999999999999</v>
      </c>
      <c r="L12" s="76">
        <v>12.55</v>
      </c>
      <c r="M12" s="76">
        <v>25.41</v>
      </c>
      <c r="N12" s="76">
        <v>1.8</v>
      </c>
      <c r="O12" s="76">
        <v>0.42399999999999999</v>
      </c>
      <c r="P12" s="78"/>
      <c r="Q12" s="78"/>
      <c r="R12" s="78">
        <f t="shared" si="0"/>
        <v>67.358000000000004</v>
      </c>
      <c r="S12" s="78"/>
      <c r="T12" s="78"/>
      <c r="V12" s="28" t="s">
        <v>195</v>
      </c>
      <c r="W12" s="28">
        <v>4.16</v>
      </c>
      <c r="X12" s="28">
        <v>2.67</v>
      </c>
      <c r="Y12" s="28">
        <v>3.85</v>
      </c>
      <c r="Z12" s="28">
        <f t="shared" si="1"/>
        <v>6.83</v>
      </c>
      <c r="AA12" s="28">
        <f>SUM(Z8:Z12)/5</f>
        <v>6.016</v>
      </c>
    </row>
    <row r="13" spans="1:27" ht="15.75" customHeight="1">
      <c r="A13" s="70"/>
      <c r="B13" s="70"/>
      <c r="C13" s="70">
        <v>3</v>
      </c>
      <c r="D13" s="70" t="s">
        <v>94</v>
      </c>
      <c r="E13" s="78"/>
      <c r="F13" s="78"/>
      <c r="G13" s="78"/>
      <c r="H13" s="76">
        <f>SUM(38.35-E225)</f>
        <v>23.97</v>
      </c>
      <c r="I13" s="76">
        <f>SUM(9.765-D225)</f>
        <v>2.4250000000000007</v>
      </c>
      <c r="J13" s="76">
        <f>SUM(9.91-D225)</f>
        <v>2.5700000000000003</v>
      </c>
      <c r="K13" s="76">
        <f>SUM(1.97-B225)</f>
        <v>0.22999999999999998</v>
      </c>
      <c r="L13" s="76">
        <f>SUM(3.21-C225)</f>
        <v>0.35999999999999988</v>
      </c>
      <c r="M13" s="76">
        <f>SUM(27.83-E225)</f>
        <v>13.449999999999998</v>
      </c>
      <c r="N13" s="76">
        <f>SUM(10.94-D225)</f>
        <v>3.5999999999999996</v>
      </c>
      <c r="O13" s="76">
        <f>SUM(2.96-B225)</f>
        <v>1.22</v>
      </c>
      <c r="P13" s="76"/>
      <c r="Q13" s="76">
        <f>SUM(2.04-B225)</f>
        <v>0.30000000000000004</v>
      </c>
      <c r="R13" s="78">
        <f t="shared" si="0"/>
        <v>47.824999999999996</v>
      </c>
      <c r="S13" s="78">
        <f>AVERAGE(R13:R17)</f>
        <v>57.784999999999989</v>
      </c>
      <c r="T13" s="76" t="s">
        <v>149</v>
      </c>
      <c r="U13" s="28"/>
      <c r="V13" s="28" t="s">
        <v>195</v>
      </c>
      <c r="W13" s="28">
        <v>6.95</v>
      </c>
      <c r="X13" s="82"/>
      <c r="Y13" s="28">
        <v>6.44</v>
      </c>
      <c r="Z13" s="28">
        <f t="shared" si="1"/>
        <v>6.95</v>
      </c>
      <c r="AA13" s="28"/>
    </row>
    <row r="14" spans="1:27" ht="15.75" customHeight="1">
      <c r="A14" s="70"/>
      <c r="B14" s="70"/>
      <c r="C14" s="70">
        <v>3</v>
      </c>
      <c r="D14" s="70" t="s">
        <v>95</v>
      </c>
      <c r="E14" s="76">
        <f>SUM(3.05-C225)</f>
        <v>0.19999999999999973</v>
      </c>
      <c r="F14" s="78"/>
      <c r="G14" s="78"/>
      <c r="H14" s="76">
        <v>7.34</v>
      </c>
      <c r="I14" s="76">
        <v>3.97</v>
      </c>
      <c r="J14" s="76">
        <f>SUM(4.12-C225)</f>
        <v>1.27</v>
      </c>
      <c r="K14" s="76">
        <f>SUM(4.29-C225)</f>
        <v>1.44</v>
      </c>
      <c r="L14" s="76">
        <f>SUM(3.18-C225)</f>
        <v>0.33000000000000007</v>
      </c>
      <c r="M14" s="76">
        <v>29.95</v>
      </c>
      <c r="N14" s="76">
        <v>9.36</v>
      </c>
      <c r="O14" s="76">
        <f>SUM(6.65-C225)</f>
        <v>3.8000000000000003</v>
      </c>
      <c r="P14" s="78"/>
      <c r="Q14" s="78"/>
      <c r="R14" s="78">
        <f t="shared" si="0"/>
        <v>57.66</v>
      </c>
      <c r="S14" s="78"/>
      <c r="T14" s="78"/>
      <c r="V14" s="28" t="s">
        <v>195</v>
      </c>
      <c r="W14" s="28">
        <v>3.11</v>
      </c>
      <c r="X14" s="28">
        <v>1.0900000000000001</v>
      </c>
      <c r="Y14" s="28">
        <v>4.0999999999999996</v>
      </c>
      <c r="Z14" s="28">
        <f t="shared" si="1"/>
        <v>4.2</v>
      </c>
      <c r="AA14" s="28"/>
    </row>
    <row r="15" spans="1:27" ht="15.75" customHeight="1">
      <c r="A15" s="70"/>
      <c r="B15" s="70"/>
      <c r="C15" s="70">
        <v>3</v>
      </c>
      <c r="D15" s="70" t="s">
        <v>96</v>
      </c>
      <c r="E15" s="78"/>
      <c r="F15" s="78"/>
      <c r="G15" s="78"/>
      <c r="H15" s="76">
        <v>14.66</v>
      </c>
      <c r="I15" s="76">
        <v>3.44</v>
      </c>
      <c r="J15" s="76">
        <f>SUM(5.23-C225)</f>
        <v>2.3800000000000003</v>
      </c>
      <c r="K15" s="76">
        <v>1.98</v>
      </c>
      <c r="L15" s="78"/>
      <c r="M15" s="76">
        <v>33.4</v>
      </c>
      <c r="N15" s="76">
        <v>5.5</v>
      </c>
      <c r="O15" s="76">
        <f>SUM(4.09-C225)</f>
        <v>1.2399999999999998</v>
      </c>
      <c r="P15" s="78"/>
      <c r="Q15" s="78"/>
      <c r="R15" s="78">
        <f t="shared" si="0"/>
        <v>62.6</v>
      </c>
      <c r="S15" s="78"/>
      <c r="T15" s="78"/>
      <c r="V15" s="28" t="s">
        <v>195</v>
      </c>
      <c r="W15" s="28">
        <v>18.55</v>
      </c>
      <c r="X15" s="28">
        <v>1.28</v>
      </c>
      <c r="Y15" s="28">
        <v>4.3499999999999996</v>
      </c>
      <c r="Z15" s="28">
        <f t="shared" si="1"/>
        <v>19.830000000000002</v>
      </c>
      <c r="AA15" s="28"/>
    </row>
    <row r="16" spans="1:27" ht="15" customHeight="1">
      <c r="A16" s="70"/>
      <c r="B16" s="70"/>
      <c r="C16" s="70">
        <v>3</v>
      </c>
      <c r="D16" s="70" t="s">
        <v>39</v>
      </c>
      <c r="E16" s="76">
        <f>SUM(3.31-C225)</f>
        <v>0.45999999999999996</v>
      </c>
      <c r="F16" s="78"/>
      <c r="G16" s="78"/>
      <c r="H16" s="76">
        <v>12.32</v>
      </c>
      <c r="I16" s="76">
        <v>6.31</v>
      </c>
      <c r="J16" s="76">
        <f>SUM(5.86-C225)</f>
        <v>3.0100000000000002</v>
      </c>
      <c r="K16" s="76">
        <f>SUM(3.01-C225)</f>
        <v>0.1599999999999997</v>
      </c>
      <c r="L16" s="76">
        <f>SUM(3.31-C225)</f>
        <v>0.45999999999999996</v>
      </c>
      <c r="M16" s="76">
        <v>34.92</v>
      </c>
      <c r="N16" s="76">
        <v>3.67</v>
      </c>
      <c r="O16" s="76">
        <f>SUM(4.29-C225)</f>
        <v>1.44</v>
      </c>
      <c r="P16" s="78"/>
      <c r="Q16" s="78"/>
      <c r="R16" s="78">
        <f t="shared" si="0"/>
        <v>62.75</v>
      </c>
      <c r="S16" s="78"/>
      <c r="T16" s="78"/>
      <c r="V16" s="28" t="s">
        <v>195</v>
      </c>
      <c r="W16" s="28">
        <v>0.9</v>
      </c>
      <c r="X16" s="28">
        <v>0.64</v>
      </c>
      <c r="Y16" s="28">
        <v>3.88</v>
      </c>
      <c r="Z16" s="28">
        <f t="shared" si="1"/>
        <v>1.54</v>
      </c>
      <c r="AA16" s="28"/>
    </row>
    <row r="17" spans="1:27" ht="16.5" customHeight="1">
      <c r="A17" s="70"/>
      <c r="B17" s="70"/>
      <c r="C17" s="70">
        <v>3</v>
      </c>
      <c r="D17" s="70" t="s">
        <v>97</v>
      </c>
      <c r="E17" s="78"/>
      <c r="F17" s="78"/>
      <c r="G17" s="78"/>
      <c r="H17" s="76">
        <v>15.23</v>
      </c>
      <c r="I17" s="78"/>
      <c r="J17" s="76">
        <v>1.65</v>
      </c>
      <c r="K17" s="76">
        <v>1.18</v>
      </c>
      <c r="L17" s="76" t="s">
        <v>200</v>
      </c>
      <c r="M17" s="76">
        <v>30.38</v>
      </c>
      <c r="N17" s="76">
        <v>9.65</v>
      </c>
      <c r="O17" s="78"/>
      <c r="P17" s="78"/>
      <c r="Q17" s="78"/>
      <c r="R17" s="78">
        <f t="shared" si="0"/>
        <v>58.089999999999996</v>
      </c>
      <c r="S17" s="78"/>
      <c r="T17" s="78"/>
      <c r="V17" s="28" t="s">
        <v>195</v>
      </c>
      <c r="W17" s="80"/>
      <c r="X17" s="80"/>
      <c r="Y17" s="28">
        <v>2.63</v>
      </c>
      <c r="Z17" s="28">
        <f t="shared" si="1"/>
        <v>0</v>
      </c>
      <c r="AA17" s="28">
        <f>SUM(Z13:Z17)/5</f>
        <v>6.5040000000000004</v>
      </c>
    </row>
    <row r="18" spans="1:27" ht="15.75" customHeight="1">
      <c r="A18" s="70"/>
      <c r="B18" s="70"/>
      <c r="C18" s="70">
        <v>4</v>
      </c>
      <c r="D18" s="70" t="s">
        <v>94</v>
      </c>
      <c r="E18" s="78"/>
      <c r="F18" s="78"/>
      <c r="G18" s="78"/>
      <c r="H18" s="76">
        <v>15.1</v>
      </c>
      <c r="I18" s="76">
        <v>2.411</v>
      </c>
      <c r="J18" s="76">
        <v>4.3310000000000004</v>
      </c>
      <c r="K18" s="78"/>
      <c r="L18" s="76">
        <f>SUM(3.23-C225)</f>
        <v>0.37999999999999989</v>
      </c>
      <c r="M18" s="76">
        <v>56.59</v>
      </c>
      <c r="N18" s="76">
        <v>3.9510000000000001</v>
      </c>
      <c r="O18" s="76">
        <f>SUM(5.81-C225)</f>
        <v>2.9599999999999995</v>
      </c>
      <c r="P18" s="78"/>
      <c r="Q18" s="78"/>
      <c r="R18" s="78">
        <f t="shared" si="0"/>
        <v>85.722999999999985</v>
      </c>
      <c r="S18" s="78">
        <f>AVERAGE(R18:R22)</f>
        <v>78.811250000000001</v>
      </c>
      <c r="T18" s="76" t="s">
        <v>87</v>
      </c>
      <c r="U18" s="28"/>
      <c r="V18" s="28" t="s">
        <v>195</v>
      </c>
      <c r="W18" s="28">
        <v>2.75</v>
      </c>
      <c r="X18" s="28">
        <v>2.02</v>
      </c>
      <c r="Y18" s="28">
        <v>4.03</v>
      </c>
      <c r="Z18" s="28">
        <f t="shared" si="1"/>
        <v>4.7699999999999996</v>
      </c>
      <c r="AA18" s="28"/>
    </row>
    <row r="19" spans="1:27" ht="15.75" customHeight="1">
      <c r="A19" s="70"/>
      <c r="B19" s="70"/>
      <c r="C19" s="70">
        <v>4</v>
      </c>
      <c r="D19" s="70" t="s">
        <v>95</v>
      </c>
      <c r="E19" s="78"/>
      <c r="F19" s="78"/>
      <c r="G19" s="78"/>
      <c r="H19" s="76">
        <v>12.05</v>
      </c>
      <c r="I19" s="76">
        <v>6.13</v>
      </c>
      <c r="J19" s="76">
        <v>7.02</v>
      </c>
      <c r="K19" s="76">
        <v>2.5499999999999998</v>
      </c>
      <c r="L19" s="78"/>
      <c r="M19" s="76">
        <v>34.79</v>
      </c>
      <c r="N19" s="78"/>
      <c r="O19" s="78"/>
      <c r="P19" s="78"/>
      <c r="Q19" s="78"/>
      <c r="R19" s="78">
        <f t="shared" si="0"/>
        <v>62.54</v>
      </c>
      <c r="S19" s="78"/>
      <c r="T19" s="78"/>
      <c r="V19" s="28" t="s">
        <v>195</v>
      </c>
      <c r="W19" s="28">
        <v>3.02</v>
      </c>
      <c r="X19" s="28">
        <v>4.01</v>
      </c>
      <c r="Y19" s="28">
        <v>1.42</v>
      </c>
      <c r="Z19" s="28">
        <f t="shared" si="1"/>
        <v>7.0299999999999994</v>
      </c>
      <c r="AA19" s="28"/>
    </row>
    <row r="20" spans="1:27" ht="15.75" customHeight="1">
      <c r="A20" s="70"/>
      <c r="B20" s="70"/>
      <c r="C20" s="70">
        <v>4</v>
      </c>
      <c r="D20" s="70" t="s">
        <v>96</v>
      </c>
      <c r="E20" s="76" t="s">
        <v>203</v>
      </c>
      <c r="F20" s="78"/>
      <c r="G20" s="78"/>
      <c r="H20" s="78"/>
      <c r="I20" s="78"/>
      <c r="J20" s="78"/>
      <c r="K20" s="78"/>
      <c r="L20" s="78"/>
      <c r="M20" s="78"/>
      <c r="N20" s="78"/>
      <c r="O20" s="78"/>
      <c r="P20" s="78"/>
      <c r="Q20" s="78"/>
      <c r="R20" s="78"/>
      <c r="S20" s="78"/>
      <c r="T20" s="78"/>
      <c r="V20" s="28" t="s">
        <v>195</v>
      </c>
      <c r="W20" s="28">
        <v>3.96</v>
      </c>
      <c r="X20" s="28">
        <v>2.46</v>
      </c>
      <c r="Y20" s="28">
        <v>2.2000000000000002</v>
      </c>
      <c r="Z20" s="28">
        <f t="shared" si="1"/>
        <v>6.42</v>
      </c>
      <c r="AA20" s="28"/>
    </row>
    <row r="21" spans="1:27" ht="15.75" customHeight="1">
      <c r="A21" s="70"/>
      <c r="B21" s="70"/>
      <c r="C21" s="70">
        <v>4</v>
      </c>
      <c r="D21" s="70" t="s">
        <v>39</v>
      </c>
      <c r="E21" s="78"/>
      <c r="F21" s="78"/>
      <c r="G21" s="78"/>
      <c r="H21" s="76">
        <v>9.36</v>
      </c>
      <c r="I21" s="76">
        <v>3.4609999999999999</v>
      </c>
      <c r="J21" s="76">
        <v>8.7609999999999992</v>
      </c>
      <c r="K21" s="78"/>
      <c r="L21" s="76">
        <v>4.3710000000000004</v>
      </c>
      <c r="M21" s="76">
        <v>31.37</v>
      </c>
      <c r="N21" s="76">
        <v>6.7510000000000003</v>
      </c>
      <c r="O21" s="76">
        <f>SUM(4.85-C225)</f>
        <v>1.9999999999999996</v>
      </c>
      <c r="P21" s="78"/>
      <c r="Q21" s="78"/>
      <c r="R21" s="78">
        <f t="shared" ref="R21:R38" si="3">SUM(E21:P21)</f>
        <v>66.074000000000012</v>
      </c>
      <c r="S21" s="78"/>
      <c r="T21" s="78"/>
      <c r="V21" s="28" t="s">
        <v>195</v>
      </c>
      <c r="W21" s="28">
        <v>4.74</v>
      </c>
      <c r="X21" s="28">
        <v>3.81</v>
      </c>
      <c r="Y21" s="28">
        <v>2.25</v>
      </c>
      <c r="Z21" s="28">
        <f t="shared" si="1"/>
        <v>8.5500000000000007</v>
      </c>
      <c r="AA21" s="28"/>
    </row>
    <row r="22" spans="1:27" ht="15.75" customHeight="1">
      <c r="A22" s="70"/>
      <c r="B22" s="70"/>
      <c r="C22" s="70">
        <v>4</v>
      </c>
      <c r="D22" s="70" t="s">
        <v>97</v>
      </c>
      <c r="E22" s="76">
        <v>0.214</v>
      </c>
      <c r="F22" s="78"/>
      <c r="G22" s="78"/>
      <c r="H22" s="76">
        <v>46.34</v>
      </c>
      <c r="I22" s="76">
        <v>8.8699999999999992</v>
      </c>
      <c r="J22" s="76">
        <v>7.12</v>
      </c>
      <c r="K22" s="78"/>
      <c r="L22" s="78"/>
      <c r="M22" s="76">
        <v>34.74</v>
      </c>
      <c r="N22" s="76">
        <v>2.52</v>
      </c>
      <c r="O22" s="76">
        <v>1.1040000000000001</v>
      </c>
      <c r="P22" s="78"/>
      <c r="Q22" s="78"/>
      <c r="R22" s="78">
        <f t="shared" si="3"/>
        <v>100.90799999999999</v>
      </c>
      <c r="S22" s="78"/>
      <c r="T22" s="78"/>
      <c r="V22" s="28" t="s">
        <v>195</v>
      </c>
      <c r="W22" s="28">
        <v>7.11</v>
      </c>
      <c r="X22" s="28">
        <v>1.03</v>
      </c>
      <c r="Y22" s="28">
        <v>5.59</v>
      </c>
      <c r="Z22" s="28">
        <f t="shared" si="1"/>
        <v>8.14</v>
      </c>
      <c r="AA22" s="28">
        <f>SUM(Z18:Z22)/5</f>
        <v>6.9819999999999993</v>
      </c>
    </row>
    <row r="23" spans="1:27" ht="15.75" customHeight="1">
      <c r="A23" s="70" t="s">
        <v>37</v>
      </c>
      <c r="B23" s="70" t="s">
        <v>77</v>
      </c>
      <c r="C23" s="70">
        <v>1</v>
      </c>
      <c r="D23" s="70" t="s">
        <v>94</v>
      </c>
      <c r="E23" s="78"/>
      <c r="F23" s="78"/>
      <c r="G23" s="78"/>
      <c r="H23" s="76">
        <v>14.45</v>
      </c>
      <c r="I23" s="76">
        <v>7.36</v>
      </c>
      <c r="J23" s="76">
        <v>7.47</v>
      </c>
      <c r="K23" s="78"/>
      <c r="L23" s="78"/>
      <c r="M23" s="76">
        <v>7.51</v>
      </c>
      <c r="N23" s="76">
        <v>7.58</v>
      </c>
      <c r="O23" s="78"/>
      <c r="P23" s="78"/>
      <c r="Q23" s="78"/>
      <c r="R23" s="78">
        <f t="shared" si="3"/>
        <v>44.37</v>
      </c>
      <c r="S23" s="78">
        <f>AVERAGE(R23:R27)</f>
        <v>55.998000000000005</v>
      </c>
      <c r="T23" s="76" t="s">
        <v>87</v>
      </c>
      <c r="U23" s="28"/>
      <c r="V23" s="28" t="s">
        <v>195</v>
      </c>
      <c r="W23" s="28">
        <v>5.97</v>
      </c>
      <c r="X23" s="28">
        <v>10.63</v>
      </c>
      <c r="Y23" s="28">
        <v>1.33</v>
      </c>
      <c r="Z23" s="28">
        <f t="shared" si="1"/>
        <v>16.600000000000001</v>
      </c>
      <c r="AA23" s="28"/>
    </row>
    <row r="24" spans="1:27" ht="15.75" customHeight="1">
      <c r="A24" s="70"/>
      <c r="B24" s="70"/>
      <c r="C24" s="70">
        <v>1</v>
      </c>
      <c r="D24" s="70" t="s">
        <v>95</v>
      </c>
      <c r="E24" s="78"/>
      <c r="F24" s="78"/>
      <c r="G24" s="78"/>
      <c r="H24" s="76">
        <v>31.51</v>
      </c>
      <c r="I24" s="76">
        <v>5.31</v>
      </c>
      <c r="J24" s="76">
        <v>8.3800000000000008</v>
      </c>
      <c r="K24" s="78"/>
      <c r="L24" s="78"/>
      <c r="M24" s="76">
        <v>10.92</v>
      </c>
      <c r="N24" s="76">
        <v>8.4</v>
      </c>
      <c r="O24" s="76">
        <v>0.38</v>
      </c>
      <c r="P24" s="78"/>
      <c r="Q24" s="78"/>
      <c r="R24" s="78">
        <f t="shared" si="3"/>
        <v>64.900000000000006</v>
      </c>
      <c r="S24" s="76" t="s">
        <v>204</v>
      </c>
      <c r="T24" s="78"/>
      <c r="V24" s="28" t="s">
        <v>195</v>
      </c>
      <c r="W24" s="28">
        <v>7.26</v>
      </c>
      <c r="X24" s="28">
        <v>4.1500000000000004</v>
      </c>
      <c r="Y24" s="28">
        <v>1.46</v>
      </c>
      <c r="Z24" s="28">
        <f t="shared" si="1"/>
        <v>11.41</v>
      </c>
      <c r="AA24" s="28"/>
    </row>
    <row r="25" spans="1:27" ht="15.75" customHeight="1">
      <c r="A25" s="70"/>
      <c r="B25" s="70"/>
      <c r="C25" s="70">
        <v>1</v>
      </c>
      <c r="D25" s="70" t="s">
        <v>96</v>
      </c>
      <c r="E25" s="78"/>
      <c r="F25" s="78"/>
      <c r="G25" s="78"/>
      <c r="H25" s="76">
        <v>27.32</v>
      </c>
      <c r="I25" s="76">
        <v>1.44</v>
      </c>
      <c r="J25" s="76">
        <v>26.25</v>
      </c>
      <c r="K25" s="78"/>
      <c r="L25" s="76">
        <v>3.88</v>
      </c>
      <c r="M25" s="76">
        <v>7.86</v>
      </c>
      <c r="N25" s="76">
        <v>1.04</v>
      </c>
      <c r="O25" s="76">
        <v>0.4</v>
      </c>
      <c r="P25" s="78"/>
      <c r="Q25" s="78"/>
      <c r="R25" s="78">
        <f t="shared" si="3"/>
        <v>68.190000000000026</v>
      </c>
      <c r="S25" s="78"/>
      <c r="T25" s="78"/>
      <c r="V25" s="28" t="s">
        <v>195</v>
      </c>
      <c r="W25" s="28">
        <v>0.41</v>
      </c>
      <c r="X25" s="28">
        <v>3.49</v>
      </c>
      <c r="Y25" s="28">
        <v>0.3</v>
      </c>
      <c r="Z25" s="28">
        <f t="shared" si="1"/>
        <v>3.9000000000000004</v>
      </c>
      <c r="AA25" s="28"/>
    </row>
    <row r="26" spans="1:27" ht="15.75" customHeight="1">
      <c r="A26" s="70"/>
      <c r="B26" s="70"/>
      <c r="C26" s="70">
        <v>1</v>
      </c>
      <c r="D26" s="70" t="s">
        <v>39</v>
      </c>
      <c r="E26" s="78"/>
      <c r="F26" s="78"/>
      <c r="G26" s="78"/>
      <c r="H26" s="76">
        <v>22.5</v>
      </c>
      <c r="I26" s="76">
        <v>1.26</v>
      </c>
      <c r="J26" s="76">
        <v>22.6</v>
      </c>
      <c r="K26" s="78"/>
      <c r="L26" s="78"/>
      <c r="M26" s="76">
        <v>4.18</v>
      </c>
      <c r="N26" s="76">
        <v>1.93</v>
      </c>
      <c r="O26" s="76">
        <v>1.32</v>
      </c>
      <c r="P26" s="76"/>
      <c r="Q26" s="76">
        <v>0.14000000000000001</v>
      </c>
      <c r="R26" s="78">
        <f t="shared" si="3"/>
        <v>53.79</v>
      </c>
      <c r="S26" s="78"/>
      <c r="T26" s="78"/>
      <c r="V26" s="28" t="s">
        <v>195</v>
      </c>
      <c r="W26" s="28">
        <v>8.8000000000000007</v>
      </c>
      <c r="X26" s="28">
        <v>4.87</v>
      </c>
      <c r="Y26" s="28">
        <v>1.21</v>
      </c>
      <c r="Z26" s="28">
        <f t="shared" si="1"/>
        <v>13.670000000000002</v>
      </c>
      <c r="AA26" s="28"/>
    </row>
    <row r="27" spans="1:27" ht="15.75" customHeight="1">
      <c r="A27" s="70"/>
      <c r="B27" s="70"/>
      <c r="C27" s="70">
        <v>1</v>
      </c>
      <c r="D27" s="70" t="s">
        <v>97</v>
      </c>
      <c r="E27" s="78"/>
      <c r="F27" s="78"/>
      <c r="G27" s="78"/>
      <c r="H27" s="76">
        <v>37.020000000000003</v>
      </c>
      <c r="I27" s="76">
        <v>1.44</v>
      </c>
      <c r="J27" s="76">
        <v>5.48</v>
      </c>
      <c r="K27" s="76">
        <v>0.1</v>
      </c>
      <c r="L27" s="76">
        <v>0.45</v>
      </c>
      <c r="M27" s="76">
        <v>3.47</v>
      </c>
      <c r="N27" s="76">
        <v>0.34</v>
      </c>
      <c r="O27" s="76">
        <v>0.44</v>
      </c>
      <c r="P27" s="76"/>
      <c r="Q27" s="76">
        <v>0.35</v>
      </c>
      <c r="R27" s="78">
        <f t="shared" si="3"/>
        <v>48.74</v>
      </c>
      <c r="S27" s="78"/>
      <c r="T27" s="78"/>
      <c r="V27" s="28" t="s">
        <v>195</v>
      </c>
      <c r="W27" s="28">
        <v>12.57</v>
      </c>
      <c r="X27" s="28">
        <v>4.09</v>
      </c>
      <c r="Y27" s="28">
        <v>1.3</v>
      </c>
      <c r="Z27" s="28">
        <f t="shared" si="1"/>
        <v>16.66</v>
      </c>
      <c r="AA27" s="28">
        <f>SUM(Z23:Z27)/5</f>
        <v>12.448000000000002</v>
      </c>
    </row>
    <row r="28" spans="1:27" ht="15.75" customHeight="1">
      <c r="A28" s="70"/>
      <c r="B28" s="70"/>
      <c r="C28" s="70">
        <v>2</v>
      </c>
      <c r="D28" s="70" t="s">
        <v>94</v>
      </c>
      <c r="E28" s="78"/>
      <c r="F28" s="78"/>
      <c r="G28" s="78"/>
      <c r="H28" s="76">
        <v>14.41</v>
      </c>
      <c r="I28" s="76">
        <v>3.09</v>
      </c>
      <c r="J28" s="76">
        <v>41.54</v>
      </c>
      <c r="K28" s="78"/>
      <c r="L28" s="78"/>
      <c r="M28" s="76">
        <v>3.03</v>
      </c>
      <c r="N28" s="76">
        <v>1.39</v>
      </c>
      <c r="O28" s="76">
        <v>0.37</v>
      </c>
      <c r="P28" s="78"/>
      <c r="Q28" s="78"/>
      <c r="R28" s="78">
        <f t="shared" si="3"/>
        <v>63.83</v>
      </c>
      <c r="S28" s="78">
        <f>AVERAGE(R28:R32)</f>
        <v>72.102000000000004</v>
      </c>
      <c r="T28" s="76" t="s">
        <v>149</v>
      </c>
      <c r="U28" s="28"/>
      <c r="V28" s="28" t="s">
        <v>195</v>
      </c>
      <c r="W28" s="28">
        <v>1.06</v>
      </c>
      <c r="X28" s="28">
        <v>3.35</v>
      </c>
      <c r="Y28" s="28">
        <v>1.03</v>
      </c>
      <c r="Z28" s="28">
        <f t="shared" si="1"/>
        <v>4.41</v>
      </c>
      <c r="AA28" s="28"/>
    </row>
    <row r="29" spans="1:27" ht="15.75" customHeight="1">
      <c r="A29" s="70"/>
      <c r="B29" s="70"/>
      <c r="C29" s="70">
        <v>2</v>
      </c>
      <c r="D29" s="70" t="s">
        <v>95</v>
      </c>
      <c r="E29" s="78"/>
      <c r="F29" s="78"/>
      <c r="G29" s="78"/>
      <c r="H29" s="76">
        <v>31.4</v>
      </c>
      <c r="I29" s="78"/>
      <c r="J29" s="76">
        <v>25.6</v>
      </c>
      <c r="K29" s="76">
        <v>8.6</v>
      </c>
      <c r="L29" s="78"/>
      <c r="M29" s="76">
        <v>13.8</v>
      </c>
      <c r="N29" s="78"/>
      <c r="O29" s="78"/>
      <c r="P29" s="78"/>
      <c r="Q29" s="78"/>
      <c r="R29" s="78">
        <f t="shared" si="3"/>
        <v>79.399999999999991</v>
      </c>
      <c r="S29" s="78"/>
      <c r="T29" s="78"/>
      <c r="V29" s="28" t="s">
        <v>195</v>
      </c>
      <c r="W29" s="28">
        <v>24.49</v>
      </c>
      <c r="X29" s="28">
        <v>3.83</v>
      </c>
      <c r="Y29" s="28">
        <v>1.24</v>
      </c>
      <c r="Z29" s="28">
        <f t="shared" si="1"/>
        <v>28.32</v>
      </c>
      <c r="AA29" s="28"/>
    </row>
    <row r="30" spans="1:27" ht="15.75" customHeight="1">
      <c r="A30" s="70"/>
      <c r="B30" s="70"/>
      <c r="C30" s="70">
        <v>2</v>
      </c>
      <c r="D30" s="70" t="s">
        <v>96</v>
      </c>
      <c r="E30" s="78"/>
      <c r="F30" s="78"/>
      <c r="G30" s="78"/>
      <c r="H30" s="76">
        <v>8</v>
      </c>
      <c r="I30" s="76">
        <v>6.87</v>
      </c>
      <c r="J30" s="76">
        <v>47.22</v>
      </c>
      <c r="K30" s="78"/>
      <c r="L30" s="76">
        <v>0.59</v>
      </c>
      <c r="M30" s="76">
        <v>14.31</v>
      </c>
      <c r="N30" s="76">
        <v>4.05</v>
      </c>
      <c r="O30" s="76">
        <v>0.23</v>
      </c>
      <c r="P30" s="78"/>
      <c r="Q30" s="78"/>
      <c r="R30" s="78">
        <f t="shared" si="3"/>
        <v>81.27000000000001</v>
      </c>
      <c r="S30" s="78"/>
      <c r="T30" s="78"/>
      <c r="V30" s="28" t="s">
        <v>195</v>
      </c>
      <c r="W30" s="28">
        <v>8.1300000000000008</v>
      </c>
      <c r="X30" s="28">
        <v>4.6500000000000004</v>
      </c>
      <c r="Y30" s="28">
        <v>3.75</v>
      </c>
      <c r="Z30" s="28">
        <f t="shared" si="1"/>
        <v>12.780000000000001</v>
      </c>
      <c r="AA30" s="28"/>
    </row>
    <row r="31" spans="1:27" ht="15.75" customHeight="1">
      <c r="A31" s="70"/>
      <c r="B31" s="70"/>
      <c r="C31" s="70">
        <v>2</v>
      </c>
      <c r="D31" s="70" t="s">
        <v>39</v>
      </c>
      <c r="E31" s="78"/>
      <c r="F31" s="78"/>
      <c r="G31" s="78"/>
      <c r="H31" s="76">
        <v>12.61</v>
      </c>
      <c r="I31" s="76">
        <v>19.02</v>
      </c>
      <c r="J31" s="76">
        <v>14.1</v>
      </c>
      <c r="K31" s="78"/>
      <c r="L31" s="76">
        <v>0.5</v>
      </c>
      <c r="M31" s="76">
        <v>22.05</v>
      </c>
      <c r="N31" s="76">
        <v>6.65</v>
      </c>
      <c r="O31" s="76">
        <v>7.0000000000000007E-2</v>
      </c>
      <c r="P31" s="76"/>
      <c r="Q31" s="76">
        <v>7.0000000000000007E-2</v>
      </c>
      <c r="R31" s="78">
        <f t="shared" si="3"/>
        <v>75</v>
      </c>
      <c r="S31" s="78"/>
      <c r="T31" s="78"/>
      <c r="V31" s="28" t="s">
        <v>195</v>
      </c>
      <c r="W31" s="28">
        <v>19.07</v>
      </c>
      <c r="X31" s="28">
        <v>4.8099999999999996</v>
      </c>
      <c r="Y31" s="28">
        <v>3.03</v>
      </c>
      <c r="Z31" s="28">
        <f t="shared" si="1"/>
        <v>23.88</v>
      </c>
      <c r="AA31" s="28"/>
    </row>
    <row r="32" spans="1:27" ht="15.75" customHeight="1">
      <c r="A32" s="70"/>
      <c r="B32" s="70"/>
      <c r="C32" s="70">
        <v>2</v>
      </c>
      <c r="D32" s="70" t="s">
        <v>97</v>
      </c>
      <c r="E32" s="78"/>
      <c r="F32" s="78"/>
      <c r="G32" s="78"/>
      <c r="H32" s="76">
        <v>34.72</v>
      </c>
      <c r="I32" s="76">
        <v>3.62</v>
      </c>
      <c r="J32" s="76">
        <v>3.92</v>
      </c>
      <c r="K32" s="78"/>
      <c r="L32" s="81">
        <v>12.43</v>
      </c>
      <c r="M32" s="76"/>
      <c r="N32" s="76">
        <v>3.16</v>
      </c>
      <c r="O32" s="76">
        <v>3.16</v>
      </c>
      <c r="P32" s="76"/>
      <c r="Q32" s="76">
        <v>2.4500000000000002</v>
      </c>
      <c r="R32" s="78">
        <f t="shared" si="3"/>
        <v>61.009999999999991</v>
      </c>
      <c r="S32" s="78"/>
      <c r="T32" s="78"/>
      <c r="V32" s="28" t="s">
        <v>195</v>
      </c>
      <c r="W32" s="28">
        <v>10.91</v>
      </c>
      <c r="X32" s="28">
        <v>4.87</v>
      </c>
      <c r="Y32" s="28">
        <v>4.1500000000000004</v>
      </c>
      <c r="Z32" s="28">
        <f t="shared" si="1"/>
        <v>15.780000000000001</v>
      </c>
      <c r="AA32" s="28">
        <f>SUM(Z28:Z32)/5</f>
        <v>17.033999999999999</v>
      </c>
    </row>
    <row r="33" spans="1:27" ht="15.75" customHeight="1">
      <c r="A33" s="70"/>
      <c r="B33" s="70"/>
      <c r="C33" s="70">
        <v>3</v>
      </c>
      <c r="D33" s="70" t="s">
        <v>94</v>
      </c>
      <c r="E33" s="78"/>
      <c r="F33" s="76">
        <f>SUM(2.2-B225)</f>
        <v>0.46000000000000019</v>
      </c>
      <c r="G33" s="76"/>
      <c r="H33" s="76">
        <f>SUM(29.43-E225)</f>
        <v>15.049999999999999</v>
      </c>
      <c r="I33" s="76">
        <f>SUM(2.36-B225)</f>
        <v>0.61999999999999988</v>
      </c>
      <c r="J33" s="76">
        <f>SUM(68.91-E225)</f>
        <v>54.529999999999994</v>
      </c>
      <c r="K33" s="78"/>
      <c r="L33" s="78"/>
      <c r="M33" s="76">
        <f>SUM(21.49-E225)</f>
        <v>7.1099999999999977</v>
      </c>
      <c r="N33" s="76">
        <f>SUM(18.29-E225)</f>
        <v>3.9099999999999984</v>
      </c>
      <c r="O33" s="76">
        <f>SUM(3-B225)</f>
        <v>1.26</v>
      </c>
      <c r="P33" s="78"/>
      <c r="Q33" s="78"/>
      <c r="R33" s="78">
        <f t="shared" si="3"/>
        <v>82.94</v>
      </c>
      <c r="S33" s="78">
        <f>AVERAGE(R33:R37)</f>
        <v>82.378</v>
      </c>
      <c r="T33" s="76" t="s">
        <v>89</v>
      </c>
      <c r="U33" s="28"/>
      <c r="V33" s="28" t="s">
        <v>195</v>
      </c>
      <c r="W33" s="28">
        <v>11.29</v>
      </c>
      <c r="X33" s="28">
        <v>6.92</v>
      </c>
      <c r="Y33" s="28">
        <v>3.67</v>
      </c>
      <c r="Z33" s="28">
        <f t="shared" si="1"/>
        <v>18.21</v>
      </c>
      <c r="AA33" s="28"/>
    </row>
    <row r="34" spans="1:27" ht="15.75" customHeight="1">
      <c r="A34" s="70"/>
      <c r="B34" s="70"/>
      <c r="C34" s="70">
        <v>3</v>
      </c>
      <c r="D34" s="70" t="s">
        <v>95</v>
      </c>
      <c r="E34" s="76">
        <f>SUM(8.34-7.34)</f>
        <v>1</v>
      </c>
      <c r="F34" s="78"/>
      <c r="G34" s="78"/>
      <c r="H34" s="76">
        <v>31.5</v>
      </c>
      <c r="I34" s="76">
        <v>18.7</v>
      </c>
      <c r="J34" s="76">
        <v>12.5</v>
      </c>
      <c r="K34" s="78"/>
      <c r="L34" s="76">
        <v>8.5</v>
      </c>
      <c r="M34" s="76">
        <v>13.9</v>
      </c>
      <c r="N34" s="76">
        <v>8.5</v>
      </c>
      <c r="O34" s="78"/>
      <c r="P34" s="76"/>
      <c r="Q34" s="76">
        <v>2.1</v>
      </c>
      <c r="R34" s="78">
        <f t="shared" si="3"/>
        <v>94.600000000000009</v>
      </c>
      <c r="S34" s="78"/>
      <c r="T34" s="78"/>
      <c r="V34" s="28" t="s">
        <v>195</v>
      </c>
      <c r="W34" s="28">
        <v>7.47</v>
      </c>
      <c r="X34" s="28">
        <v>3.92</v>
      </c>
      <c r="Y34" s="28">
        <v>2.3199999999999998</v>
      </c>
      <c r="Z34" s="28">
        <f t="shared" si="1"/>
        <v>11.39</v>
      </c>
      <c r="AA34" s="28"/>
    </row>
    <row r="35" spans="1:27" ht="15.75" customHeight="1">
      <c r="A35" s="70"/>
      <c r="B35" s="70"/>
      <c r="C35" s="70">
        <v>3</v>
      </c>
      <c r="D35" s="70" t="s">
        <v>96</v>
      </c>
      <c r="E35" s="76">
        <v>0.25</v>
      </c>
      <c r="F35" s="78"/>
      <c r="G35" s="78"/>
      <c r="H35" s="76">
        <v>27.08</v>
      </c>
      <c r="I35" s="76">
        <v>2</v>
      </c>
      <c r="J35" s="76">
        <v>7.98</v>
      </c>
      <c r="K35" s="78"/>
      <c r="L35" s="76">
        <v>6.86</v>
      </c>
      <c r="M35" s="76">
        <v>3.72</v>
      </c>
      <c r="N35" s="76">
        <v>6.44</v>
      </c>
      <c r="O35" s="76">
        <v>0.51</v>
      </c>
      <c r="P35" s="76"/>
      <c r="Q35" s="76">
        <v>0.18</v>
      </c>
      <c r="R35" s="78">
        <f t="shared" si="3"/>
        <v>54.839999999999996</v>
      </c>
      <c r="S35" s="78"/>
      <c r="T35" s="78"/>
      <c r="V35" s="28" t="s">
        <v>195</v>
      </c>
      <c r="W35" s="28">
        <v>18.53</v>
      </c>
      <c r="X35" s="28">
        <v>3.92</v>
      </c>
      <c r="Y35" s="28">
        <v>2.2999999999999998</v>
      </c>
      <c r="Z35" s="28">
        <f t="shared" si="1"/>
        <v>22.450000000000003</v>
      </c>
      <c r="AA35" s="28"/>
    </row>
    <row r="36" spans="1:27" ht="15.75" customHeight="1">
      <c r="A36" s="70"/>
      <c r="B36" s="70"/>
      <c r="C36" s="70">
        <v>3</v>
      </c>
      <c r="D36" s="70" t="s">
        <v>39</v>
      </c>
      <c r="E36" s="76">
        <v>2.98</v>
      </c>
      <c r="F36" s="76">
        <v>0.06</v>
      </c>
      <c r="G36" s="76"/>
      <c r="H36" s="76">
        <v>15.32</v>
      </c>
      <c r="I36" s="76">
        <v>7.33</v>
      </c>
      <c r="J36" s="76">
        <v>15.06</v>
      </c>
      <c r="K36" s="76">
        <v>3.73</v>
      </c>
      <c r="L36" s="78"/>
      <c r="M36" s="76">
        <v>15.11</v>
      </c>
      <c r="N36" s="76">
        <v>5.59</v>
      </c>
      <c r="O36" s="76">
        <v>0.63</v>
      </c>
      <c r="P36" s="76"/>
      <c r="Q36" s="76">
        <v>0.01</v>
      </c>
      <c r="R36" s="78">
        <f t="shared" si="3"/>
        <v>65.809999999999988</v>
      </c>
      <c r="S36" s="78"/>
      <c r="T36" s="78"/>
      <c r="V36" s="28" t="s">
        <v>195</v>
      </c>
      <c r="W36" s="28">
        <v>42.52</v>
      </c>
      <c r="X36" s="28">
        <v>3.92</v>
      </c>
      <c r="Y36" s="28">
        <v>6.17</v>
      </c>
      <c r="Z36" s="28">
        <f t="shared" si="1"/>
        <v>46.440000000000005</v>
      </c>
      <c r="AA36" s="28"/>
    </row>
    <row r="37" spans="1:27" ht="15.75" customHeight="1">
      <c r="A37" s="70"/>
      <c r="B37" s="70"/>
      <c r="C37" s="70">
        <v>3</v>
      </c>
      <c r="D37" s="70" t="s">
        <v>97</v>
      </c>
      <c r="E37" s="76">
        <v>2.6</v>
      </c>
      <c r="F37" s="76">
        <v>2.1</v>
      </c>
      <c r="G37" s="76"/>
      <c r="H37" s="76">
        <v>23.7</v>
      </c>
      <c r="I37" s="76">
        <v>12.6</v>
      </c>
      <c r="J37" s="76">
        <v>25.7</v>
      </c>
      <c r="K37" s="78"/>
      <c r="L37" s="76">
        <v>2.2000000000000002</v>
      </c>
      <c r="M37" s="76">
        <v>29.3</v>
      </c>
      <c r="N37" s="76">
        <v>13.2</v>
      </c>
      <c r="O37" s="76">
        <v>2.2999999999999998</v>
      </c>
      <c r="P37" s="76"/>
      <c r="Q37" s="76">
        <v>3.1</v>
      </c>
      <c r="R37" s="78">
        <f t="shared" si="3"/>
        <v>113.7</v>
      </c>
      <c r="S37" s="78"/>
      <c r="T37" s="78"/>
      <c r="V37" s="28" t="s">
        <v>195</v>
      </c>
      <c r="W37" s="28">
        <v>22.73</v>
      </c>
      <c r="X37" s="28">
        <v>5.33</v>
      </c>
      <c r="Y37" s="28">
        <v>4.3899999999999997</v>
      </c>
      <c r="Z37" s="28">
        <f t="shared" si="1"/>
        <v>28.060000000000002</v>
      </c>
      <c r="AA37" s="28">
        <f>SUM(Z33:Z37)/5</f>
        <v>25.310000000000002</v>
      </c>
    </row>
    <row r="38" spans="1:27" ht="15.75" customHeight="1">
      <c r="A38" s="70"/>
      <c r="B38" s="70"/>
      <c r="C38" s="70">
        <v>4</v>
      </c>
      <c r="D38" s="70" t="s">
        <v>94</v>
      </c>
      <c r="E38" s="78"/>
      <c r="F38" s="78"/>
      <c r="G38" s="78"/>
      <c r="H38" s="76">
        <f>SUM(26.35-E225)</f>
        <v>11.97</v>
      </c>
      <c r="I38" s="76">
        <f>SUM(22.02-E225)</f>
        <v>7.6399999999999988</v>
      </c>
      <c r="J38" s="76">
        <f>SUM(30.74-E225)</f>
        <v>16.36</v>
      </c>
      <c r="K38" s="78"/>
      <c r="L38" s="76">
        <f>SUM(17.94-E225)</f>
        <v>3.5600000000000005</v>
      </c>
      <c r="M38" s="76">
        <f>SUM(16.89-E225)</f>
        <v>2.5099999999999998</v>
      </c>
      <c r="N38" s="78"/>
      <c r="O38" s="78"/>
      <c r="P38" s="76"/>
      <c r="Q38" s="76">
        <f>SUM(4.05-C225)</f>
        <v>1.1999999999999997</v>
      </c>
      <c r="R38" s="78">
        <f t="shared" si="3"/>
        <v>42.04</v>
      </c>
      <c r="S38" s="78">
        <f>AVERAGE(R38:R42)</f>
        <v>50.366666666666667</v>
      </c>
      <c r="T38" s="76" t="s">
        <v>90</v>
      </c>
      <c r="U38" s="28"/>
      <c r="V38" s="28" t="s">
        <v>195</v>
      </c>
      <c r="W38" s="28">
        <v>14.93</v>
      </c>
      <c r="X38" s="28">
        <v>4.09</v>
      </c>
      <c r="Y38" s="28">
        <v>1.43</v>
      </c>
      <c r="Z38" s="28">
        <f t="shared" si="1"/>
        <v>19.02</v>
      </c>
      <c r="AA38" s="28"/>
    </row>
    <row r="39" spans="1:27" ht="15.75" customHeight="1">
      <c r="A39" s="70"/>
      <c r="B39" s="70"/>
      <c r="C39" s="70">
        <v>4</v>
      </c>
      <c r="D39" s="70" t="s">
        <v>95</v>
      </c>
      <c r="E39" s="76" t="s">
        <v>208</v>
      </c>
      <c r="F39" s="78"/>
      <c r="G39" s="78"/>
      <c r="H39" s="78"/>
      <c r="I39" s="78"/>
      <c r="J39" s="78"/>
      <c r="K39" s="78"/>
      <c r="L39" s="78"/>
      <c r="M39" s="78"/>
      <c r="N39" s="78"/>
      <c r="O39" s="78"/>
      <c r="P39" s="78"/>
      <c r="Q39" s="78"/>
      <c r="R39" s="78"/>
      <c r="S39" s="78"/>
      <c r="T39" s="78"/>
      <c r="V39" s="28" t="s">
        <v>195</v>
      </c>
      <c r="W39" s="28">
        <v>57.38</v>
      </c>
      <c r="X39" s="28">
        <v>5.38</v>
      </c>
      <c r="Y39" s="28">
        <v>3.05</v>
      </c>
      <c r="Z39" s="28">
        <f t="shared" si="1"/>
        <v>62.760000000000005</v>
      </c>
      <c r="AA39" s="28"/>
    </row>
    <row r="40" spans="1:27" ht="15.75" customHeight="1">
      <c r="A40" s="70"/>
      <c r="B40" s="70"/>
      <c r="C40" s="70">
        <v>4</v>
      </c>
      <c r="D40" s="70" t="s">
        <v>96</v>
      </c>
      <c r="E40" s="78"/>
      <c r="F40" s="76">
        <f>SUM(2.06-B225)</f>
        <v>0.32000000000000006</v>
      </c>
      <c r="G40" s="76"/>
      <c r="H40" s="76">
        <f>SUM(42.88-F225)</f>
        <v>22.990000000000002</v>
      </c>
      <c r="I40" s="76">
        <f>SUM(2.71-B225)</f>
        <v>0.97</v>
      </c>
      <c r="J40" s="76">
        <f>SUM(29.88-E225)</f>
        <v>15.499999999999998</v>
      </c>
      <c r="K40" s="78"/>
      <c r="L40" s="76">
        <f>SUM(17.75-E225)</f>
        <v>3.3699999999999992</v>
      </c>
      <c r="M40" s="76">
        <f>SUM(18.42-E225)</f>
        <v>4.0400000000000009</v>
      </c>
      <c r="N40" s="76">
        <f>SUM(16.95-E225)</f>
        <v>2.5699999999999985</v>
      </c>
      <c r="O40" s="76">
        <f>SUM(2.99-B225)</f>
        <v>1.2500000000000002</v>
      </c>
      <c r="P40" s="76"/>
      <c r="Q40" s="76">
        <f>SUM(2.43-B225)</f>
        <v>0.69000000000000017</v>
      </c>
      <c r="R40" s="78">
        <f>SUM(E40:P40)</f>
        <v>51.01</v>
      </c>
      <c r="S40" s="78"/>
      <c r="T40" s="78"/>
      <c r="V40" s="28" t="s">
        <v>195</v>
      </c>
      <c r="W40" s="28">
        <v>17.079999999999998</v>
      </c>
      <c r="X40" s="28">
        <v>5.77</v>
      </c>
      <c r="Y40" s="28">
        <v>1.94</v>
      </c>
      <c r="Z40" s="28">
        <f t="shared" si="1"/>
        <v>22.849999999999998</v>
      </c>
      <c r="AA40" s="28"/>
    </row>
    <row r="41" spans="1:27" ht="15.75" customHeight="1">
      <c r="A41" s="70"/>
      <c r="B41" s="70"/>
      <c r="C41" s="70">
        <v>4</v>
      </c>
      <c r="D41" s="70" t="s">
        <v>39</v>
      </c>
      <c r="E41" s="28" t="s">
        <v>208</v>
      </c>
      <c r="F41" s="78"/>
      <c r="G41" s="78"/>
      <c r="H41" s="78"/>
      <c r="I41" s="78"/>
      <c r="J41" s="78"/>
      <c r="K41" s="78"/>
      <c r="L41" s="78"/>
      <c r="M41" s="78"/>
      <c r="N41" s="78"/>
      <c r="O41" s="78"/>
      <c r="P41" s="78"/>
      <c r="Q41" s="78"/>
      <c r="R41" s="78"/>
      <c r="S41" s="78"/>
      <c r="T41" s="78"/>
      <c r="V41" s="28" t="s">
        <v>195</v>
      </c>
      <c r="W41" s="28">
        <v>11.85</v>
      </c>
      <c r="X41" s="28">
        <v>6.43</v>
      </c>
      <c r="Y41" s="28">
        <v>1.1000000000000001</v>
      </c>
      <c r="Z41" s="28">
        <f t="shared" si="1"/>
        <v>18.28</v>
      </c>
      <c r="AA41" s="28"/>
    </row>
    <row r="42" spans="1:27" ht="15.75" customHeight="1">
      <c r="A42" s="70"/>
      <c r="B42" s="70"/>
      <c r="C42" s="70">
        <v>4</v>
      </c>
      <c r="D42" s="70" t="s">
        <v>97</v>
      </c>
      <c r="E42" s="78"/>
      <c r="F42" s="76">
        <f>SUM(1.91-B225)</f>
        <v>0.16999999999999993</v>
      </c>
      <c r="G42" s="76"/>
      <c r="H42" s="76">
        <f>SUM(42.59-E225)</f>
        <v>28.21</v>
      </c>
      <c r="I42" s="76">
        <f>SUM(15.04-E225)</f>
        <v>0.65999999999999837</v>
      </c>
      <c r="J42" s="76">
        <f>SUM(16.27-E225)</f>
        <v>1.8899999999999988</v>
      </c>
      <c r="K42" s="76">
        <f>SUM(4.3-C225)</f>
        <v>1.4499999999999997</v>
      </c>
      <c r="L42" s="76">
        <f>SUM(4.27-C225)</f>
        <v>1.4199999999999995</v>
      </c>
      <c r="M42" s="76">
        <f>SUM(32.9-E225)</f>
        <v>18.519999999999996</v>
      </c>
      <c r="N42" s="76">
        <f>SUM(19.06-E225)</f>
        <v>4.6799999999999979</v>
      </c>
      <c r="O42" s="76">
        <f>SUM(2.79-B225)</f>
        <v>1.05</v>
      </c>
      <c r="P42" s="78"/>
      <c r="Q42" s="78"/>
      <c r="R42" s="78">
        <f t="shared" ref="R42:R142" si="4">SUM(E42:P42)</f>
        <v>58.05</v>
      </c>
      <c r="S42" s="78"/>
      <c r="T42" s="78"/>
      <c r="V42" s="28" t="s">
        <v>195</v>
      </c>
      <c r="W42" s="28">
        <v>13.11</v>
      </c>
      <c r="X42" s="28">
        <v>4.51</v>
      </c>
      <c r="Y42" s="28">
        <v>1.22</v>
      </c>
      <c r="Z42" s="28">
        <f t="shared" si="1"/>
        <v>17.619999999999997</v>
      </c>
      <c r="AA42" s="28">
        <f>SUM(Z38:Z42)/5</f>
        <v>28.106000000000002</v>
      </c>
    </row>
    <row r="43" spans="1:27" ht="15.75" customHeight="1">
      <c r="A43" s="70" t="s">
        <v>37</v>
      </c>
      <c r="B43" s="70" t="s">
        <v>85</v>
      </c>
      <c r="C43" s="70">
        <v>1</v>
      </c>
      <c r="D43" s="70" t="s">
        <v>94</v>
      </c>
      <c r="E43" s="76">
        <v>0.19</v>
      </c>
      <c r="F43" s="76">
        <v>45.22</v>
      </c>
      <c r="G43" s="78"/>
      <c r="H43" s="83" t="s">
        <v>210</v>
      </c>
      <c r="I43" s="76" t="s">
        <v>211</v>
      </c>
      <c r="J43" s="76" t="s">
        <v>212</v>
      </c>
      <c r="K43" s="78"/>
      <c r="L43" s="78"/>
      <c r="M43" s="76" t="s">
        <v>213</v>
      </c>
      <c r="N43" s="76">
        <v>1.07</v>
      </c>
      <c r="O43" s="76">
        <v>0.38</v>
      </c>
      <c r="P43" s="78"/>
      <c r="Q43" s="76" t="s">
        <v>214</v>
      </c>
      <c r="R43" s="78">
        <f t="shared" si="4"/>
        <v>46.86</v>
      </c>
      <c r="S43" s="78"/>
      <c r="T43" s="76" t="s">
        <v>87</v>
      </c>
      <c r="U43" s="28"/>
      <c r="V43" s="28" t="s">
        <v>195</v>
      </c>
      <c r="W43" s="28">
        <v>8.33</v>
      </c>
      <c r="X43" s="28">
        <v>8.76</v>
      </c>
      <c r="Y43" s="28">
        <v>4.47</v>
      </c>
      <c r="Z43" s="28">
        <f t="shared" si="1"/>
        <v>17.09</v>
      </c>
      <c r="AA43" s="28"/>
    </row>
    <row r="44" spans="1:27" ht="15.75" customHeight="1">
      <c r="A44" s="70"/>
      <c r="B44" s="70"/>
      <c r="C44" s="70">
        <v>1</v>
      </c>
      <c r="D44" s="70" t="s">
        <v>95</v>
      </c>
      <c r="E44" s="78">
        <f t="shared" ref="E44:E45" si="5">2.91-2.49</f>
        <v>0.41999999999999993</v>
      </c>
      <c r="F44" s="78">
        <f>44.3-20.95</f>
        <v>23.349999999999998</v>
      </c>
      <c r="G44" s="78"/>
      <c r="H44" s="76">
        <f>12.76-7.83</f>
        <v>4.93</v>
      </c>
      <c r="I44" s="78">
        <f>2.55-2.49</f>
        <v>5.9999999999999609E-2</v>
      </c>
      <c r="J44" s="78">
        <f>50.78-20.95</f>
        <v>29.830000000000002</v>
      </c>
      <c r="K44" s="78"/>
      <c r="L44" s="78">
        <f>2.64-2.49</f>
        <v>0.14999999999999991</v>
      </c>
      <c r="M44" s="78">
        <f>20.19-7.83</f>
        <v>12.360000000000001</v>
      </c>
      <c r="N44" s="78">
        <f>3.03-2.49</f>
        <v>0.53999999999999959</v>
      </c>
      <c r="O44" s="78">
        <f>2.92-2.49</f>
        <v>0.42999999999999972</v>
      </c>
      <c r="P44" s="78"/>
      <c r="Q44" s="78">
        <f>3.52-2.49</f>
        <v>1.0299999999999998</v>
      </c>
      <c r="R44" s="78">
        <f t="shared" si="4"/>
        <v>72.069999999999993</v>
      </c>
      <c r="S44" s="78"/>
      <c r="T44" s="78"/>
      <c r="U44" s="28"/>
      <c r="V44" s="28" t="s">
        <v>195</v>
      </c>
      <c r="W44" s="28">
        <v>9.6</v>
      </c>
      <c r="X44" s="28">
        <v>13.33</v>
      </c>
      <c r="Y44" s="28">
        <v>0.03</v>
      </c>
      <c r="Z44" s="28">
        <f t="shared" si="1"/>
        <v>22.93</v>
      </c>
      <c r="AA44" s="28"/>
    </row>
    <row r="45" spans="1:27" ht="15.75" customHeight="1">
      <c r="A45" s="70"/>
      <c r="B45" s="70"/>
      <c r="C45" s="70">
        <v>1</v>
      </c>
      <c r="D45" s="70" t="s">
        <v>96</v>
      </c>
      <c r="E45" s="78">
        <f t="shared" si="5"/>
        <v>0.41999999999999993</v>
      </c>
      <c r="F45" s="78">
        <f>23.95-7.83</f>
        <v>16.119999999999997</v>
      </c>
      <c r="G45" s="78"/>
      <c r="H45" s="78">
        <f>14.8-7.83</f>
        <v>6.9700000000000006</v>
      </c>
      <c r="I45" s="76" t="s">
        <v>215</v>
      </c>
      <c r="J45" s="78">
        <f>16.8-7.83</f>
        <v>8.9700000000000006</v>
      </c>
      <c r="K45" s="78"/>
      <c r="L45" s="78"/>
      <c r="M45" s="78">
        <f>22.13-7.83</f>
        <v>14.299999999999999</v>
      </c>
      <c r="N45" s="78">
        <f>8.47-7.83</f>
        <v>0.64000000000000057</v>
      </c>
      <c r="O45" s="78">
        <f>2.95-2.49</f>
        <v>0.45999999999999996</v>
      </c>
      <c r="P45" s="78"/>
      <c r="Q45" s="78">
        <f>2.95-2.49</f>
        <v>0.45999999999999996</v>
      </c>
      <c r="R45" s="78">
        <f t="shared" si="4"/>
        <v>47.879999999999995</v>
      </c>
      <c r="S45" s="78"/>
      <c r="T45" s="78"/>
      <c r="U45" s="28"/>
      <c r="V45" s="28" t="s">
        <v>195</v>
      </c>
      <c r="W45" s="28">
        <v>11.18</v>
      </c>
      <c r="X45" s="28">
        <v>10.97</v>
      </c>
      <c r="Y45" s="80"/>
      <c r="Z45" s="28">
        <f t="shared" si="1"/>
        <v>22.15</v>
      </c>
      <c r="AA45" s="28"/>
    </row>
    <row r="46" spans="1:27" ht="15.75" customHeight="1">
      <c r="A46" s="70"/>
      <c r="B46" s="70"/>
      <c r="C46" s="70">
        <v>1</v>
      </c>
      <c r="D46" s="70" t="s">
        <v>39</v>
      </c>
      <c r="E46" s="76">
        <f>10.48-D225</f>
        <v>3.1400000000000006</v>
      </c>
      <c r="F46" s="76">
        <f>17.95-D225</f>
        <v>10.61</v>
      </c>
      <c r="G46" s="76"/>
      <c r="H46" s="76">
        <f>15.62-D225</f>
        <v>8.2799999999999994</v>
      </c>
      <c r="I46" s="76">
        <f>10.14-D225</f>
        <v>2.8000000000000007</v>
      </c>
      <c r="J46" s="76">
        <f>22.21-D225</f>
        <v>14.870000000000001</v>
      </c>
      <c r="K46" s="76">
        <f>3.4-C225</f>
        <v>0.54999999999999982</v>
      </c>
      <c r="L46" s="78"/>
      <c r="M46" s="76">
        <f>27.49-D225</f>
        <v>20.149999999999999</v>
      </c>
      <c r="N46" s="76">
        <f>15.63-D225</f>
        <v>8.2900000000000009</v>
      </c>
      <c r="O46" s="76">
        <f>3.78-C225</f>
        <v>0.92999999999999972</v>
      </c>
      <c r="P46" s="78"/>
      <c r="Q46" s="76">
        <f>3.1-C225</f>
        <v>0.25</v>
      </c>
      <c r="R46" s="78">
        <f t="shared" si="4"/>
        <v>69.62</v>
      </c>
      <c r="S46" s="78"/>
      <c r="T46" s="78"/>
      <c r="U46" s="28"/>
      <c r="V46" s="28" t="s">
        <v>195</v>
      </c>
      <c r="W46" s="28">
        <v>8.33</v>
      </c>
      <c r="X46" s="28">
        <v>21.59</v>
      </c>
      <c r="Y46" s="28">
        <v>0.3</v>
      </c>
      <c r="Z46" s="28">
        <f t="shared" si="1"/>
        <v>29.92</v>
      </c>
      <c r="AA46" s="28"/>
    </row>
    <row r="47" spans="1:27" ht="15.75" customHeight="1">
      <c r="A47" s="70"/>
      <c r="B47" s="70"/>
      <c r="C47" s="70">
        <v>1</v>
      </c>
      <c r="D47" s="70" t="s">
        <v>97</v>
      </c>
      <c r="E47" s="78">
        <f>2.5-2.49</f>
        <v>9.9999999999997868E-3</v>
      </c>
      <c r="F47" s="78">
        <f>2.86-2.49</f>
        <v>0.36999999999999966</v>
      </c>
      <c r="G47" s="78"/>
      <c r="H47" s="76">
        <f>21.79-15.58</f>
        <v>6.2099999999999991</v>
      </c>
      <c r="I47" s="78">
        <f>8.71-7.83</f>
        <v>0.88000000000000078</v>
      </c>
      <c r="J47" s="78">
        <f>10.27-7.83</f>
        <v>2.4399999999999995</v>
      </c>
      <c r="K47" s="78"/>
      <c r="L47" s="78"/>
      <c r="M47" s="78">
        <f>47.84-15.58</f>
        <v>32.260000000000005</v>
      </c>
      <c r="N47" s="78">
        <f>9.68-7.83</f>
        <v>1.8499999999999996</v>
      </c>
      <c r="O47" s="78">
        <f>3.77-2.49</f>
        <v>1.2799999999999998</v>
      </c>
      <c r="P47" s="78"/>
      <c r="Q47" s="78"/>
      <c r="R47" s="78">
        <f t="shared" si="4"/>
        <v>45.300000000000004</v>
      </c>
      <c r="S47" s="78"/>
      <c r="T47" s="78"/>
      <c r="U47" s="28"/>
      <c r="V47" s="28" t="s">
        <v>195</v>
      </c>
      <c r="W47" s="28">
        <v>14.91</v>
      </c>
      <c r="X47" s="28">
        <v>6.58</v>
      </c>
      <c r="Y47" s="28">
        <v>11.08</v>
      </c>
      <c r="Z47" s="28">
        <f t="shared" si="1"/>
        <v>21.490000000000002</v>
      </c>
      <c r="AA47" s="28">
        <f>SUM(Z43:Z47)/5</f>
        <v>22.716000000000001</v>
      </c>
    </row>
    <row r="48" spans="1:27" ht="15.75" customHeight="1">
      <c r="A48" s="70"/>
      <c r="B48" s="70"/>
      <c r="C48" s="70">
        <v>2</v>
      </c>
      <c r="D48" s="70" t="s">
        <v>94</v>
      </c>
      <c r="E48" s="78"/>
      <c r="F48" s="78">
        <f>54.18-20.95</f>
        <v>33.230000000000004</v>
      </c>
      <c r="G48" s="76" t="s">
        <v>216</v>
      </c>
      <c r="H48" s="78">
        <f>14.5-7.83</f>
        <v>6.67</v>
      </c>
      <c r="I48" s="78"/>
      <c r="J48" s="78">
        <f>9.45-7.83</f>
        <v>1.6199999999999992</v>
      </c>
      <c r="K48" s="78"/>
      <c r="L48" s="78">
        <f>2.71-2.49</f>
        <v>0.21999999999999975</v>
      </c>
      <c r="M48" s="78">
        <f>18.5-7.83</f>
        <v>10.67</v>
      </c>
      <c r="N48" s="78">
        <f>12.05-7.83</f>
        <v>4.2200000000000006</v>
      </c>
      <c r="O48" s="78">
        <f>3.37-2.49</f>
        <v>0.87999999999999989</v>
      </c>
      <c r="P48" s="78"/>
      <c r="Q48" s="78">
        <f>1.46-1.45</f>
        <v>1.0000000000000009E-2</v>
      </c>
      <c r="R48" s="78">
        <f t="shared" si="4"/>
        <v>57.510000000000005</v>
      </c>
      <c r="S48" s="78"/>
      <c r="T48" s="76" t="s">
        <v>90</v>
      </c>
      <c r="U48" s="28"/>
      <c r="V48" s="28" t="s">
        <v>195</v>
      </c>
      <c r="W48" s="28">
        <v>5.75</v>
      </c>
      <c r="X48" s="28">
        <v>9.84</v>
      </c>
      <c r="Y48" s="28">
        <v>0.16</v>
      </c>
      <c r="Z48" s="28">
        <f t="shared" si="1"/>
        <v>15.59</v>
      </c>
      <c r="AA48" s="28"/>
    </row>
    <row r="49" spans="1:27" ht="15.75" customHeight="1">
      <c r="A49" s="70"/>
      <c r="B49" s="70"/>
      <c r="C49" s="70">
        <v>2</v>
      </c>
      <c r="D49" s="70" t="s">
        <v>95</v>
      </c>
      <c r="E49" s="78">
        <f>3.08-2.49</f>
        <v>0.58999999999999986</v>
      </c>
      <c r="F49" s="76">
        <f>40.58-20.95</f>
        <v>19.63</v>
      </c>
      <c r="G49" s="78"/>
      <c r="H49" s="78">
        <f>24.72-20.95</f>
        <v>3.7699999999999996</v>
      </c>
      <c r="I49" s="76" t="s">
        <v>217</v>
      </c>
      <c r="J49" s="78">
        <f>3.96-2.49</f>
        <v>1.4699999999999998</v>
      </c>
      <c r="K49" s="78"/>
      <c r="L49" s="78"/>
      <c r="M49" s="78">
        <f>38.86-20.95</f>
        <v>17.91</v>
      </c>
      <c r="N49" s="78">
        <f>34.4-20.95</f>
        <v>13.45</v>
      </c>
      <c r="O49" s="78">
        <f>2.77-2.49</f>
        <v>0.2799999999999998</v>
      </c>
      <c r="P49" s="78"/>
      <c r="Q49" s="78">
        <f>4.59-2.49</f>
        <v>2.0999999999999996</v>
      </c>
      <c r="R49" s="78">
        <f t="shared" si="4"/>
        <v>57.099999999999994</v>
      </c>
      <c r="S49" s="78"/>
      <c r="T49" s="78"/>
      <c r="V49" s="28" t="s">
        <v>195</v>
      </c>
      <c r="W49" s="28">
        <v>6.1</v>
      </c>
      <c r="X49" s="28">
        <v>6.03</v>
      </c>
      <c r="Y49" s="80"/>
      <c r="Z49" s="28">
        <f t="shared" si="1"/>
        <v>12.129999999999999</v>
      </c>
      <c r="AA49" s="28"/>
    </row>
    <row r="50" spans="1:27" ht="15.75" customHeight="1">
      <c r="A50" s="70"/>
      <c r="B50" s="70"/>
      <c r="C50" s="70">
        <v>2</v>
      </c>
      <c r="D50" s="70" t="s">
        <v>96</v>
      </c>
      <c r="E50" s="78"/>
      <c r="F50" s="78">
        <f>51.4-20.95</f>
        <v>30.45</v>
      </c>
      <c r="G50" s="78"/>
      <c r="H50" s="78">
        <f>11.53-7.83</f>
        <v>3.6999999999999993</v>
      </c>
      <c r="I50" s="78"/>
      <c r="J50" s="78">
        <f>3.53-2.49</f>
        <v>1.0399999999999996</v>
      </c>
      <c r="K50" s="78">
        <f>1.46-1.45</f>
        <v>1.0000000000000009E-2</v>
      </c>
      <c r="L50" s="78"/>
      <c r="M50" s="78">
        <f>19.86-7.83</f>
        <v>12.03</v>
      </c>
      <c r="N50" s="78">
        <f>36.48-20.95</f>
        <v>15.529999999999998</v>
      </c>
      <c r="O50" s="78">
        <f>2.04-1.45</f>
        <v>0.59000000000000008</v>
      </c>
      <c r="P50" s="78"/>
      <c r="Q50" s="78">
        <f>1.73-1.45</f>
        <v>0.28000000000000003</v>
      </c>
      <c r="R50" s="78">
        <f t="shared" si="4"/>
        <v>63.349999999999994</v>
      </c>
      <c r="S50" s="78"/>
      <c r="T50" s="78"/>
      <c r="V50" s="28" t="s">
        <v>195</v>
      </c>
      <c r="W50" s="28">
        <v>11.38</v>
      </c>
      <c r="X50" s="28">
        <v>5.67</v>
      </c>
      <c r="Y50" s="28">
        <v>0.35</v>
      </c>
      <c r="Z50" s="28">
        <f t="shared" si="1"/>
        <v>17.05</v>
      </c>
      <c r="AA50" s="28"/>
    </row>
    <row r="51" spans="1:27" ht="15.75" customHeight="1">
      <c r="A51" s="70"/>
      <c r="B51" s="70"/>
      <c r="C51" s="70">
        <v>2</v>
      </c>
      <c r="D51" s="70" t="s">
        <v>39</v>
      </c>
      <c r="E51" s="78"/>
      <c r="F51" s="78">
        <f>60.6-20.95</f>
        <v>39.650000000000006</v>
      </c>
      <c r="G51" s="78"/>
      <c r="H51" s="78">
        <f>16.55-7.83</f>
        <v>8.7200000000000006</v>
      </c>
      <c r="I51" s="76" t="s">
        <v>220</v>
      </c>
      <c r="J51" s="78">
        <f>13.02-7.83</f>
        <v>5.1899999999999995</v>
      </c>
      <c r="K51" s="78"/>
      <c r="L51" s="78"/>
      <c r="M51" s="76">
        <v>1.63</v>
      </c>
      <c r="N51" s="78">
        <f>1.28</f>
        <v>1.28</v>
      </c>
      <c r="O51" s="78">
        <f>1.58-1.45</f>
        <v>0.13000000000000012</v>
      </c>
      <c r="P51" s="78"/>
      <c r="Q51" s="78">
        <f>4.92-2.49</f>
        <v>2.4299999999999997</v>
      </c>
      <c r="R51" s="78">
        <f t="shared" si="4"/>
        <v>56.600000000000009</v>
      </c>
      <c r="S51" s="78"/>
      <c r="T51" s="78"/>
      <c r="V51" s="28" t="s">
        <v>195</v>
      </c>
      <c r="W51" s="28">
        <v>6.85</v>
      </c>
      <c r="X51" s="28">
        <v>12.16</v>
      </c>
      <c r="Y51" s="28">
        <v>0.56000000000000005</v>
      </c>
      <c r="Z51" s="28">
        <f t="shared" si="1"/>
        <v>19.009999999999998</v>
      </c>
      <c r="AA51" s="28"/>
    </row>
    <row r="52" spans="1:27" ht="15.75" customHeight="1">
      <c r="A52" s="70"/>
      <c r="B52" s="70"/>
      <c r="C52" s="70">
        <v>2</v>
      </c>
      <c r="D52" s="70" t="s">
        <v>97</v>
      </c>
      <c r="E52" s="78">
        <f>3.05-2.49</f>
        <v>0.55999999999999961</v>
      </c>
      <c r="F52" s="78">
        <f>74.19-20.95</f>
        <v>53.239999999999995</v>
      </c>
      <c r="G52" s="78"/>
      <c r="H52" s="78">
        <f>14.56-7.83</f>
        <v>6.73</v>
      </c>
      <c r="I52" s="78"/>
      <c r="J52" s="78">
        <f>10.56-7.83</f>
        <v>2.7300000000000004</v>
      </c>
      <c r="K52" s="76">
        <f>2.58-2.49</f>
        <v>8.9999999999999858E-2</v>
      </c>
      <c r="L52" s="78"/>
      <c r="M52" s="78">
        <f>10.65-7.83</f>
        <v>2.8200000000000003</v>
      </c>
      <c r="N52" s="78">
        <f>10.3-7.83</f>
        <v>2.4700000000000006</v>
      </c>
      <c r="O52" s="78">
        <f>2.6-2.49</f>
        <v>0.10999999999999988</v>
      </c>
      <c r="P52" s="78"/>
      <c r="Q52" s="78">
        <f>4.09-2.49</f>
        <v>1.5999999999999996</v>
      </c>
      <c r="R52" s="78">
        <f t="shared" si="4"/>
        <v>68.750000000000014</v>
      </c>
      <c r="S52" s="78"/>
      <c r="V52" s="28" t="s">
        <v>195</v>
      </c>
      <c r="W52" s="28">
        <v>10.61</v>
      </c>
      <c r="X52" s="28">
        <v>5.57</v>
      </c>
      <c r="Y52" s="28">
        <v>3.15</v>
      </c>
      <c r="Z52" s="28">
        <f t="shared" si="1"/>
        <v>16.18</v>
      </c>
      <c r="AA52" s="28">
        <f>SUM(Z48:Z52)/5</f>
        <v>15.991999999999999</v>
      </c>
    </row>
    <row r="53" spans="1:27" ht="15.75" customHeight="1">
      <c r="A53" s="70"/>
      <c r="B53" s="70"/>
      <c r="C53" s="70">
        <v>3</v>
      </c>
      <c r="D53" s="70" t="s">
        <v>94</v>
      </c>
      <c r="E53" s="78">
        <f>6.1-2.49</f>
        <v>3.6099999999999994</v>
      </c>
      <c r="F53" s="78">
        <f>1.72-1.45</f>
        <v>0.27</v>
      </c>
      <c r="G53" s="76">
        <f>3.77-2.49</f>
        <v>1.2799999999999998</v>
      </c>
      <c r="H53" s="78">
        <f>14.52-7.83</f>
        <v>6.6899999999999995</v>
      </c>
      <c r="I53" s="78"/>
      <c r="J53" s="78">
        <f>17.07-7.83</f>
        <v>9.24</v>
      </c>
      <c r="K53" s="78">
        <f>8.52-7.83</f>
        <v>0.6899999999999995</v>
      </c>
      <c r="L53" s="76">
        <f>3.12-2.49</f>
        <v>0.62999999999999989</v>
      </c>
      <c r="M53" s="78">
        <f>53.84-20.95</f>
        <v>32.89</v>
      </c>
      <c r="N53" s="78">
        <f>32.08-20.95</f>
        <v>11.129999999999999</v>
      </c>
      <c r="O53" s="78">
        <f>1.77-1.45</f>
        <v>0.32000000000000006</v>
      </c>
      <c r="P53" s="78"/>
      <c r="Q53" s="78">
        <f>3.84-2.49</f>
        <v>1.3499999999999996</v>
      </c>
      <c r="R53" s="78">
        <f t="shared" si="4"/>
        <v>66.749999999999986</v>
      </c>
      <c r="S53" s="78"/>
      <c r="T53" s="76" t="s">
        <v>149</v>
      </c>
      <c r="U53" s="28"/>
      <c r="V53" s="28" t="s">
        <v>195</v>
      </c>
      <c r="W53" s="28">
        <v>9.08</v>
      </c>
      <c r="X53" s="28">
        <v>6.43</v>
      </c>
      <c r="Y53" s="80"/>
      <c r="Z53" s="28">
        <f t="shared" si="1"/>
        <v>15.51</v>
      </c>
      <c r="AA53" s="28"/>
    </row>
    <row r="54" spans="1:27" ht="15.75" customHeight="1">
      <c r="A54" s="70"/>
      <c r="B54" s="70"/>
      <c r="C54" s="70">
        <v>3</v>
      </c>
      <c r="D54" s="70" t="s">
        <v>95</v>
      </c>
      <c r="E54" s="78">
        <f>14.07-7.83</f>
        <v>6.24</v>
      </c>
      <c r="F54" s="78">
        <f>13.4-7.83</f>
        <v>5.57</v>
      </c>
      <c r="G54" s="78"/>
      <c r="H54" s="78">
        <f>10.04-7.83</f>
        <v>2.2099999999999991</v>
      </c>
      <c r="I54" s="78">
        <f>9.17-7.83</f>
        <v>1.3399999999999999</v>
      </c>
      <c r="J54" s="78">
        <f>16.2-7.83</f>
        <v>8.3699999999999992</v>
      </c>
      <c r="K54" s="78">
        <f>9.99-7.83</f>
        <v>2.16</v>
      </c>
      <c r="L54" s="76"/>
      <c r="M54" s="78">
        <f>29.23-7.83</f>
        <v>21.4</v>
      </c>
      <c r="N54" s="78">
        <f>12.1-7.83</f>
        <v>4.2699999999999996</v>
      </c>
      <c r="O54" s="78">
        <f>2.61-2.49</f>
        <v>0.11999999999999966</v>
      </c>
      <c r="P54" s="78"/>
      <c r="Q54" s="78">
        <f>3.95-2.49</f>
        <v>1.46</v>
      </c>
      <c r="R54" s="78">
        <f t="shared" si="4"/>
        <v>51.679999999999986</v>
      </c>
      <c r="S54" s="78"/>
      <c r="T54" s="78"/>
      <c r="V54" s="28" t="s">
        <v>195</v>
      </c>
      <c r="W54" s="28">
        <v>2.21</v>
      </c>
      <c r="X54" s="28">
        <v>6.3</v>
      </c>
      <c r="Y54" s="28">
        <v>2.44</v>
      </c>
      <c r="Z54" s="28">
        <f t="shared" si="1"/>
        <v>8.51</v>
      </c>
      <c r="AA54" s="28"/>
    </row>
    <row r="55" spans="1:27" ht="15.75" customHeight="1">
      <c r="A55" s="70"/>
      <c r="B55" s="70"/>
      <c r="C55" s="70">
        <v>3</v>
      </c>
      <c r="D55" s="70" t="s">
        <v>96</v>
      </c>
      <c r="E55" s="78">
        <f>11.06-7.83</f>
        <v>3.2300000000000004</v>
      </c>
      <c r="F55" s="78">
        <f>2.72-2.49</f>
        <v>0.22999999999999998</v>
      </c>
      <c r="G55" s="78">
        <f>3.99-2.49</f>
        <v>1.5</v>
      </c>
      <c r="H55" s="78">
        <f>28.46-20.95</f>
        <v>7.5100000000000016</v>
      </c>
      <c r="I55" s="78"/>
      <c r="J55" s="78">
        <f>22.31-7.83</f>
        <v>14.479999999999999</v>
      </c>
      <c r="K55" s="78">
        <f>3.05-2.49</f>
        <v>0.55999999999999961</v>
      </c>
      <c r="L55" s="78"/>
      <c r="M55" s="78">
        <f>46.59-20.95</f>
        <v>25.640000000000004</v>
      </c>
      <c r="N55" s="78">
        <f>10.2-7.83</f>
        <v>2.3699999999999992</v>
      </c>
      <c r="O55" s="78">
        <f>2.55-2.49</f>
        <v>5.9999999999999609E-2</v>
      </c>
      <c r="P55" s="78"/>
      <c r="Q55" s="78">
        <f>4.5-2.49</f>
        <v>2.0099999999999998</v>
      </c>
      <c r="R55" s="78">
        <f t="shared" si="4"/>
        <v>55.580000000000005</v>
      </c>
      <c r="S55" s="78"/>
      <c r="T55" s="78"/>
      <c r="V55" s="28" t="s">
        <v>195</v>
      </c>
      <c r="W55" s="28">
        <v>10.47</v>
      </c>
      <c r="X55" s="28">
        <v>5.76</v>
      </c>
      <c r="Y55" s="28">
        <v>5.6</v>
      </c>
      <c r="Z55" s="28">
        <f t="shared" si="1"/>
        <v>16.23</v>
      </c>
      <c r="AA55" s="28"/>
    </row>
    <row r="56" spans="1:27" ht="15.75" customHeight="1">
      <c r="A56" s="70"/>
      <c r="B56" s="70"/>
      <c r="C56" s="70">
        <v>3</v>
      </c>
      <c r="D56" s="70" t="s">
        <v>39</v>
      </c>
      <c r="E56" s="78">
        <f>14.88-7.83</f>
        <v>7.0500000000000007</v>
      </c>
      <c r="F56" s="78">
        <f>2.85-2.49</f>
        <v>0.35999999999999988</v>
      </c>
      <c r="G56" s="78">
        <f>3.03-2.49</f>
        <v>0.53999999999999959</v>
      </c>
      <c r="H56" s="78">
        <f>17.2-7.83</f>
        <v>9.3699999999999992</v>
      </c>
      <c r="I56" s="78"/>
      <c r="J56" s="78">
        <f>18.12-7.83</f>
        <v>10.290000000000001</v>
      </c>
      <c r="K56" s="78">
        <f>2.77-2.49</f>
        <v>0.2799999999999998</v>
      </c>
      <c r="L56" s="78"/>
      <c r="M56" s="78">
        <f>58.26-20.95</f>
        <v>37.31</v>
      </c>
      <c r="N56" s="78">
        <f>14.34-7.83</f>
        <v>6.51</v>
      </c>
      <c r="O56" s="78">
        <f>2.75-2.49</f>
        <v>0.25999999999999979</v>
      </c>
      <c r="P56" s="78"/>
      <c r="Q56" s="78">
        <f>3.6-2.49</f>
        <v>1.1099999999999999</v>
      </c>
      <c r="R56" s="78">
        <f t="shared" si="4"/>
        <v>71.970000000000013</v>
      </c>
      <c r="S56" s="78"/>
      <c r="T56" s="78"/>
      <c r="V56" s="28" t="s">
        <v>195</v>
      </c>
      <c r="W56" s="28">
        <v>3.47</v>
      </c>
      <c r="X56" s="28">
        <v>5.52</v>
      </c>
      <c r="Y56" s="28">
        <v>2.5099999999999998</v>
      </c>
      <c r="Z56" s="28">
        <f t="shared" si="1"/>
        <v>8.99</v>
      </c>
      <c r="AA56" s="28"/>
    </row>
    <row r="57" spans="1:27" ht="15.75" customHeight="1">
      <c r="A57" s="70"/>
      <c r="B57" s="70"/>
      <c r="C57" s="70">
        <v>3</v>
      </c>
      <c r="D57" s="70" t="s">
        <v>97</v>
      </c>
      <c r="E57" s="78">
        <f>3.02-2.49</f>
        <v>0.5299999999999998</v>
      </c>
      <c r="F57" s="78">
        <f>4.09-2.49</f>
        <v>1.5999999999999996</v>
      </c>
      <c r="G57" s="78"/>
      <c r="H57" s="78">
        <f>28.63-20.95</f>
        <v>7.68</v>
      </c>
      <c r="I57" s="78">
        <f>3.1-2.49</f>
        <v>0.60999999999999988</v>
      </c>
      <c r="J57" s="78">
        <f>30.33-20.95</f>
        <v>9.379999999999999</v>
      </c>
      <c r="K57" s="76">
        <v>4.9800000000000004</v>
      </c>
      <c r="L57" s="78">
        <f>2.79-2.49</f>
        <v>0.29999999999999982</v>
      </c>
      <c r="M57" s="78">
        <f>56.69-20.95</f>
        <v>35.739999999999995</v>
      </c>
      <c r="N57" s="78">
        <f>5.89</f>
        <v>5.89</v>
      </c>
      <c r="O57" s="78"/>
      <c r="P57" s="78"/>
      <c r="Q57" s="76" t="s">
        <v>220</v>
      </c>
      <c r="R57" s="78">
        <f t="shared" si="4"/>
        <v>66.709999999999994</v>
      </c>
      <c r="S57" s="78"/>
      <c r="T57" s="78"/>
      <c r="V57" s="28" t="s">
        <v>195</v>
      </c>
      <c r="W57" s="28">
        <v>7.07</v>
      </c>
      <c r="X57" s="80"/>
      <c r="Y57" s="80"/>
      <c r="Z57" s="28">
        <f t="shared" si="1"/>
        <v>7.07</v>
      </c>
      <c r="AA57" s="28">
        <f>SUM(Z53:Z57)/5</f>
        <v>11.262</v>
      </c>
    </row>
    <row r="58" spans="1:27" ht="15.75" customHeight="1">
      <c r="A58" s="70"/>
      <c r="B58" s="70"/>
      <c r="C58" s="70">
        <v>4</v>
      </c>
      <c r="D58" s="70" t="s">
        <v>94</v>
      </c>
      <c r="E58" s="78">
        <f>2.57-2.49</f>
        <v>7.9999999999999627E-2</v>
      </c>
      <c r="F58" s="76">
        <f>2.63-2.49</f>
        <v>0.13999999999999968</v>
      </c>
      <c r="G58" s="78"/>
      <c r="H58" s="78">
        <f>33.44-20.95</f>
        <v>12.489999999999998</v>
      </c>
      <c r="I58" s="78">
        <f>2.5-2.49</f>
        <v>9.9999999999997868E-3</v>
      </c>
      <c r="J58" s="78">
        <f>16.61-7.83</f>
        <v>8.7799999999999994</v>
      </c>
      <c r="K58" s="78"/>
      <c r="L58" s="78"/>
      <c r="M58" s="78">
        <f>57.23-20.95</f>
        <v>36.28</v>
      </c>
      <c r="N58" s="76">
        <f>15.27-7.83</f>
        <v>7.4399999999999995</v>
      </c>
      <c r="O58" s="78">
        <f>3.41-2.49</f>
        <v>0.91999999999999993</v>
      </c>
      <c r="P58" s="78"/>
      <c r="Q58" s="78">
        <f>2.86-2.49</f>
        <v>0.36999999999999966</v>
      </c>
      <c r="R58" s="78">
        <f t="shared" si="4"/>
        <v>66.14</v>
      </c>
      <c r="S58" s="78"/>
      <c r="T58" s="76" t="s">
        <v>89</v>
      </c>
      <c r="U58" s="28"/>
      <c r="V58" s="28" t="s">
        <v>195</v>
      </c>
      <c r="W58" s="28">
        <v>5.6</v>
      </c>
      <c r="X58" s="28">
        <v>1.48</v>
      </c>
      <c r="Y58" s="28">
        <v>3.6</v>
      </c>
      <c r="Z58" s="28">
        <f t="shared" si="1"/>
        <v>7.08</v>
      </c>
      <c r="AA58" s="28"/>
    </row>
    <row r="59" spans="1:27" ht="15.75" customHeight="1">
      <c r="A59" s="70"/>
      <c r="B59" s="70"/>
      <c r="C59" s="70">
        <v>4</v>
      </c>
      <c r="D59" s="70" t="s">
        <v>95</v>
      </c>
      <c r="E59" s="78"/>
      <c r="F59" s="78"/>
      <c r="G59" s="78"/>
      <c r="H59" s="78">
        <f>30.15-E225</f>
        <v>15.769999999999998</v>
      </c>
      <c r="I59" s="78">
        <f>2.99-C225</f>
        <v>0.14000000000000012</v>
      </c>
      <c r="J59" s="78">
        <f>2.96-C225</f>
        <v>0.10999999999999988</v>
      </c>
      <c r="K59" s="78"/>
      <c r="L59" s="78"/>
      <c r="M59" s="78">
        <f>54.17-E225</f>
        <v>39.79</v>
      </c>
      <c r="N59" s="76">
        <f>14.84-7.83</f>
        <v>7.01</v>
      </c>
      <c r="O59" s="78">
        <f>3.13-C225</f>
        <v>0.2799999999999998</v>
      </c>
      <c r="P59" s="78"/>
      <c r="Q59" s="78">
        <f>3.43-C225</f>
        <v>0.58000000000000007</v>
      </c>
      <c r="R59" s="78">
        <f t="shared" si="4"/>
        <v>63.1</v>
      </c>
      <c r="S59" s="78"/>
      <c r="T59" s="78"/>
      <c r="V59" s="28" t="s">
        <v>195</v>
      </c>
      <c r="W59" s="28">
        <v>6.07</v>
      </c>
      <c r="X59" s="28">
        <v>2.54</v>
      </c>
      <c r="Y59" s="28">
        <v>4.6900000000000004</v>
      </c>
      <c r="Z59" s="28">
        <f t="shared" si="1"/>
        <v>8.61</v>
      </c>
      <c r="AA59" s="28"/>
    </row>
    <row r="60" spans="1:27" ht="15.75" customHeight="1">
      <c r="A60" s="70"/>
      <c r="B60" s="70"/>
      <c r="C60" s="70">
        <v>4</v>
      </c>
      <c r="D60" s="70" t="s">
        <v>96</v>
      </c>
      <c r="E60" s="78"/>
      <c r="F60" s="78">
        <f>3.11-C225</f>
        <v>0.25999999999999979</v>
      </c>
      <c r="G60" s="78">
        <f>3.27-C225</f>
        <v>0.41999999999999993</v>
      </c>
      <c r="H60" s="78">
        <f>25.99-F225</f>
        <v>6.0999999999999979</v>
      </c>
      <c r="I60" s="78">
        <f>3.16-C225</f>
        <v>0.31000000000000005</v>
      </c>
      <c r="J60" s="78"/>
      <c r="K60" s="78"/>
      <c r="L60" s="78"/>
      <c r="M60" s="78">
        <f>45.19-E225</f>
        <v>30.809999999999995</v>
      </c>
      <c r="N60" s="78">
        <f>8.75-D225</f>
        <v>1.4100000000000001</v>
      </c>
      <c r="O60" s="78">
        <f>3.08-C225</f>
        <v>0.22999999999999998</v>
      </c>
      <c r="P60" s="78"/>
      <c r="Q60" s="78">
        <f>8.72-C225</f>
        <v>5.870000000000001</v>
      </c>
      <c r="R60" s="78">
        <f t="shared" si="4"/>
        <v>39.539999999999985</v>
      </c>
      <c r="S60" s="78"/>
      <c r="T60" s="78"/>
      <c r="V60" s="28" t="s">
        <v>195</v>
      </c>
      <c r="W60" s="28">
        <v>3.98</v>
      </c>
      <c r="X60" s="28">
        <v>2.1</v>
      </c>
      <c r="Y60" s="28">
        <v>14.25</v>
      </c>
      <c r="Z60" s="28">
        <f t="shared" si="1"/>
        <v>6.08</v>
      </c>
      <c r="AA60" s="28"/>
    </row>
    <row r="61" spans="1:27" ht="15.75" customHeight="1">
      <c r="A61" s="70"/>
      <c r="B61" s="70"/>
      <c r="C61" s="70">
        <v>4</v>
      </c>
      <c r="D61" s="70" t="s">
        <v>39</v>
      </c>
      <c r="E61" s="78"/>
      <c r="F61" s="78"/>
      <c r="G61" s="78">
        <f>18.99-7.83</f>
        <v>11.159999999999998</v>
      </c>
      <c r="H61" s="78">
        <f>20.04-7.83</f>
        <v>12.209999999999999</v>
      </c>
      <c r="I61" s="78">
        <f>2.55-2.49</f>
        <v>5.9999999999999609E-2</v>
      </c>
      <c r="J61" s="78">
        <f>2.86-2.49</f>
        <v>0.36999999999999966</v>
      </c>
      <c r="K61" s="78"/>
      <c r="L61" s="78"/>
      <c r="M61" s="78">
        <f t="shared" ref="M61:M62" si="6">29.65-7.83</f>
        <v>21.82</v>
      </c>
      <c r="N61" s="78">
        <f>17.5-7.83</f>
        <v>9.67</v>
      </c>
      <c r="O61" s="78">
        <f>2.61-2.49</f>
        <v>0.11999999999999966</v>
      </c>
      <c r="P61" s="78"/>
      <c r="Q61" s="78">
        <f>9.12-2.49</f>
        <v>6.629999999999999</v>
      </c>
      <c r="R61" s="78">
        <f t="shared" si="4"/>
        <v>55.41</v>
      </c>
      <c r="S61" s="78"/>
      <c r="T61" s="78"/>
      <c r="V61" s="28" t="s">
        <v>195</v>
      </c>
      <c r="W61" s="28">
        <v>12.16</v>
      </c>
      <c r="X61" s="28">
        <v>3.06</v>
      </c>
      <c r="Y61" s="28">
        <v>6.24</v>
      </c>
      <c r="Z61" s="28">
        <f t="shared" si="1"/>
        <v>15.22</v>
      </c>
      <c r="AA61" s="28"/>
    </row>
    <row r="62" spans="1:27" ht="15.75" customHeight="1">
      <c r="A62" s="70"/>
      <c r="B62" s="70"/>
      <c r="C62" s="70">
        <v>4</v>
      </c>
      <c r="D62" s="70" t="s">
        <v>97</v>
      </c>
      <c r="E62" s="78"/>
      <c r="F62" s="78"/>
      <c r="G62" s="78"/>
      <c r="H62" s="78">
        <f>35.17-20.95</f>
        <v>14.220000000000002</v>
      </c>
      <c r="I62" s="78">
        <f>5.2-2.49</f>
        <v>2.71</v>
      </c>
      <c r="J62" s="78">
        <f>2.8-2.49</f>
        <v>0.30999999999999961</v>
      </c>
      <c r="K62" s="78"/>
      <c r="L62" s="78"/>
      <c r="M62" s="78">
        <f t="shared" si="6"/>
        <v>21.82</v>
      </c>
      <c r="N62" s="78">
        <f>43.32-20.95</f>
        <v>22.37</v>
      </c>
      <c r="O62" s="78"/>
      <c r="P62" s="78"/>
      <c r="Q62" s="78">
        <f>3.59-2.49</f>
        <v>1.0999999999999996</v>
      </c>
      <c r="R62" s="78">
        <f t="shared" si="4"/>
        <v>61.430000000000007</v>
      </c>
      <c r="S62" s="78"/>
      <c r="T62" s="78"/>
      <c r="V62" s="28" t="s">
        <v>195</v>
      </c>
      <c r="W62" s="28">
        <v>8.92</v>
      </c>
      <c r="X62" s="28">
        <v>3.11</v>
      </c>
      <c r="Y62" s="28">
        <v>4.42</v>
      </c>
      <c r="Z62" s="28">
        <f t="shared" si="1"/>
        <v>12.03</v>
      </c>
      <c r="AA62" s="28">
        <f>SUM(Z58:Z62)/5</f>
        <v>9.8040000000000003</v>
      </c>
    </row>
    <row r="63" spans="1:27" ht="15.75" customHeight="1">
      <c r="A63" s="70" t="s">
        <v>37</v>
      </c>
      <c r="B63" s="70" t="s">
        <v>98</v>
      </c>
      <c r="C63" s="70">
        <v>1</v>
      </c>
      <c r="D63" s="70" t="s">
        <v>94</v>
      </c>
      <c r="E63" s="78"/>
      <c r="F63" s="76">
        <v>0.23</v>
      </c>
      <c r="G63" s="78"/>
      <c r="H63" s="76">
        <v>9.2799999999999994</v>
      </c>
      <c r="I63" s="76">
        <v>0.06</v>
      </c>
      <c r="J63" s="76">
        <v>17.16</v>
      </c>
      <c r="K63" s="76">
        <v>1.07</v>
      </c>
      <c r="L63" s="78"/>
      <c r="M63" s="76">
        <v>7.9</v>
      </c>
      <c r="N63" s="76">
        <v>22.37</v>
      </c>
      <c r="O63" s="76">
        <v>1.73</v>
      </c>
      <c r="P63" s="78"/>
      <c r="Q63" s="76">
        <v>0.05</v>
      </c>
      <c r="R63" s="78">
        <f t="shared" si="4"/>
        <v>59.800000000000004</v>
      </c>
      <c r="S63" s="78"/>
      <c r="T63" s="76" t="s">
        <v>87</v>
      </c>
      <c r="U63" s="28"/>
      <c r="V63" s="28" t="s">
        <v>195</v>
      </c>
      <c r="W63" s="28">
        <v>10.41</v>
      </c>
      <c r="X63" s="28">
        <f>4.13-2.85</f>
        <v>1.2799999999999998</v>
      </c>
      <c r="Y63" s="28">
        <f>5.24-2.85</f>
        <v>2.39</v>
      </c>
      <c r="Z63" s="28">
        <f t="shared" si="1"/>
        <v>11.69</v>
      </c>
      <c r="AA63" s="28"/>
    </row>
    <row r="64" spans="1:27" ht="15.75" customHeight="1">
      <c r="A64" s="70"/>
      <c r="B64" s="70"/>
      <c r="C64" s="70">
        <v>1</v>
      </c>
      <c r="D64" s="70" t="s">
        <v>95</v>
      </c>
      <c r="E64" s="76">
        <v>1.55</v>
      </c>
      <c r="F64" s="76">
        <v>1.7</v>
      </c>
      <c r="G64" s="76"/>
      <c r="H64" s="76">
        <v>5.52</v>
      </c>
      <c r="I64" s="76">
        <v>3.29</v>
      </c>
      <c r="J64" s="76">
        <v>22.91</v>
      </c>
      <c r="K64" s="76">
        <v>2.96</v>
      </c>
      <c r="L64" s="78"/>
      <c r="M64" s="76">
        <v>21.89</v>
      </c>
      <c r="N64" s="76">
        <v>24.19</v>
      </c>
      <c r="O64" s="76">
        <v>3.34</v>
      </c>
      <c r="P64" s="78"/>
      <c r="Q64" s="78"/>
      <c r="R64" s="78">
        <f t="shared" si="4"/>
        <v>87.350000000000009</v>
      </c>
      <c r="S64" s="78"/>
      <c r="T64" s="78"/>
      <c r="V64" s="28" t="s">
        <v>195</v>
      </c>
      <c r="W64" s="28">
        <v>6.77</v>
      </c>
      <c r="X64">
        <f>4.02-2.85</f>
        <v>1.1699999999999995</v>
      </c>
      <c r="Y64">
        <f>5.71-2.85</f>
        <v>2.86</v>
      </c>
      <c r="Z64" s="28">
        <f t="shared" si="1"/>
        <v>7.9399999999999995</v>
      </c>
      <c r="AA64" s="28"/>
    </row>
    <row r="65" spans="1:27" ht="15.75" customHeight="1">
      <c r="A65" s="70"/>
      <c r="B65" s="70"/>
      <c r="C65" s="70">
        <v>1</v>
      </c>
      <c r="D65" s="70" t="s">
        <v>96</v>
      </c>
      <c r="E65" s="78"/>
      <c r="F65" s="78"/>
      <c r="G65" s="78"/>
      <c r="H65" s="85"/>
      <c r="I65" s="76">
        <v>2.67</v>
      </c>
      <c r="J65" s="76">
        <v>11.33</v>
      </c>
      <c r="K65" s="76">
        <v>3.21</v>
      </c>
      <c r="L65" s="78"/>
      <c r="M65" s="76">
        <v>8.15</v>
      </c>
      <c r="N65" s="76">
        <v>5.96</v>
      </c>
      <c r="O65" s="76">
        <v>1.68</v>
      </c>
      <c r="P65" s="78"/>
      <c r="Q65" s="76">
        <v>1.82</v>
      </c>
      <c r="R65" s="78">
        <f t="shared" si="4"/>
        <v>33</v>
      </c>
      <c r="S65" s="78"/>
      <c r="T65" s="78"/>
      <c r="V65" s="28" t="s">
        <v>195</v>
      </c>
      <c r="W65" s="28">
        <v>7.51</v>
      </c>
      <c r="X65">
        <f>5.99-2.85</f>
        <v>3.14</v>
      </c>
      <c r="Y65">
        <f>7.01-2.85</f>
        <v>4.16</v>
      </c>
      <c r="Z65" s="28">
        <f t="shared" si="1"/>
        <v>10.65</v>
      </c>
      <c r="AA65" s="28"/>
    </row>
    <row r="66" spans="1:27" ht="15.75" customHeight="1">
      <c r="A66" s="70"/>
      <c r="B66" s="70"/>
      <c r="C66" s="70">
        <v>1</v>
      </c>
      <c r="D66" s="70" t="s">
        <v>39</v>
      </c>
      <c r="E66" s="78"/>
      <c r="F66" s="78"/>
      <c r="G66" s="78"/>
      <c r="H66" s="76">
        <v>10.72</v>
      </c>
      <c r="I66" s="76">
        <v>0.12</v>
      </c>
      <c r="J66" s="76">
        <v>9.34</v>
      </c>
      <c r="K66" s="76">
        <v>0.98</v>
      </c>
      <c r="L66" s="78"/>
      <c r="M66" s="76">
        <v>24.76</v>
      </c>
      <c r="N66" s="76">
        <v>18.510000000000002</v>
      </c>
      <c r="O66" s="76">
        <v>0.47</v>
      </c>
      <c r="P66" s="78"/>
      <c r="Q66" s="76">
        <v>1.33</v>
      </c>
      <c r="R66" s="78">
        <f t="shared" si="4"/>
        <v>64.900000000000006</v>
      </c>
      <c r="S66" s="78"/>
      <c r="T66" s="78"/>
      <c r="V66" s="28" t="s">
        <v>195</v>
      </c>
      <c r="W66" s="28">
        <v>9.7200000000000006</v>
      </c>
      <c r="X66">
        <f>4.29-2.85</f>
        <v>1.44</v>
      </c>
      <c r="Y66" s="28">
        <v>6.39</v>
      </c>
      <c r="Z66" s="28">
        <f t="shared" si="1"/>
        <v>11.16</v>
      </c>
      <c r="AA66" s="28"/>
    </row>
    <row r="67" spans="1:27" ht="15.75" customHeight="1">
      <c r="A67" s="70"/>
      <c r="B67" s="70"/>
      <c r="C67" s="70">
        <v>1</v>
      </c>
      <c r="D67" s="70" t="s">
        <v>97</v>
      </c>
      <c r="E67" s="76">
        <v>2.56</v>
      </c>
      <c r="F67" s="78"/>
      <c r="G67" s="78"/>
      <c r="H67" s="76">
        <v>8.89</v>
      </c>
      <c r="I67" s="78"/>
      <c r="J67" s="76">
        <v>25.02</v>
      </c>
      <c r="K67" s="76">
        <v>17.260000000000002</v>
      </c>
      <c r="L67" s="78"/>
      <c r="M67" s="76">
        <v>2.79</v>
      </c>
      <c r="N67" s="76">
        <v>18.61</v>
      </c>
      <c r="O67" s="76">
        <v>0.71</v>
      </c>
      <c r="P67" s="78"/>
      <c r="Q67" s="76">
        <v>1.53</v>
      </c>
      <c r="R67" s="78">
        <f t="shared" si="4"/>
        <v>75.839999999999989</v>
      </c>
      <c r="S67" s="78"/>
      <c r="T67" s="78"/>
      <c r="V67" s="28" t="s">
        <v>195</v>
      </c>
      <c r="W67" s="28">
        <v>9.42</v>
      </c>
      <c r="X67">
        <f>5.86-2.85</f>
        <v>3.0100000000000002</v>
      </c>
      <c r="Y67">
        <f>5.05-2.85</f>
        <v>2.1999999999999997</v>
      </c>
      <c r="Z67" s="28">
        <f t="shared" si="1"/>
        <v>12.43</v>
      </c>
      <c r="AA67" s="28">
        <f>SUM(Z63:Z67)/5</f>
        <v>10.773999999999999</v>
      </c>
    </row>
    <row r="68" spans="1:27" ht="15.75" customHeight="1">
      <c r="A68" s="70"/>
      <c r="B68" s="70"/>
      <c r="C68" s="70">
        <v>2</v>
      </c>
      <c r="D68" s="70" t="s">
        <v>94</v>
      </c>
      <c r="E68" s="76">
        <v>4.51</v>
      </c>
      <c r="F68" s="76">
        <v>2.23</v>
      </c>
      <c r="G68" s="76"/>
      <c r="H68" s="76">
        <v>9.25</v>
      </c>
      <c r="I68" s="78"/>
      <c r="J68" s="76">
        <v>14.74</v>
      </c>
      <c r="K68" s="76">
        <v>3.42</v>
      </c>
      <c r="L68" s="76">
        <v>0.14000000000000001</v>
      </c>
      <c r="M68" s="76">
        <v>9.83</v>
      </c>
      <c r="N68" s="76">
        <v>16.52</v>
      </c>
      <c r="O68" s="76">
        <v>0.51</v>
      </c>
      <c r="P68" s="78"/>
      <c r="Q68" s="76">
        <v>0.03</v>
      </c>
      <c r="R68" s="78">
        <f t="shared" si="4"/>
        <v>61.15</v>
      </c>
      <c r="S68" s="78"/>
      <c r="T68" s="76" t="s">
        <v>149</v>
      </c>
      <c r="U68" s="28"/>
      <c r="V68" s="28" t="s">
        <v>195</v>
      </c>
      <c r="W68" s="28">
        <v>9.4</v>
      </c>
      <c r="X68" s="28">
        <v>4.68</v>
      </c>
      <c r="Y68" s="28">
        <f>5.17-2.85</f>
        <v>2.3199999999999998</v>
      </c>
      <c r="Z68" s="28">
        <f t="shared" si="1"/>
        <v>14.08</v>
      </c>
      <c r="AA68" s="28"/>
    </row>
    <row r="69" spans="1:27" ht="15.75" customHeight="1">
      <c r="A69" s="70"/>
      <c r="B69" s="70"/>
      <c r="C69" s="70">
        <v>2</v>
      </c>
      <c r="D69" s="70" t="s">
        <v>95</v>
      </c>
      <c r="E69" s="78"/>
      <c r="F69" s="78"/>
      <c r="G69" s="78"/>
      <c r="H69" s="78">
        <f>13.89-7.83</f>
        <v>6.0600000000000005</v>
      </c>
      <c r="I69" s="78">
        <f>2.7-2.49</f>
        <v>0.20999999999999996</v>
      </c>
      <c r="J69" s="78">
        <f>43.32-20.95</f>
        <v>22.37</v>
      </c>
      <c r="K69" s="78">
        <f>16.71-7.83</f>
        <v>8.8800000000000008</v>
      </c>
      <c r="L69" s="78"/>
      <c r="M69" s="78">
        <f>19.73-7.83</f>
        <v>11.9</v>
      </c>
      <c r="N69" s="78">
        <f>40.32-20.95</f>
        <v>19.37</v>
      </c>
      <c r="O69" s="78">
        <f>4.38-2.49</f>
        <v>1.8899999999999997</v>
      </c>
      <c r="P69" s="78"/>
      <c r="Q69" s="78">
        <f>4.47-2.49</f>
        <v>1.9799999999999995</v>
      </c>
      <c r="R69" s="78">
        <f t="shared" si="4"/>
        <v>70.680000000000007</v>
      </c>
      <c r="S69" s="78"/>
      <c r="T69" s="78"/>
      <c r="V69" s="28" t="s">
        <v>195</v>
      </c>
      <c r="W69" s="28">
        <v>5.29</v>
      </c>
      <c r="X69">
        <f>5.28-2.85</f>
        <v>2.4300000000000002</v>
      </c>
      <c r="Y69" s="28">
        <v>7.34</v>
      </c>
      <c r="Z69" s="28">
        <f t="shared" si="1"/>
        <v>7.7200000000000006</v>
      </c>
      <c r="AA69" s="28"/>
    </row>
    <row r="70" spans="1:27" ht="15.75" customHeight="1">
      <c r="A70" s="70"/>
      <c r="B70" s="70"/>
      <c r="C70" s="70">
        <v>2</v>
      </c>
      <c r="D70" s="70" t="s">
        <v>96</v>
      </c>
      <c r="E70" s="76">
        <v>7.0000000000000007E-2</v>
      </c>
      <c r="F70" s="78"/>
      <c r="G70" s="76">
        <v>0.46</v>
      </c>
      <c r="H70" s="76">
        <v>7.53</v>
      </c>
      <c r="I70" s="76">
        <v>0.17</v>
      </c>
      <c r="J70" s="76">
        <v>24</v>
      </c>
      <c r="K70" s="76">
        <v>1.44</v>
      </c>
      <c r="L70" s="78"/>
      <c r="M70" s="76">
        <v>9.74</v>
      </c>
      <c r="N70" s="76">
        <v>17.059999999999999</v>
      </c>
      <c r="O70" s="76">
        <v>1.34</v>
      </c>
      <c r="P70" s="78"/>
      <c r="Q70" s="78"/>
      <c r="R70" s="78">
        <f t="shared" si="4"/>
        <v>61.81</v>
      </c>
      <c r="S70" s="78"/>
      <c r="T70" s="78"/>
      <c r="V70" s="28" t="s">
        <v>195</v>
      </c>
      <c r="W70" s="28">
        <f>12.42-7.34</f>
        <v>5.08</v>
      </c>
      <c r="X70">
        <f>5.64-2.85</f>
        <v>2.7899999999999996</v>
      </c>
      <c r="Y70" s="28">
        <f>5.1-2.85</f>
        <v>2.2499999999999996</v>
      </c>
      <c r="Z70" s="28">
        <f t="shared" si="1"/>
        <v>7.8699999999999992</v>
      </c>
      <c r="AA70" s="28"/>
    </row>
    <row r="71" spans="1:27" ht="15.75" customHeight="1">
      <c r="A71" s="70"/>
      <c r="B71" s="70"/>
      <c r="C71" s="70">
        <v>2</v>
      </c>
      <c r="D71" s="70" t="s">
        <v>39</v>
      </c>
      <c r="E71" s="76">
        <v>0.06</v>
      </c>
      <c r="F71" s="78"/>
      <c r="G71" s="76">
        <v>0.39</v>
      </c>
      <c r="H71" s="76">
        <v>9.48</v>
      </c>
      <c r="I71" s="78"/>
      <c r="J71" s="76">
        <v>9.9499999999999993</v>
      </c>
      <c r="K71" s="76">
        <v>2.65</v>
      </c>
      <c r="L71" s="78"/>
      <c r="M71" s="76">
        <v>15.65</v>
      </c>
      <c r="N71" s="76">
        <v>20.48</v>
      </c>
      <c r="O71" s="76">
        <v>0.39</v>
      </c>
      <c r="P71" s="78"/>
      <c r="Q71" s="76">
        <v>0.56999999999999995</v>
      </c>
      <c r="R71" s="78">
        <f t="shared" si="4"/>
        <v>59.05</v>
      </c>
      <c r="S71" s="78"/>
      <c r="T71" s="78"/>
      <c r="V71" s="28" t="s">
        <v>195</v>
      </c>
      <c r="W71" s="28">
        <v>6.46</v>
      </c>
      <c r="X71">
        <f>4.2-2.85</f>
        <v>1.35</v>
      </c>
      <c r="Y71" s="28">
        <f>4.71-2.85</f>
        <v>1.8599999999999999</v>
      </c>
      <c r="Z71" s="28">
        <f t="shared" si="1"/>
        <v>7.8100000000000005</v>
      </c>
      <c r="AA71" s="28"/>
    </row>
    <row r="72" spans="1:27" ht="15.75" customHeight="1">
      <c r="A72" s="70"/>
      <c r="B72" s="70"/>
      <c r="C72" s="70">
        <v>2</v>
      </c>
      <c r="D72" s="70" t="s">
        <v>97</v>
      </c>
      <c r="E72" s="78"/>
      <c r="F72" s="78"/>
      <c r="G72" s="78"/>
      <c r="H72" s="76">
        <v>7.74</v>
      </c>
      <c r="I72" s="76">
        <v>2.5499999999999998</v>
      </c>
      <c r="J72" s="76">
        <v>15.01</v>
      </c>
      <c r="K72" s="76">
        <v>26.91</v>
      </c>
      <c r="L72" s="78"/>
      <c r="M72" s="76">
        <v>14.15</v>
      </c>
      <c r="N72" s="76">
        <v>31.45</v>
      </c>
      <c r="O72" s="76">
        <v>3.65</v>
      </c>
      <c r="P72" s="78"/>
      <c r="Q72" s="76">
        <v>4.26</v>
      </c>
      <c r="R72" s="78">
        <f t="shared" si="4"/>
        <v>101.46000000000001</v>
      </c>
      <c r="S72" s="78"/>
      <c r="T72" s="78"/>
      <c r="V72" s="28" t="s">
        <v>195</v>
      </c>
      <c r="W72" s="28">
        <v>25.95</v>
      </c>
      <c r="X72" s="28">
        <v>6.01</v>
      </c>
      <c r="Y72" s="28">
        <v>6.05</v>
      </c>
      <c r="Z72" s="28">
        <f t="shared" si="1"/>
        <v>31.96</v>
      </c>
      <c r="AA72" s="28">
        <f>SUM(Z68:Z72)/5</f>
        <v>13.888</v>
      </c>
    </row>
    <row r="73" spans="1:27" ht="15.75" customHeight="1">
      <c r="A73" s="70"/>
      <c r="B73" s="70"/>
      <c r="C73" s="70">
        <v>3</v>
      </c>
      <c r="D73" s="70" t="s">
        <v>94</v>
      </c>
      <c r="E73" s="78"/>
      <c r="F73" s="76">
        <v>2.83</v>
      </c>
      <c r="G73" s="78"/>
      <c r="H73" s="76">
        <v>25.23</v>
      </c>
      <c r="I73" s="78"/>
      <c r="J73" s="76">
        <v>24.26</v>
      </c>
      <c r="K73" s="78"/>
      <c r="L73" s="78"/>
      <c r="M73" s="76">
        <v>8.77</v>
      </c>
      <c r="N73" s="76">
        <v>28.59</v>
      </c>
      <c r="O73" s="76">
        <v>3.18</v>
      </c>
      <c r="P73" s="78"/>
      <c r="Q73" s="76">
        <v>6.51</v>
      </c>
      <c r="R73" s="78">
        <f t="shared" si="4"/>
        <v>92.860000000000014</v>
      </c>
      <c r="S73" s="78"/>
      <c r="T73" s="76" t="s">
        <v>90</v>
      </c>
      <c r="U73" s="28"/>
      <c r="V73" s="28" t="s">
        <v>195</v>
      </c>
      <c r="W73" s="28">
        <v>2.82</v>
      </c>
      <c r="X73" s="28">
        <v>1.56</v>
      </c>
      <c r="Y73" s="28">
        <v>1.87</v>
      </c>
      <c r="Z73" s="28">
        <f t="shared" si="1"/>
        <v>4.38</v>
      </c>
      <c r="AA73" s="28"/>
    </row>
    <row r="74" spans="1:27" ht="15.75" customHeight="1">
      <c r="A74" s="70"/>
      <c r="B74" s="70"/>
      <c r="C74" s="70">
        <v>3</v>
      </c>
      <c r="D74" s="70" t="s">
        <v>95</v>
      </c>
      <c r="E74" s="76">
        <v>2.93</v>
      </c>
      <c r="F74" s="78"/>
      <c r="G74" s="78"/>
      <c r="H74" s="76">
        <v>21.7</v>
      </c>
      <c r="I74" s="76">
        <v>2.4900000000000002</v>
      </c>
      <c r="J74" s="76">
        <v>17.45</v>
      </c>
      <c r="K74" s="76">
        <v>2.62</v>
      </c>
      <c r="L74" s="78"/>
      <c r="M74" s="76">
        <v>6.82</v>
      </c>
      <c r="N74" s="76">
        <v>13.74</v>
      </c>
      <c r="O74" s="78"/>
      <c r="P74" s="78"/>
      <c r="Q74" s="76">
        <v>4.51</v>
      </c>
      <c r="R74" s="78">
        <f t="shared" si="4"/>
        <v>67.749999999999986</v>
      </c>
      <c r="S74" s="78"/>
      <c r="T74" s="78"/>
      <c r="V74" s="28" t="s">
        <v>195</v>
      </c>
      <c r="W74" s="28">
        <v>21.62</v>
      </c>
      <c r="X74">
        <f>3.97-2.85</f>
        <v>1.1200000000000001</v>
      </c>
      <c r="Y74">
        <f>5-2.85</f>
        <v>2.15</v>
      </c>
      <c r="Z74" s="28">
        <f t="shared" si="1"/>
        <v>22.740000000000002</v>
      </c>
      <c r="AA74" s="28"/>
    </row>
    <row r="75" spans="1:27" ht="15.75" customHeight="1">
      <c r="A75" s="70"/>
      <c r="B75" s="70"/>
      <c r="C75" s="70">
        <v>3</v>
      </c>
      <c r="D75" s="70" t="s">
        <v>96</v>
      </c>
      <c r="E75" s="78"/>
      <c r="F75" s="78"/>
      <c r="G75" s="78"/>
      <c r="H75" s="76">
        <v>11.27</v>
      </c>
      <c r="I75" s="76">
        <v>0.34</v>
      </c>
      <c r="J75" s="76">
        <v>32.619999999999997</v>
      </c>
      <c r="K75" s="76">
        <v>0.47</v>
      </c>
      <c r="L75" s="78"/>
      <c r="M75" s="76">
        <v>6.43</v>
      </c>
      <c r="N75" s="76">
        <v>20.98</v>
      </c>
      <c r="O75" s="76">
        <v>2.4300000000000002</v>
      </c>
      <c r="P75" s="78"/>
      <c r="Q75" s="76">
        <v>1.87</v>
      </c>
      <c r="R75" s="78">
        <f t="shared" si="4"/>
        <v>74.540000000000006</v>
      </c>
      <c r="S75" s="78"/>
      <c r="T75" s="78"/>
      <c r="V75" s="28" t="s">
        <v>195</v>
      </c>
      <c r="W75" s="28">
        <v>5.21</v>
      </c>
      <c r="X75" s="28">
        <v>1.89</v>
      </c>
      <c r="Y75">
        <f>7.35-2.85</f>
        <v>4.5</v>
      </c>
      <c r="Z75" s="28">
        <f t="shared" si="1"/>
        <v>7.1</v>
      </c>
      <c r="AA75" s="28"/>
    </row>
    <row r="76" spans="1:27" ht="15.75" customHeight="1">
      <c r="A76" s="70"/>
      <c r="B76" s="70"/>
      <c r="C76" s="70">
        <v>3</v>
      </c>
      <c r="D76" s="70" t="s">
        <v>39</v>
      </c>
      <c r="E76" s="78"/>
      <c r="F76" s="78"/>
      <c r="G76" s="78"/>
      <c r="H76" s="76">
        <v>9.1300000000000008</v>
      </c>
      <c r="I76" s="76">
        <v>1.45</v>
      </c>
      <c r="J76" s="76">
        <v>2.77</v>
      </c>
      <c r="K76" s="76">
        <v>2.95</v>
      </c>
      <c r="L76" s="78"/>
      <c r="M76" s="76">
        <v>24.33</v>
      </c>
      <c r="N76" s="76">
        <v>12.13</v>
      </c>
      <c r="O76" s="76">
        <v>2.61</v>
      </c>
      <c r="P76" s="78"/>
      <c r="Q76" s="76">
        <v>3.4</v>
      </c>
      <c r="R76" s="78">
        <f t="shared" si="4"/>
        <v>55.37</v>
      </c>
      <c r="S76" s="78"/>
      <c r="T76" s="78"/>
      <c r="V76" s="28" t="s">
        <v>195</v>
      </c>
      <c r="W76" s="28">
        <v>13.97</v>
      </c>
      <c r="X76" s="28">
        <f>4.83-2.85</f>
        <v>1.98</v>
      </c>
      <c r="Y76">
        <f>7.9-2.85</f>
        <v>5.0500000000000007</v>
      </c>
      <c r="Z76" s="28">
        <f t="shared" si="1"/>
        <v>15.950000000000001</v>
      </c>
      <c r="AA76" s="28"/>
    </row>
    <row r="77" spans="1:27" ht="15.75" customHeight="1">
      <c r="A77" s="70"/>
      <c r="B77" s="70"/>
      <c r="C77" s="70">
        <v>3</v>
      </c>
      <c r="D77" s="70" t="s">
        <v>97</v>
      </c>
      <c r="E77" s="76">
        <v>2.89</v>
      </c>
      <c r="F77" s="76">
        <v>2.66</v>
      </c>
      <c r="G77" s="76"/>
      <c r="H77" s="76">
        <v>12.54</v>
      </c>
      <c r="I77" s="78"/>
      <c r="J77" s="76">
        <v>20.02</v>
      </c>
      <c r="K77" s="76">
        <v>3.99</v>
      </c>
      <c r="L77" s="78"/>
      <c r="M77" s="76">
        <v>11.16</v>
      </c>
      <c r="N77" s="76">
        <v>23.06</v>
      </c>
      <c r="O77" s="76">
        <v>2.71</v>
      </c>
      <c r="P77" s="78"/>
      <c r="Q77" s="76">
        <v>7.36</v>
      </c>
      <c r="R77" s="78">
        <f t="shared" si="4"/>
        <v>79.03</v>
      </c>
      <c r="S77" s="78"/>
      <c r="T77" s="78"/>
      <c r="V77" s="28" t="s">
        <v>195</v>
      </c>
      <c r="W77" s="91"/>
      <c r="X77" s="91"/>
      <c r="Y77" s="91"/>
      <c r="Z77" s="28">
        <f t="shared" si="1"/>
        <v>0</v>
      </c>
      <c r="AA77" s="28">
        <f>SUM(Z73:Z77)/5</f>
        <v>10.034000000000001</v>
      </c>
    </row>
    <row r="78" spans="1:27" ht="15.75" customHeight="1">
      <c r="A78" s="70"/>
      <c r="B78" s="70"/>
      <c r="C78" s="70">
        <v>4</v>
      </c>
      <c r="D78" s="70" t="s">
        <v>94</v>
      </c>
      <c r="E78" s="76">
        <v>2.5299999999999998</v>
      </c>
      <c r="F78" s="76">
        <v>4.92</v>
      </c>
      <c r="G78" s="78"/>
      <c r="H78" s="76">
        <v>18.98</v>
      </c>
      <c r="I78" s="76">
        <v>2.5099999999999998</v>
      </c>
      <c r="J78" s="76">
        <v>4.99</v>
      </c>
      <c r="K78" s="76">
        <v>1.24</v>
      </c>
      <c r="L78" s="76">
        <v>3.06</v>
      </c>
      <c r="M78" s="76">
        <v>2.8</v>
      </c>
      <c r="N78" s="76">
        <v>25.05</v>
      </c>
      <c r="O78" s="76">
        <v>3.19</v>
      </c>
      <c r="P78" s="78"/>
      <c r="Q78" s="76">
        <v>3.48</v>
      </c>
      <c r="R78" s="78">
        <f t="shared" si="4"/>
        <v>69.27</v>
      </c>
      <c r="S78" s="78"/>
      <c r="T78" s="76" t="s">
        <v>89</v>
      </c>
      <c r="U78" s="28"/>
      <c r="V78" s="28" t="s">
        <v>195</v>
      </c>
      <c r="W78" s="28">
        <v>4.54</v>
      </c>
      <c r="X78" s="28">
        <v>3.46</v>
      </c>
      <c r="Y78">
        <f>6.71-2.85</f>
        <v>3.86</v>
      </c>
      <c r="Z78" s="28">
        <f t="shared" si="1"/>
        <v>8</v>
      </c>
      <c r="AA78" s="28"/>
    </row>
    <row r="79" spans="1:27" ht="15.75" customHeight="1">
      <c r="A79" s="70"/>
      <c r="B79" s="70"/>
      <c r="C79" s="70">
        <v>4</v>
      </c>
      <c r="D79" s="70" t="s">
        <v>95</v>
      </c>
      <c r="E79" s="78"/>
      <c r="F79" s="78"/>
      <c r="G79" s="78"/>
      <c r="H79" s="78">
        <f>13.22-7.83</f>
        <v>5.3900000000000006</v>
      </c>
      <c r="I79" s="76">
        <v>1.57</v>
      </c>
      <c r="J79" s="78">
        <f>34.86-20.95</f>
        <v>13.91</v>
      </c>
      <c r="K79" s="76">
        <v>1.0900000000000001</v>
      </c>
      <c r="L79" s="78"/>
      <c r="M79" s="78">
        <f>42.22-20.95</f>
        <v>21.27</v>
      </c>
      <c r="N79" s="78">
        <f>24.41-20.95</f>
        <v>3.4600000000000009</v>
      </c>
      <c r="O79" s="78">
        <f>4.05-2.49</f>
        <v>1.5599999999999996</v>
      </c>
      <c r="P79" s="78"/>
      <c r="Q79" s="78">
        <f>2.17-1.45</f>
        <v>0.72</v>
      </c>
      <c r="R79" s="78">
        <f t="shared" si="4"/>
        <v>48.250000000000007</v>
      </c>
      <c r="S79" s="78"/>
      <c r="T79" s="78"/>
      <c r="V79" s="28" t="s">
        <v>195</v>
      </c>
      <c r="W79" s="28">
        <v>6.69</v>
      </c>
      <c r="X79">
        <f>6.54-2.85</f>
        <v>3.69</v>
      </c>
      <c r="Y79" s="80"/>
      <c r="Z79" s="28">
        <f t="shared" si="1"/>
        <v>10.38</v>
      </c>
      <c r="AA79" s="28"/>
    </row>
    <row r="80" spans="1:27" ht="15.75" customHeight="1">
      <c r="A80" s="70"/>
      <c r="B80" s="70"/>
      <c r="C80" s="70">
        <v>4</v>
      </c>
      <c r="D80" s="70" t="s">
        <v>96</v>
      </c>
      <c r="E80" s="76">
        <v>0.03</v>
      </c>
      <c r="F80" s="76">
        <v>0.21</v>
      </c>
      <c r="G80" s="78"/>
      <c r="H80" s="76">
        <v>13.79</v>
      </c>
      <c r="I80" s="76">
        <v>0.15</v>
      </c>
      <c r="J80" s="76">
        <v>25.26</v>
      </c>
      <c r="K80" s="76">
        <v>0.56000000000000005</v>
      </c>
      <c r="L80" s="76">
        <v>0.64</v>
      </c>
      <c r="M80" s="76">
        <v>8.3000000000000007</v>
      </c>
      <c r="N80" s="76">
        <v>28.91</v>
      </c>
      <c r="O80" s="76">
        <v>1.41</v>
      </c>
      <c r="P80" s="78"/>
      <c r="Q80" s="76">
        <f>3.59-2.49</f>
        <v>1.0999999999999996</v>
      </c>
      <c r="R80" s="78">
        <f t="shared" si="4"/>
        <v>79.259999999999991</v>
      </c>
      <c r="S80" s="78"/>
      <c r="T80" s="78"/>
      <c r="V80" s="28" t="s">
        <v>195</v>
      </c>
      <c r="W80" s="28">
        <v>4.28</v>
      </c>
      <c r="X80">
        <f>5.63-2.85</f>
        <v>2.78</v>
      </c>
      <c r="Y80" s="28">
        <v>5.92</v>
      </c>
      <c r="Z80" s="28">
        <f t="shared" si="1"/>
        <v>7.0600000000000005</v>
      </c>
      <c r="AA80" s="28"/>
    </row>
    <row r="81" spans="1:27" ht="15.75" customHeight="1">
      <c r="A81" s="70"/>
      <c r="B81" s="70"/>
      <c r="C81" s="70">
        <v>4</v>
      </c>
      <c r="D81" s="70" t="s">
        <v>39</v>
      </c>
      <c r="E81" s="78"/>
      <c r="F81" s="76">
        <v>0.84</v>
      </c>
      <c r="G81" s="78"/>
      <c r="H81" s="76">
        <v>12.61</v>
      </c>
      <c r="I81" s="76">
        <v>0.1</v>
      </c>
      <c r="J81" s="76">
        <v>6.12</v>
      </c>
      <c r="K81" s="76">
        <v>0.25</v>
      </c>
      <c r="L81" s="76">
        <v>0.22</v>
      </c>
      <c r="M81" s="76">
        <v>6.8</v>
      </c>
      <c r="N81" s="76">
        <v>36.28</v>
      </c>
      <c r="O81" s="76">
        <v>1.57</v>
      </c>
      <c r="P81" s="78"/>
      <c r="Q81" s="78"/>
      <c r="R81" s="78">
        <f t="shared" si="4"/>
        <v>64.789999999999992</v>
      </c>
      <c r="S81" s="78"/>
      <c r="T81" s="78"/>
      <c r="V81" s="28" t="s">
        <v>195</v>
      </c>
      <c r="W81" s="28">
        <v>4.96</v>
      </c>
      <c r="X81">
        <f>3.69-2.85</f>
        <v>0.83999999999999986</v>
      </c>
      <c r="Y81">
        <f>5.71-2.85</f>
        <v>2.86</v>
      </c>
      <c r="Z81" s="28">
        <f t="shared" si="1"/>
        <v>5.8</v>
      </c>
      <c r="AA81" s="28"/>
    </row>
    <row r="82" spans="1:27" ht="15.75" customHeight="1">
      <c r="A82" s="70"/>
      <c r="B82" s="70"/>
      <c r="C82" s="70">
        <v>4</v>
      </c>
      <c r="D82" s="70" t="s">
        <v>97</v>
      </c>
      <c r="E82" s="78"/>
      <c r="F82" s="76">
        <v>1.67</v>
      </c>
      <c r="G82" s="78"/>
      <c r="H82" s="76">
        <v>12.76</v>
      </c>
      <c r="I82" s="76">
        <v>1.53</v>
      </c>
      <c r="J82" s="76">
        <v>34.49</v>
      </c>
      <c r="K82" s="76">
        <v>3.52</v>
      </c>
      <c r="L82" s="78"/>
      <c r="M82" s="76">
        <v>6.99</v>
      </c>
      <c r="N82" s="76">
        <v>17.5</v>
      </c>
      <c r="O82" s="76">
        <v>1.72</v>
      </c>
      <c r="P82" s="78"/>
      <c r="Q82" s="76">
        <v>1.94</v>
      </c>
      <c r="R82" s="78">
        <f t="shared" si="4"/>
        <v>80.180000000000007</v>
      </c>
      <c r="S82" s="78"/>
      <c r="T82" s="78"/>
      <c r="V82" s="28" t="s">
        <v>195</v>
      </c>
      <c r="W82" s="28">
        <v>7.28</v>
      </c>
      <c r="X82">
        <f>4.06-2.85</f>
        <v>1.2099999999999995</v>
      </c>
      <c r="Y82">
        <f>6.97-2.85</f>
        <v>4.1199999999999992</v>
      </c>
      <c r="Z82" s="28">
        <f t="shared" si="1"/>
        <v>8.49</v>
      </c>
      <c r="AA82" s="28">
        <f>SUM('Spring 2016 (Found on Spring 20'!D5:D9)/5</f>
        <v>14.561760439560439</v>
      </c>
    </row>
    <row r="83" spans="1:27" ht="15.75" customHeight="1">
      <c r="A83" s="70" t="s">
        <v>37</v>
      </c>
      <c r="B83" s="70" t="s">
        <v>99</v>
      </c>
      <c r="C83" s="70">
        <v>1</v>
      </c>
      <c r="D83" s="70" t="s">
        <v>94</v>
      </c>
      <c r="E83" s="76">
        <v>5.58</v>
      </c>
      <c r="F83" s="78"/>
      <c r="G83" s="78"/>
      <c r="H83" s="76">
        <v>20.64</v>
      </c>
      <c r="I83" s="78"/>
      <c r="J83" s="78"/>
      <c r="K83" s="76">
        <v>7.2</v>
      </c>
      <c r="L83" s="78"/>
      <c r="M83" s="76">
        <v>0.14000000000000001</v>
      </c>
      <c r="N83" s="76">
        <v>0.79</v>
      </c>
      <c r="O83" s="76">
        <v>0.17</v>
      </c>
      <c r="P83" s="76"/>
      <c r="Q83" s="76">
        <v>2.5</v>
      </c>
      <c r="R83" s="78">
        <f t="shared" si="4"/>
        <v>34.520000000000003</v>
      </c>
      <c r="S83" s="78"/>
      <c r="T83" s="76" t="s">
        <v>90</v>
      </c>
      <c r="U83" s="28"/>
      <c r="V83" s="28">
        <v>1.04</v>
      </c>
      <c r="W83" s="28">
        <f>20.72-7.34</f>
        <v>13.379999999999999</v>
      </c>
      <c r="X83" s="28">
        <v>0.81</v>
      </c>
      <c r="Y83" s="28">
        <v>7.2</v>
      </c>
      <c r="Z83" s="28">
        <f t="shared" ref="Z83:Z122" si="7">W83+X83+V83</f>
        <v>15.23</v>
      </c>
      <c r="AA83" s="28"/>
    </row>
    <row r="84" spans="1:27" ht="15.75" customHeight="1">
      <c r="A84" s="70"/>
      <c r="B84" s="70"/>
      <c r="C84" s="70">
        <v>1</v>
      </c>
      <c r="D84" s="70" t="s">
        <v>95</v>
      </c>
      <c r="E84" s="76">
        <v>1.04</v>
      </c>
      <c r="F84" s="78"/>
      <c r="G84" s="78"/>
      <c r="H84" s="76">
        <v>32.369999999999997</v>
      </c>
      <c r="I84" s="78"/>
      <c r="J84" s="78"/>
      <c r="K84" s="76">
        <v>28.07</v>
      </c>
      <c r="L84" s="78"/>
      <c r="M84" s="76">
        <v>1.67</v>
      </c>
      <c r="N84" s="76">
        <v>1.93</v>
      </c>
      <c r="O84" s="76">
        <v>0.1</v>
      </c>
      <c r="P84" s="78"/>
      <c r="Q84" s="76">
        <v>0.53</v>
      </c>
      <c r="R84" s="78">
        <f t="shared" si="4"/>
        <v>65.179999999999993</v>
      </c>
      <c r="S84" s="78"/>
      <c r="T84" s="78"/>
      <c r="V84">
        <f>11.88-7.34</f>
        <v>4.5400000000000009</v>
      </c>
      <c r="W84" s="82">
        <v>0</v>
      </c>
      <c r="X84" s="28">
        <v>2.2400000000000002</v>
      </c>
      <c r="Y84" s="28">
        <v>1.92</v>
      </c>
      <c r="Z84" s="28">
        <f t="shared" si="7"/>
        <v>6.7800000000000011</v>
      </c>
      <c r="AA84" s="28"/>
    </row>
    <row r="85" spans="1:27" ht="15.75" customHeight="1">
      <c r="A85" s="70"/>
      <c r="B85" s="70"/>
      <c r="C85" s="70">
        <v>1</v>
      </c>
      <c r="D85" s="70" t="s">
        <v>96</v>
      </c>
      <c r="E85" s="76">
        <v>0.55000000000000004</v>
      </c>
      <c r="F85" s="78"/>
      <c r="G85" s="78"/>
      <c r="H85" s="76">
        <v>32.450000000000003</v>
      </c>
      <c r="I85" s="78"/>
      <c r="J85" s="78"/>
      <c r="K85" s="76">
        <v>19.899999999999999</v>
      </c>
      <c r="L85" s="78"/>
      <c r="M85" s="76">
        <v>0.53</v>
      </c>
      <c r="N85" s="78"/>
      <c r="O85" s="78"/>
      <c r="P85" s="78"/>
      <c r="Q85" s="76">
        <v>0.9</v>
      </c>
      <c r="R85" s="78">
        <f t="shared" si="4"/>
        <v>53.43</v>
      </c>
      <c r="S85" s="78"/>
      <c r="T85" s="78"/>
      <c r="V85" s="28">
        <v>1.89</v>
      </c>
      <c r="W85" s="28">
        <v>9.2200000000000006</v>
      </c>
      <c r="X85" s="28">
        <v>0.17</v>
      </c>
      <c r="Y85" s="80"/>
      <c r="Z85" s="28">
        <f t="shared" si="7"/>
        <v>11.280000000000001</v>
      </c>
      <c r="AA85" s="28"/>
    </row>
    <row r="86" spans="1:27" ht="15.75" customHeight="1">
      <c r="A86" s="70"/>
      <c r="B86" s="70"/>
      <c r="C86" s="70">
        <v>1</v>
      </c>
      <c r="D86" s="70" t="s">
        <v>39</v>
      </c>
      <c r="E86" s="78"/>
      <c r="F86" s="78"/>
      <c r="G86" s="78"/>
      <c r="H86" s="76">
        <v>35.43</v>
      </c>
      <c r="I86" s="76">
        <v>0.08</v>
      </c>
      <c r="J86" s="76">
        <v>0.55000000000000004</v>
      </c>
      <c r="K86" s="76">
        <v>23.62</v>
      </c>
      <c r="L86" s="78"/>
      <c r="M86" s="76">
        <v>0.83</v>
      </c>
      <c r="N86" s="76">
        <v>0.71</v>
      </c>
      <c r="O86" s="78"/>
      <c r="P86" s="78"/>
      <c r="Q86" s="76">
        <v>0.57999999999999996</v>
      </c>
      <c r="R86" s="78">
        <f t="shared" si="4"/>
        <v>61.219999999999992</v>
      </c>
      <c r="S86" s="78"/>
      <c r="T86" s="78"/>
      <c r="V86">
        <f>8.63-7.34</f>
        <v>1.2900000000000009</v>
      </c>
      <c r="W86" s="28">
        <v>13.17</v>
      </c>
      <c r="X86" s="28">
        <v>0.64</v>
      </c>
      <c r="Y86" s="28">
        <v>5.65</v>
      </c>
      <c r="Z86" s="28">
        <f t="shared" si="7"/>
        <v>15.100000000000001</v>
      </c>
      <c r="AA86" s="28"/>
    </row>
    <row r="87" spans="1:27" ht="15.75" customHeight="1">
      <c r="A87" s="70"/>
      <c r="B87" s="70"/>
      <c r="C87" s="70">
        <v>1</v>
      </c>
      <c r="D87" s="70" t="s">
        <v>97</v>
      </c>
      <c r="E87" s="76">
        <v>15.49</v>
      </c>
      <c r="F87" s="78"/>
      <c r="G87" s="78"/>
      <c r="H87" s="76">
        <v>29.04</v>
      </c>
      <c r="I87" s="78"/>
      <c r="J87" s="76">
        <v>0.52</v>
      </c>
      <c r="K87" s="76">
        <v>23.31</v>
      </c>
      <c r="L87" s="78"/>
      <c r="M87" s="76">
        <v>0.59</v>
      </c>
      <c r="N87" s="78"/>
      <c r="O87" s="78"/>
      <c r="P87" s="78"/>
      <c r="Q87" s="76">
        <v>2.21</v>
      </c>
      <c r="R87" s="78">
        <f t="shared" si="4"/>
        <v>68.95</v>
      </c>
      <c r="S87" s="78"/>
      <c r="T87" s="78"/>
      <c r="V87" s="28">
        <v>0.57999999999999996</v>
      </c>
      <c r="W87" s="28">
        <v>7.63</v>
      </c>
      <c r="X87" s="28">
        <v>1.22</v>
      </c>
      <c r="Y87" s="28">
        <v>2.64</v>
      </c>
      <c r="Z87" s="28">
        <f t="shared" si="7"/>
        <v>9.43</v>
      </c>
      <c r="AA87" s="28">
        <f>SUM(Z83:Z87)/5</f>
        <v>11.564000000000002</v>
      </c>
    </row>
    <row r="88" spans="1:27" ht="15.75" customHeight="1">
      <c r="A88" s="70"/>
      <c r="B88" s="70"/>
      <c r="C88" s="70">
        <v>2</v>
      </c>
      <c r="D88" s="70" t="s">
        <v>94</v>
      </c>
      <c r="E88" s="78"/>
      <c r="F88" s="78"/>
      <c r="G88" s="78"/>
      <c r="H88" s="76">
        <v>39.04</v>
      </c>
      <c r="I88" s="78"/>
      <c r="J88" s="76">
        <v>2.38</v>
      </c>
      <c r="K88" s="76">
        <v>3.06</v>
      </c>
      <c r="L88" s="76">
        <v>1.58</v>
      </c>
      <c r="M88" s="78"/>
      <c r="N88" s="76">
        <v>1.28</v>
      </c>
      <c r="O88" s="78"/>
      <c r="P88" s="78"/>
      <c r="Q88" s="76">
        <v>0.74</v>
      </c>
      <c r="R88" s="78">
        <f t="shared" si="4"/>
        <v>47.34</v>
      </c>
      <c r="S88" s="78"/>
      <c r="T88" s="76" t="s">
        <v>87</v>
      </c>
      <c r="U88" s="28"/>
      <c r="V88" s="28">
        <v>0.09</v>
      </c>
      <c r="W88" s="28">
        <f>27.05-19.89</f>
        <v>7.16</v>
      </c>
      <c r="X88" s="28">
        <v>0.63</v>
      </c>
      <c r="Y88" s="28">
        <v>4.82</v>
      </c>
      <c r="Z88" s="28">
        <f t="shared" si="7"/>
        <v>7.88</v>
      </c>
      <c r="AA88" s="28"/>
    </row>
    <row r="89" spans="1:27" ht="15.75" customHeight="1">
      <c r="A89" s="70"/>
      <c r="B89" s="70"/>
      <c r="C89" s="70">
        <v>2</v>
      </c>
      <c r="D89" s="70" t="s">
        <v>95</v>
      </c>
      <c r="E89" s="76">
        <v>15.81</v>
      </c>
      <c r="F89" s="78"/>
      <c r="G89" s="78"/>
      <c r="H89" s="76">
        <v>26.7</v>
      </c>
      <c r="I89" s="76">
        <v>0.21</v>
      </c>
      <c r="J89" s="78"/>
      <c r="K89" s="76">
        <v>23.08</v>
      </c>
      <c r="L89" s="76">
        <v>0.31</v>
      </c>
      <c r="M89" s="78"/>
      <c r="N89" s="78"/>
      <c r="O89" s="76">
        <v>1.91</v>
      </c>
      <c r="P89" s="78"/>
      <c r="Q89" s="76">
        <v>0.69</v>
      </c>
      <c r="R89" s="78">
        <f t="shared" si="4"/>
        <v>68.02</v>
      </c>
      <c r="S89" s="78"/>
      <c r="T89" s="78"/>
      <c r="V89" s="28">
        <v>1.1599999999999999</v>
      </c>
      <c r="W89">
        <f>34.23-19.89</f>
        <v>14.339999999999996</v>
      </c>
      <c r="X89" s="28">
        <v>1.03</v>
      </c>
      <c r="Y89" s="28">
        <v>3.27</v>
      </c>
      <c r="Z89" s="28">
        <f t="shared" si="7"/>
        <v>16.529999999999994</v>
      </c>
      <c r="AA89" s="28"/>
    </row>
    <row r="90" spans="1:27" ht="15.75" customHeight="1">
      <c r="A90" s="70"/>
      <c r="B90" s="70"/>
      <c r="C90" s="70">
        <v>2</v>
      </c>
      <c r="D90" s="70" t="s">
        <v>96</v>
      </c>
      <c r="E90" s="76">
        <v>19.98</v>
      </c>
      <c r="F90" s="78"/>
      <c r="G90" s="78"/>
      <c r="H90" s="76">
        <v>33.68</v>
      </c>
      <c r="I90" s="78"/>
      <c r="J90" s="76">
        <v>0.35</v>
      </c>
      <c r="K90" s="76">
        <v>4.3600000000000003</v>
      </c>
      <c r="L90" s="76">
        <v>7.53</v>
      </c>
      <c r="M90" s="76">
        <v>0.32</v>
      </c>
      <c r="N90" s="76">
        <v>0.35</v>
      </c>
      <c r="O90" s="76">
        <v>1.28</v>
      </c>
      <c r="P90" s="78"/>
      <c r="Q90" s="76">
        <v>1.9</v>
      </c>
      <c r="R90" s="78">
        <f t="shared" si="4"/>
        <v>67.84999999999998</v>
      </c>
      <c r="S90" s="78"/>
      <c r="T90" s="78"/>
      <c r="V90" s="28">
        <v>0.83</v>
      </c>
      <c r="W90" s="28">
        <v>10.89</v>
      </c>
      <c r="X90" s="28">
        <v>0.31</v>
      </c>
      <c r="Y90" s="28">
        <v>4.38</v>
      </c>
      <c r="Z90" s="28">
        <f t="shared" si="7"/>
        <v>12.030000000000001</v>
      </c>
      <c r="AA90" s="28"/>
    </row>
    <row r="91" spans="1:27" ht="15.75" customHeight="1">
      <c r="A91" s="70"/>
      <c r="B91" s="70"/>
      <c r="C91" s="70">
        <v>2</v>
      </c>
      <c r="D91" s="70" t="s">
        <v>39</v>
      </c>
      <c r="E91" s="76">
        <v>7.46</v>
      </c>
      <c r="F91" s="78"/>
      <c r="G91" s="78"/>
      <c r="H91" s="76">
        <v>17.95</v>
      </c>
      <c r="I91" s="78"/>
      <c r="J91" s="78"/>
      <c r="K91" s="76">
        <v>16.350000000000001</v>
      </c>
      <c r="L91" s="76">
        <v>3.47</v>
      </c>
      <c r="M91" s="78"/>
      <c r="N91" s="78"/>
      <c r="O91" s="78"/>
      <c r="P91" s="78"/>
      <c r="Q91" s="76">
        <v>0.42</v>
      </c>
      <c r="R91" s="78">
        <f t="shared" si="4"/>
        <v>45.230000000000004</v>
      </c>
      <c r="S91" s="78"/>
      <c r="T91" s="78"/>
      <c r="V91" s="80"/>
      <c r="W91">
        <f>39.61-19.89</f>
        <v>19.72</v>
      </c>
      <c r="X91" s="28">
        <v>0.42</v>
      </c>
      <c r="Y91" s="28">
        <v>5.68</v>
      </c>
      <c r="Z91" s="28">
        <f t="shared" si="7"/>
        <v>20.14</v>
      </c>
      <c r="AA91" s="28"/>
    </row>
    <row r="92" spans="1:27" ht="15.75" customHeight="1">
      <c r="A92" s="70"/>
      <c r="B92" s="70"/>
      <c r="C92" s="70">
        <v>2</v>
      </c>
      <c r="D92" s="70" t="s">
        <v>97</v>
      </c>
      <c r="E92" s="76">
        <v>6.94</v>
      </c>
      <c r="F92" s="78"/>
      <c r="G92" s="78"/>
      <c r="H92" s="76">
        <v>24.08</v>
      </c>
      <c r="I92" s="78"/>
      <c r="J92" s="78"/>
      <c r="K92" s="76">
        <v>7.6</v>
      </c>
      <c r="L92" s="78"/>
      <c r="M92" s="76">
        <v>1.35</v>
      </c>
      <c r="N92" s="76">
        <v>1.21</v>
      </c>
      <c r="O92" s="76">
        <v>0.54</v>
      </c>
      <c r="P92" s="78"/>
      <c r="Q92" s="76">
        <v>0.38</v>
      </c>
      <c r="R92" s="78">
        <f t="shared" si="4"/>
        <v>41.72</v>
      </c>
      <c r="S92" s="78"/>
      <c r="T92" s="78"/>
      <c r="V92" s="28">
        <v>0.38</v>
      </c>
      <c r="W92" s="28">
        <v>5.75</v>
      </c>
      <c r="X92" s="28">
        <v>0.74</v>
      </c>
      <c r="Y92" s="28">
        <v>3.01</v>
      </c>
      <c r="Z92" s="28">
        <f t="shared" si="7"/>
        <v>6.87</v>
      </c>
      <c r="AA92" s="28">
        <f>SUM(Z88:Z92)/5</f>
        <v>12.69</v>
      </c>
    </row>
    <row r="93" spans="1:27" ht="15.75" customHeight="1">
      <c r="A93" s="70"/>
      <c r="B93" s="70"/>
      <c r="C93" s="70">
        <v>3</v>
      </c>
      <c r="D93" s="70" t="s">
        <v>94</v>
      </c>
      <c r="E93" s="78"/>
      <c r="F93" s="78"/>
      <c r="G93" s="78"/>
      <c r="H93" s="76">
        <v>28.01</v>
      </c>
      <c r="I93" s="78"/>
      <c r="J93" s="76">
        <v>1.1399999999999999</v>
      </c>
      <c r="K93" s="76">
        <v>14.82</v>
      </c>
      <c r="L93" s="78"/>
      <c r="M93" s="78"/>
      <c r="N93" s="76">
        <v>0.88</v>
      </c>
      <c r="O93" s="76">
        <v>0.01</v>
      </c>
      <c r="P93" s="78"/>
      <c r="Q93" s="76">
        <v>0.56999999999999995</v>
      </c>
      <c r="R93" s="78">
        <f t="shared" si="4"/>
        <v>44.86</v>
      </c>
      <c r="S93" s="78"/>
      <c r="T93" s="76" t="s">
        <v>89</v>
      </c>
      <c r="U93" s="28"/>
      <c r="V93" s="28">
        <v>2.44</v>
      </c>
      <c r="W93" s="28">
        <v>39.24</v>
      </c>
      <c r="X93" s="28">
        <v>1.36</v>
      </c>
      <c r="Y93" s="28">
        <v>4.1399999999999997</v>
      </c>
      <c r="Z93" s="28">
        <f t="shared" si="7"/>
        <v>43.04</v>
      </c>
      <c r="AA93" s="28"/>
    </row>
    <row r="94" spans="1:27" ht="15.75" customHeight="1">
      <c r="A94" s="70"/>
      <c r="B94" s="70"/>
      <c r="C94" s="70">
        <v>3</v>
      </c>
      <c r="D94" s="70" t="s">
        <v>95</v>
      </c>
      <c r="E94" s="76">
        <v>0.2</v>
      </c>
      <c r="F94" s="78"/>
      <c r="G94" s="78"/>
      <c r="H94" s="76">
        <v>30.05</v>
      </c>
      <c r="I94" s="78"/>
      <c r="J94" s="76">
        <v>0.7</v>
      </c>
      <c r="K94" s="76">
        <v>10.87</v>
      </c>
      <c r="L94" s="78"/>
      <c r="M94" s="78"/>
      <c r="N94" s="76">
        <v>3.56</v>
      </c>
      <c r="O94" s="78"/>
      <c r="P94" s="76">
        <v>16.59</v>
      </c>
      <c r="Q94" s="76">
        <v>2.0699999999999998</v>
      </c>
      <c r="R94" s="78">
        <f t="shared" si="4"/>
        <v>61.97</v>
      </c>
      <c r="S94" s="78"/>
      <c r="T94" s="78"/>
      <c r="V94" s="28">
        <v>0.98</v>
      </c>
      <c r="W94" s="28">
        <v>45.72</v>
      </c>
      <c r="X94" s="28">
        <v>0.93</v>
      </c>
      <c r="Y94" s="28">
        <v>4.96</v>
      </c>
      <c r="Z94" s="28">
        <f t="shared" si="7"/>
        <v>47.629999999999995</v>
      </c>
      <c r="AA94" s="28"/>
    </row>
    <row r="95" spans="1:27" ht="15.75" customHeight="1">
      <c r="A95" s="70"/>
      <c r="B95" s="70"/>
      <c r="C95" s="70">
        <v>3</v>
      </c>
      <c r="D95" s="70" t="s">
        <v>96</v>
      </c>
      <c r="E95" s="76">
        <v>0.06</v>
      </c>
      <c r="F95" s="78"/>
      <c r="G95" s="78"/>
      <c r="H95" s="76">
        <v>23.97</v>
      </c>
      <c r="I95" s="78"/>
      <c r="J95" s="78"/>
      <c r="K95" s="76">
        <v>20.09</v>
      </c>
      <c r="L95" s="76">
        <v>0.15</v>
      </c>
      <c r="M95" s="76">
        <v>5.98</v>
      </c>
      <c r="N95" s="78"/>
      <c r="O95" s="78"/>
      <c r="P95" s="78"/>
      <c r="Q95" s="76">
        <v>0.76</v>
      </c>
      <c r="R95" s="78">
        <f t="shared" si="4"/>
        <v>50.25</v>
      </c>
      <c r="S95" s="78"/>
      <c r="T95" s="78"/>
      <c r="V95" s="28">
        <v>0.47</v>
      </c>
      <c r="W95" s="28">
        <v>5.95</v>
      </c>
      <c r="X95" s="28">
        <v>0.2</v>
      </c>
      <c r="Y95" s="28">
        <v>3.35</v>
      </c>
      <c r="Z95" s="28">
        <f t="shared" si="7"/>
        <v>6.62</v>
      </c>
      <c r="AA95" s="28"/>
    </row>
    <row r="96" spans="1:27" ht="15.75" customHeight="1">
      <c r="A96" s="70"/>
      <c r="B96" s="70"/>
      <c r="C96" s="70">
        <v>3</v>
      </c>
      <c r="D96" s="70" t="s">
        <v>39</v>
      </c>
      <c r="E96" s="76">
        <v>0.31</v>
      </c>
      <c r="F96" s="78"/>
      <c r="G96" s="78"/>
      <c r="H96" s="76">
        <v>32.36</v>
      </c>
      <c r="I96" s="78"/>
      <c r="J96" s="78"/>
      <c r="K96" s="76">
        <v>22.78</v>
      </c>
      <c r="L96" s="78"/>
      <c r="M96" s="76">
        <v>1.46</v>
      </c>
      <c r="N96" s="76">
        <v>2.11</v>
      </c>
      <c r="O96" s="76">
        <v>0.18</v>
      </c>
      <c r="P96" s="78"/>
      <c r="Q96" s="76">
        <v>1.23</v>
      </c>
      <c r="R96" s="78">
        <f t="shared" si="4"/>
        <v>59.2</v>
      </c>
      <c r="S96" s="78"/>
      <c r="T96" s="78"/>
      <c r="V96" s="28">
        <v>0.38</v>
      </c>
      <c r="W96">
        <f>29.88-14.38</f>
        <v>15.499999999999998</v>
      </c>
      <c r="X96" s="28">
        <v>0.06</v>
      </c>
      <c r="Y96" s="28">
        <v>4.05</v>
      </c>
      <c r="Z96" s="28">
        <f t="shared" si="7"/>
        <v>15.94</v>
      </c>
      <c r="AA96" s="28"/>
    </row>
    <row r="97" spans="1:27" ht="15.75" customHeight="1">
      <c r="A97" s="70"/>
      <c r="B97" s="70"/>
      <c r="C97" s="70">
        <v>3</v>
      </c>
      <c r="D97" s="70" t="s">
        <v>97</v>
      </c>
      <c r="E97" s="76">
        <v>0.16</v>
      </c>
      <c r="F97" s="78"/>
      <c r="G97" s="76">
        <v>0.25</v>
      </c>
      <c r="H97" s="76">
        <v>28.12</v>
      </c>
      <c r="I97" s="78"/>
      <c r="J97" s="78"/>
      <c r="K97" s="76">
        <v>6.08</v>
      </c>
      <c r="L97" s="76">
        <v>0.43</v>
      </c>
      <c r="M97" s="76">
        <v>6.16</v>
      </c>
      <c r="N97" s="76">
        <v>2.1800000000000002</v>
      </c>
      <c r="O97" s="76">
        <v>1.0900000000000001</v>
      </c>
      <c r="P97" s="78"/>
      <c r="Q97" s="76">
        <v>0.45</v>
      </c>
      <c r="R97" s="78">
        <f t="shared" si="4"/>
        <v>44.470000000000006</v>
      </c>
      <c r="S97" s="78"/>
      <c r="T97" s="78"/>
      <c r="V97" s="28">
        <v>0.46</v>
      </c>
      <c r="W97">
        <f>53.04-19.89</f>
        <v>33.15</v>
      </c>
      <c r="X97" s="28">
        <v>0.26</v>
      </c>
      <c r="Y97" s="28">
        <v>5.63</v>
      </c>
      <c r="Z97" s="28">
        <f t="shared" si="7"/>
        <v>33.869999999999997</v>
      </c>
      <c r="AA97" s="28">
        <f>SUM(Z93:Z97)/5</f>
        <v>29.419999999999998</v>
      </c>
    </row>
    <row r="98" spans="1:27" ht="15.75" customHeight="1">
      <c r="A98" s="70"/>
      <c r="B98" s="70"/>
      <c r="C98" s="70">
        <v>4</v>
      </c>
      <c r="D98" s="70" t="s">
        <v>94</v>
      </c>
      <c r="E98" s="78"/>
      <c r="F98" s="78"/>
      <c r="G98" s="78"/>
      <c r="H98" s="76">
        <v>43.89</v>
      </c>
      <c r="I98" s="78"/>
      <c r="J98" s="76">
        <v>6.23</v>
      </c>
      <c r="K98" s="76">
        <v>17.89</v>
      </c>
      <c r="L98" s="78"/>
      <c r="M98" s="76">
        <v>11.28</v>
      </c>
      <c r="N98" s="76">
        <v>7.13</v>
      </c>
      <c r="O98" s="76">
        <v>0.43</v>
      </c>
      <c r="P98" s="78"/>
      <c r="Q98" s="76">
        <v>3.1</v>
      </c>
      <c r="R98" s="78">
        <f t="shared" si="4"/>
        <v>86.850000000000009</v>
      </c>
      <c r="S98" s="78"/>
      <c r="T98" s="76" t="s">
        <v>149</v>
      </c>
      <c r="U98" s="28"/>
      <c r="V98" s="28">
        <v>0.83</v>
      </c>
      <c r="W98" s="28">
        <v>25.04</v>
      </c>
      <c r="X98" s="28">
        <v>0.59</v>
      </c>
      <c r="Y98" s="28">
        <v>6.04</v>
      </c>
      <c r="Z98" s="28">
        <f t="shared" si="7"/>
        <v>26.459999999999997</v>
      </c>
      <c r="AA98" s="28"/>
    </row>
    <row r="99" spans="1:27" ht="15.75" customHeight="1">
      <c r="A99" s="70"/>
      <c r="B99" s="70"/>
      <c r="C99" s="70">
        <v>4</v>
      </c>
      <c r="D99" s="70" t="s">
        <v>95</v>
      </c>
      <c r="E99" s="78"/>
      <c r="F99" s="78"/>
      <c r="G99" s="78"/>
      <c r="H99" s="76">
        <v>24.82</v>
      </c>
      <c r="I99" s="78"/>
      <c r="J99" s="76">
        <v>8.5399999999999991</v>
      </c>
      <c r="K99" s="76">
        <v>19.489999999999998</v>
      </c>
      <c r="L99" s="78"/>
      <c r="M99" s="78"/>
      <c r="N99" s="78"/>
      <c r="O99" s="78"/>
      <c r="P99" s="78"/>
      <c r="Q99" s="76">
        <v>0.62</v>
      </c>
      <c r="R99" s="78">
        <f t="shared" si="4"/>
        <v>52.849999999999994</v>
      </c>
      <c r="S99" s="78"/>
      <c r="T99" s="78"/>
      <c r="V99" s="28">
        <v>0.54</v>
      </c>
      <c r="W99" s="28">
        <v>6.7</v>
      </c>
      <c r="X99" s="28">
        <v>0.19</v>
      </c>
      <c r="Y99" s="28">
        <v>3.76</v>
      </c>
      <c r="Z99" s="28">
        <f t="shared" si="7"/>
        <v>7.4300000000000006</v>
      </c>
      <c r="AA99" s="28"/>
    </row>
    <row r="100" spans="1:27" ht="15.75" customHeight="1">
      <c r="A100" s="70"/>
      <c r="B100" s="70"/>
      <c r="C100" s="70">
        <v>4</v>
      </c>
      <c r="D100" s="70" t="s">
        <v>96</v>
      </c>
      <c r="E100" s="78"/>
      <c r="F100" s="78"/>
      <c r="G100" s="78"/>
      <c r="H100" s="76">
        <v>19.079999999999998</v>
      </c>
      <c r="I100" s="78"/>
      <c r="J100" s="76">
        <v>17.13</v>
      </c>
      <c r="K100" s="76">
        <v>20.170000000000002</v>
      </c>
      <c r="L100" s="78"/>
      <c r="M100" s="78"/>
      <c r="N100" s="76">
        <v>5.08</v>
      </c>
      <c r="O100" s="76">
        <v>0.69</v>
      </c>
      <c r="P100" s="78"/>
      <c r="Q100" s="76">
        <v>1.07</v>
      </c>
      <c r="R100" s="78">
        <f t="shared" si="4"/>
        <v>62.149999999999991</v>
      </c>
      <c r="S100" s="78"/>
      <c r="T100" s="78"/>
      <c r="V100" s="28">
        <v>0.32</v>
      </c>
      <c r="W100" s="28">
        <v>7.23</v>
      </c>
      <c r="X100" s="28">
        <v>0.27</v>
      </c>
      <c r="Y100" s="28">
        <v>8.0299999999999994</v>
      </c>
      <c r="Z100" s="28">
        <f t="shared" si="7"/>
        <v>7.82</v>
      </c>
      <c r="AA100" s="28"/>
    </row>
    <row r="101" spans="1:27" ht="15.75" customHeight="1">
      <c r="A101" s="70"/>
      <c r="B101" s="70"/>
      <c r="C101" s="70">
        <v>4</v>
      </c>
      <c r="D101" s="70" t="s">
        <v>39</v>
      </c>
      <c r="E101" s="78"/>
      <c r="F101" s="78"/>
      <c r="G101" s="78"/>
      <c r="H101" s="76">
        <v>34.01</v>
      </c>
      <c r="I101" s="78"/>
      <c r="J101" s="76">
        <v>1.06</v>
      </c>
      <c r="K101" s="76">
        <v>22.07</v>
      </c>
      <c r="L101" s="78"/>
      <c r="M101" s="76">
        <v>0.44</v>
      </c>
      <c r="N101" s="78"/>
      <c r="O101" s="78"/>
      <c r="P101" s="78"/>
      <c r="Q101" s="76">
        <v>2.39</v>
      </c>
      <c r="R101" s="78">
        <f t="shared" si="4"/>
        <v>57.58</v>
      </c>
      <c r="S101" s="78"/>
      <c r="T101" s="78"/>
      <c r="V101" s="28">
        <v>0.27</v>
      </c>
      <c r="W101" s="28">
        <v>11.47</v>
      </c>
      <c r="X101" s="80"/>
      <c r="Y101" s="28">
        <v>5.17</v>
      </c>
      <c r="Z101" s="28">
        <f t="shared" si="7"/>
        <v>11.74</v>
      </c>
      <c r="AA101" s="28"/>
    </row>
    <row r="102" spans="1:27" ht="15.75" customHeight="1">
      <c r="A102" s="70"/>
      <c r="B102" s="70"/>
      <c r="C102" s="70">
        <v>4</v>
      </c>
      <c r="D102" s="70" t="s">
        <v>97</v>
      </c>
      <c r="E102" s="78"/>
      <c r="F102" s="78"/>
      <c r="G102" s="78"/>
      <c r="H102" s="76">
        <v>29.38</v>
      </c>
      <c r="I102" s="78"/>
      <c r="J102" s="76">
        <v>0.64</v>
      </c>
      <c r="K102" s="76">
        <v>17.309999999999999</v>
      </c>
      <c r="L102" s="76">
        <v>0.74</v>
      </c>
      <c r="M102" s="78"/>
      <c r="N102" s="78"/>
      <c r="O102" s="76">
        <v>0.11</v>
      </c>
      <c r="P102" s="78"/>
      <c r="Q102" s="76">
        <v>0.06</v>
      </c>
      <c r="R102" s="78">
        <f t="shared" si="4"/>
        <v>48.18</v>
      </c>
      <c r="S102" s="78"/>
      <c r="T102" s="78"/>
      <c r="V102" s="28">
        <v>0.24</v>
      </c>
      <c r="W102" s="28">
        <v>5.96</v>
      </c>
      <c r="X102" s="28">
        <v>0.11</v>
      </c>
      <c r="Y102" s="28">
        <v>3.75</v>
      </c>
      <c r="Z102" s="28">
        <f t="shared" si="7"/>
        <v>6.3100000000000005</v>
      </c>
      <c r="AA102" s="28">
        <f>SUM(Z98:Z102)/5</f>
        <v>11.952000000000002</v>
      </c>
    </row>
    <row r="103" spans="1:27" ht="15.75" customHeight="1">
      <c r="A103" s="70" t="s">
        <v>37</v>
      </c>
      <c r="B103" s="70" t="s">
        <v>101</v>
      </c>
      <c r="C103" s="70">
        <v>1</v>
      </c>
      <c r="D103" s="70" t="s">
        <v>94</v>
      </c>
      <c r="E103" s="76">
        <v>8.8000000000000007</v>
      </c>
      <c r="F103" s="78"/>
      <c r="G103" s="78"/>
      <c r="H103" s="76">
        <v>20.85</v>
      </c>
      <c r="I103" s="78"/>
      <c r="J103" s="76">
        <v>4.4000000000000004</v>
      </c>
      <c r="K103" s="76">
        <v>10.62</v>
      </c>
      <c r="L103" s="78"/>
      <c r="M103" s="76">
        <v>1.05</v>
      </c>
      <c r="N103" s="76">
        <v>0.14000000000000001</v>
      </c>
      <c r="O103" s="76">
        <v>0.78</v>
      </c>
      <c r="P103" s="78"/>
      <c r="Q103" s="76">
        <v>2.69</v>
      </c>
      <c r="R103" s="78">
        <f t="shared" si="4"/>
        <v>46.64</v>
      </c>
      <c r="S103" s="78"/>
      <c r="T103" s="76" t="s">
        <v>89</v>
      </c>
      <c r="U103" s="28"/>
      <c r="V103" s="28">
        <v>1.02</v>
      </c>
      <c r="W103" s="28">
        <v>4.13</v>
      </c>
      <c r="X103" s="28">
        <v>0.62</v>
      </c>
      <c r="Y103" s="28">
        <v>4.1100000000000003</v>
      </c>
      <c r="Z103" s="28">
        <f t="shared" si="7"/>
        <v>5.77</v>
      </c>
      <c r="AA103" s="28"/>
    </row>
    <row r="104" spans="1:27" ht="15.75" customHeight="1">
      <c r="A104" s="70"/>
      <c r="B104" s="70"/>
      <c r="C104" s="70">
        <v>1</v>
      </c>
      <c r="D104" s="70" t="s">
        <v>95</v>
      </c>
      <c r="E104" s="76">
        <v>6.19</v>
      </c>
      <c r="F104" s="78"/>
      <c r="G104" s="78"/>
      <c r="H104" s="76">
        <v>15.15</v>
      </c>
      <c r="I104" s="78"/>
      <c r="J104" s="76">
        <v>0.13</v>
      </c>
      <c r="K104" s="76">
        <v>43.22</v>
      </c>
      <c r="L104" s="78"/>
      <c r="M104" s="78"/>
      <c r="N104" s="76">
        <v>0.51</v>
      </c>
      <c r="O104" s="76">
        <v>0.51</v>
      </c>
      <c r="P104" s="78"/>
      <c r="Q104" s="76">
        <v>1.29</v>
      </c>
      <c r="R104" s="78">
        <f t="shared" si="4"/>
        <v>65.710000000000008</v>
      </c>
      <c r="S104" s="78"/>
      <c r="T104" s="78"/>
      <c r="V104" s="28">
        <f>11.05-7.34</f>
        <v>3.7100000000000009</v>
      </c>
      <c r="W104" s="28">
        <f>33.07-19.89</f>
        <v>13.18</v>
      </c>
      <c r="X104" s="28">
        <v>0.44</v>
      </c>
      <c r="Y104" s="28">
        <v>4.0199999999999996</v>
      </c>
      <c r="Z104" s="28">
        <f t="shared" si="7"/>
        <v>17.329999999999998</v>
      </c>
      <c r="AA104" s="28"/>
    </row>
    <row r="105" spans="1:27" ht="15.75" customHeight="1">
      <c r="A105" s="70"/>
      <c r="B105" s="70"/>
      <c r="C105" s="70">
        <v>1</v>
      </c>
      <c r="D105" s="70" t="s">
        <v>96</v>
      </c>
      <c r="E105" s="78">
        <f>20.35-7.339</f>
        <v>13.011000000000001</v>
      </c>
      <c r="F105" s="78">
        <f>3.39-2.856</f>
        <v>0.53400000000000025</v>
      </c>
      <c r="G105" s="78"/>
      <c r="H105" s="78">
        <f>30.31-7.339</f>
        <v>22.970999999999997</v>
      </c>
      <c r="I105" s="78"/>
      <c r="J105" s="78"/>
      <c r="K105" s="78">
        <f>26.35-7.339</f>
        <v>19.011000000000003</v>
      </c>
      <c r="L105" s="78"/>
      <c r="M105" s="78"/>
      <c r="N105" s="78">
        <f>3.6-2.856</f>
        <v>0.74400000000000022</v>
      </c>
      <c r="O105" s="78">
        <f>4.99-2.856</f>
        <v>2.1340000000000003</v>
      </c>
      <c r="P105" s="78"/>
      <c r="Q105" s="78">
        <f>2.96-2.856</f>
        <v>0.10400000000000009</v>
      </c>
      <c r="R105" s="78">
        <f t="shared" si="4"/>
        <v>58.405000000000001</v>
      </c>
      <c r="S105" s="78"/>
      <c r="T105" s="78"/>
      <c r="V105" s="28">
        <v>0.53</v>
      </c>
      <c r="W105" s="28">
        <v>2.86</v>
      </c>
      <c r="X105" s="28">
        <v>0.24</v>
      </c>
      <c r="Y105" s="28">
        <v>1.62</v>
      </c>
      <c r="Z105" s="28">
        <f t="shared" si="7"/>
        <v>3.63</v>
      </c>
      <c r="AA105" s="28"/>
    </row>
    <row r="106" spans="1:27" ht="15.75" customHeight="1">
      <c r="A106" s="70"/>
      <c r="B106" s="70"/>
      <c r="C106" s="70">
        <v>1</v>
      </c>
      <c r="D106" s="70" t="s">
        <v>39</v>
      </c>
      <c r="E106" s="78"/>
      <c r="F106" s="78"/>
      <c r="G106" s="78"/>
      <c r="H106" s="76">
        <f>30.66-7.34</f>
        <v>23.32</v>
      </c>
      <c r="I106" s="78"/>
      <c r="J106" s="78"/>
      <c r="K106" s="78">
        <f>31.1-7.339</f>
        <v>23.761000000000003</v>
      </c>
      <c r="L106" s="78"/>
      <c r="M106" s="78"/>
      <c r="N106" s="78">
        <f>12.36-7.339</f>
        <v>5.020999999999999</v>
      </c>
      <c r="O106" s="78"/>
      <c r="P106" s="78"/>
      <c r="Q106" s="78">
        <f>4.32-2.856</f>
        <v>1.4640000000000004</v>
      </c>
      <c r="R106" s="78">
        <f t="shared" si="4"/>
        <v>52.102000000000004</v>
      </c>
      <c r="S106" s="78"/>
      <c r="T106" s="78"/>
      <c r="V106" s="28">
        <v>2.46</v>
      </c>
      <c r="W106">
        <f>42.98-19.89</f>
        <v>23.089999999999996</v>
      </c>
      <c r="X106" s="28">
        <v>0.08</v>
      </c>
      <c r="Y106" s="28">
        <v>4.38</v>
      </c>
      <c r="Z106" s="28">
        <f t="shared" si="7"/>
        <v>25.629999999999995</v>
      </c>
      <c r="AA106" s="28"/>
    </row>
    <row r="107" spans="1:27" ht="15.75" customHeight="1">
      <c r="A107" s="70"/>
      <c r="B107" s="70"/>
      <c r="C107" s="70">
        <v>1</v>
      </c>
      <c r="D107" s="70" t="s">
        <v>97</v>
      </c>
      <c r="E107" s="78">
        <f>21.97-19.89</f>
        <v>2.0799999999999983</v>
      </c>
      <c r="F107" s="78"/>
      <c r="G107" s="78"/>
      <c r="H107" s="78">
        <f>44.94-19.89</f>
        <v>25.049999999999997</v>
      </c>
      <c r="I107" s="78"/>
      <c r="J107" s="78"/>
      <c r="K107" s="78">
        <f>50.96-19.89</f>
        <v>31.07</v>
      </c>
      <c r="L107" s="78"/>
      <c r="M107" s="78">
        <f>3.76-2.856</f>
        <v>0.90399999999999991</v>
      </c>
      <c r="N107" s="78">
        <f>5.38-2.856</f>
        <v>2.524</v>
      </c>
      <c r="O107" s="78">
        <f>3.01-2.856</f>
        <v>0.15399999999999991</v>
      </c>
      <c r="P107" s="78"/>
      <c r="Q107" s="78"/>
      <c r="R107" s="78">
        <f t="shared" si="4"/>
        <v>61.781999999999996</v>
      </c>
      <c r="S107" s="78"/>
      <c r="T107" s="78"/>
      <c r="V107" s="28">
        <v>0.23</v>
      </c>
      <c r="W107" s="28">
        <v>5.46</v>
      </c>
      <c r="X107" s="28">
        <v>0.22</v>
      </c>
      <c r="Y107" s="28">
        <v>4.09</v>
      </c>
      <c r="Z107" s="28">
        <f t="shared" si="7"/>
        <v>5.91</v>
      </c>
      <c r="AA107" s="28">
        <f>SUM(Z103:Z107)/5</f>
        <v>11.654</v>
      </c>
    </row>
    <row r="108" spans="1:27" ht="15.75" customHeight="1">
      <c r="A108" s="70"/>
      <c r="B108" s="70"/>
      <c r="C108" s="70">
        <v>2</v>
      </c>
      <c r="D108" s="70" t="s">
        <v>94</v>
      </c>
      <c r="E108" s="78">
        <f>15.26-7.339</f>
        <v>7.9209999999999994</v>
      </c>
      <c r="F108" s="78"/>
      <c r="G108" s="78"/>
      <c r="H108" s="76">
        <f>20.89-7.339</f>
        <v>13.551</v>
      </c>
      <c r="I108" s="78"/>
      <c r="J108" s="78"/>
      <c r="K108" s="78">
        <f>44.65-7.339</f>
        <v>37.311</v>
      </c>
      <c r="L108" s="78"/>
      <c r="M108" s="78">
        <f>9.8-7.339</f>
        <v>2.4610000000000003</v>
      </c>
      <c r="N108" s="78">
        <f>8.99-7.339</f>
        <v>1.6509999999999998</v>
      </c>
      <c r="O108" s="78">
        <f>9.23-7.339</f>
        <v>1.891</v>
      </c>
      <c r="P108" s="78"/>
      <c r="Q108" s="78">
        <f>4.46-2.856</f>
        <v>1.6040000000000001</v>
      </c>
      <c r="R108" s="78">
        <f t="shared" si="4"/>
        <v>64.786000000000001</v>
      </c>
      <c r="S108" s="78"/>
      <c r="T108" s="76" t="s">
        <v>149</v>
      </c>
      <c r="U108" s="28"/>
      <c r="V108" s="28">
        <f>9.28-7.34</f>
        <v>1.9399999999999995</v>
      </c>
      <c r="W108" s="28">
        <f>14.3-7.34</f>
        <v>6.9600000000000009</v>
      </c>
      <c r="X108" s="28">
        <v>0.36</v>
      </c>
      <c r="Y108" s="28">
        <v>6.7</v>
      </c>
      <c r="Z108" s="28">
        <f t="shared" si="7"/>
        <v>9.2600000000000016</v>
      </c>
      <c r="AA108" s="28"/>
    </row>
    <row r="109" spans="1:27" ht="15.75" customHeight="1">
      <c r="A109" s="70"/>
      <c r="B109" s="70"/>
      <c r="C109" s="70">
        <v>2</v>
      </c>
      <c r="D109" s="70" t="s">
        <v>95</v>
      </c>
      <c r="E109" s="76" t="s">
        <v>300</v>
      </c>
      <c r="F109" s="78"/>
      <c r="G109" s="78"/>
      <c r="H109" s="78"/>
      <c r="I109" s="78"/>
      <c r="J109" s="78"/>
      <c r="K109" s="78"/>
      <c r="L109" s="78"/>
      <c r="M109" s="78"/>
      <c r="N109" s="78"/>
      <c r="O109" s="78"/>
      <c r="P109" s="78"/>
      <c r="Q109" s="78"/>
      <c r="R109" s="78">
        <f t="shared" si="4"/>
        <v>0</v>
      </c>
      <c r="S109" s="78"/>
      <c r="T109" s="78"/>
      <c r="V109" s="28">
        <v>1.82</v>
      </c>
      <c r="W109">
        <f>28.52-19.89</f>
        <v>8.629999999999999</v>
      </c>
      <c r="X109" s="28">
        <v>0.55000000000000004</v>
      </c>
      <c r="Y109" s="28">
        <v>3.99</v>
      </c>
      <c r="Z109" s="28">
        <f t="shared" si="7"/>
        <v>11</v>
      </c>
      <c r="AA109" s="28"/>
    </row>
    <row r="110" spans="1:27" ht="15.75" customHeight="1">
      <c r="A110" s="70"/>
      <c r="B110" s="70"/>
      <c r="C110" s="70">
        <v>2</v>
      </c>
      <c r="D110" s="70" t="s">
        <v>96</v>
      </c>
      <c r="E110" s="78"/>
      <c r="F110" s="78"/>
      <c r="G110" s="78"/>
      <c r="H110" s="78"/>
      <c r="I110" s="78"/>
      <c r="J110" s="78"/>
      <c r="K110" s="78"/>
      <c r="L110" s="78"/>
      <c r="M110" s="78"/>
      <c r="N110" s="78"/>
      <c r="O110" s="78"/>
      <c r="P110" s="78"/>
      <c r="Q110" s="78"/>
      <c r="R110" s="78">
        <f t="shared" si="4"/>
        <v>0</v>
      </c>
      <c r="S110" s="78"/>
      <c r="T110" s="78"/>
      <c r="V110" s="28">
        <v>1.31</v>
      </c>
      <c r="W110">
        <f>25.21-19.89</f>
        <v>5.32</v>
      </c>
      <c r="X110" s="28">
        <v>0.1</v>
      </c>
      <c r="Y110" s="28">
        <v>4.26</v>
      </c>
      <c r="Z110" s="28">
        <f t="shared" si="7"/>
        <v>6.73</v>
      </c>
      <c r="AA110" s="28"/>
    </row>
    <row r="111" spans="1:27" ht="15.75" customHeight="1">
      <c r="A111" s="70"/>
      <c r="B111" s="70"/>
      <c r="C111" s="70">
        <v>2</v>
      </c>
      <c r="D111" s="70" t="s">
        <v>39</v>
      </c>
      <c r="E111" s="78">
        <f>11.99-7.339</f>
        <v>4.6509999999999998</v>
      </c>
      <c r="F111" s="78"/>
      <c r="G111" s="78"/>
      <c r="H111" s="78">
        <f>35.93-7.339</f>
        <v>28.591000000000001</v>
      </c>
      <c r="I111" s="78"/>
      <c r="J111" s="78"/>
      <c r="K111" s="78">
        <f>26.24-19.89</f>
        <v>6.3499999999999979</v>
      </c>
      <c r="L111" s="78"/>
      <c r="M111" s="78"/>
      <c r="N111" s="78">
        <f>12.04-7.339</f>
        <v>4.7009999999999987</v>
      </c>
      <c r="O111" s="78">
        <f>2.22-1.74</f>
        <v>0.4800000000000002</v>
      </c>
      <c r="P111" s="78"/>
      <c r="Q111" s="78"/>
      <c r="R111" s="78">
        <f t="shared" si="4"/>
        <v>44.772999999999996</v>
      </c>
      <c r="S111" s="78"/>
      <c r="T111" s="78"/>
      <c r="V111" s="28">
        <v>0.26</v>
      </c>
      <c r="W111" s="28">
        <f>11.2-7.34</f>
        <v>3.8599999999999994</v>
      </c>
      <c r="X111" s="28">
        <v>0.47</v>
      </c>
      <c r="Y111" s="28">
        <v>3.44</v>
      </c>
      <c r="Z111" s="28">
        <f t="shared" si="7"/>
        <v>4.589999999999999</v>
      </c>
      <c r="AA111" s="28"/>
    </row>
    <row r="112" spans="1:27" ht="15.75" customHeight="1">
      <c r="A112" s="70"/>
      <c r="B112" s="70"/>
      <c r="C112" s="70">
        <v>2</v>
      </c>
      <c r="D112" s="70" t="s">
        <v>97</v>
      </c>
      <c r="E112" s="78">
        <f>18.42-E225</f>
        <v>4.0400000000000009</v>
      </c>
      <c r="F112" s="78"/>
      <c r="G112" s="78"/>
      <c r="H112" s="78">
        <f>35.7-E225</f>
        <v>21.32</v>
      </c>
      <c r="I112" s="78"/>
      <c r="J112" s="78"/>
      <c r="K112" s="78">
        <f>25.31-D225</f>
        <v>17.97</v>
      </c>
      <c r="L112" s="78"/>
      <c r="M112" s="78">
        <f>7.7-D225</f>
        <v>0.36000000000000032</v>
      </c>
      <c r="N112" s="78">
        <f>19.37-D225</f>
        <v>12.030000000000001</v>
      </c>
      <c r="O112" s="78">
        <f>1.79-B225</f>
        <v>5.0000000000000044E-2</v>
      </c>
      <c r="P112" s="78"/>
      <c r="Q112" s="78">
        <f>2.39-B225</f>
        <v>0.65000000000000013</v>
      </c>
      <c r="R112" s="78">
        <f t="shared" si="4"/>
        <v>55.769999999999996</v>
      </c>
      <c r="S112" s="78"/>
      <c r="T112" s="78"/>
      <c r="V112" s="28">
        <v>0.9</v>
      </c>
      <c r="W112" s="28">
        <f>13.98-7.34</f>
        <v>6.6400000000000006</v>
      </c>
      <c r="X112" s="28">
        <v>0.56000000000000005</v>
      </c>
      <c r="Y112" s="28">
        <v>3.46</v>
      </c>
      <c r="Z112" s="28">
        <f t="shared" si="7"/>
        <v>8.1000000000000014</v>
      </c>
      <c r="AA112" s="28">
        <f>SUM(Z108:Z112)/5</f>
        <v>7.9360000000000017</v>
      </c>
    </row>
    <row r="113" spans="1:27" ht="15.75" customHeight="1">
      <c r="A113" s="70"/>
      <c r="B113" s="70"/>
      <c r="C113" s="70">
        <v>3</v>
      </c>
      <c r="D113" s="70" t="s">
        <v>94</v>
      </c>
      <c r="E113" s="78">
        <f>23.82-E225</f>
        <v>9.44</v>
      </c>
      <c r="F113" s="78"/>
      <c r="G113" s="78"/>
      <c r="H113" s="78">
        <f>39.08-F225</f>
        <v>19.189999999999998</v>
      </c>
      <c r="I113" s="78"/>
      <c r="J113" s="78">
        <f>19.78-E225</f>
        <v>5.4</v>
      </c>
      <c r="K113" s="78">
        <f>23.59-E225</f>
        <v>9.2099999999999991</v>
      </c>
      <c r="L113" s="78"/>
      <c r="M113" s="78">
        <f>1.88-B225</f>
        <v>0.1399999999999999</v>
      </c>
      <c r="N113" s="78">
        <f>15.82-E225</f>
        <v>1.4399999999999995</v>
      </c>
      <c r="O113" s="78">
        <f>1.95-B225</f>
        <v>0.20999999999999996</v>
      </c>
      <c r="P113" s="78"/>
      <c r="Q113" s="78">
        <f>5.78-C225</f>
        <v>2.93</v>
      </c>
      <c r="R113" s="78">
        <f t="shared" si="4"/>
        <v>45.029999999999994</v>
      </c>
      <c r="S113" s="78"/>
      <c r="T113" s="76" t="s">
        <v>90</v>
      </c>
      <c r="U113" s="28"/>
      <c r="V113" s="82"/>
      <c r="W113" s="28">
        <v>13.21</v>
      </c>
      <c r="X113" s="82"/>
      <c r="Y113" s="82"/>
      <c r="Z113" s="28">
        <f t="shared" si="7"/>
        <v>13.21</v>
      </c>
      <c r="AA113" s="28"/>
    </row>
    <row r="114" spans="1:27" ht="15.75" customHeight="1">
      <c r="A114" s="70"/>
      <c r="B114" s="70"/>
      <c r="C114" s="70">
        <v>3</v>
      </c>
      <c r="D114" s="70" t="s">
        <v>95</v>
      </c>
      <c r="E114" s="78">
        <f>15.73-D225</f>
        <v>8.39</v>
      </c>
      <c r="F114" s="78"/>
      <c r="G114" s="78"/>
      <c r="H114" s="78">
        <f>32.27-F225</f>
        <v>12.380000000000003</v>
      </c>
      <c r="I114" s="78"/>
      <c r="J114" s="78">
        <f>2.01-B225</f>
        <v>0.2699999999999998</v>
      </c>
      <c r="K114" s="78">
        <f>49.47-F225</f>
        <v>29.58</v>
      </c>
      <c r="L114" s="78"/>
      <c r="M114" s="78">
        <f>12.12-D225</f>
        <v>4.7799999999999994</v>
      </c>
      <c r="N114" s="78">
        <f>10.15-D225</f>
        <v>2.8100000000000005</v>
      </c>
      <c r="O114" s="78">
        <f>3.67-C225</f>
        <v>0.81999999999999984</v>
      </c>
      <c r="P114" s="78"/>
      <c r="Q114" s="78"/>
      <c r="R114" s="78">
        <f t="shared" si="4"/>
        <v>59.030000000000008</v>
      </c>
      <c r="S114" s="78"/>
      <c r="T114" s="78"/>
      <c r="V114" s="28">
        <v>0.9</v>
      </c>
      <c r="W114">
        <f>37.89-19.89</f>
        <v>18</v>
      </c>
      <c r="X114" s="28">
        <v>0.53</v>
      </c>
      <c r="Y114">
        <f>13.6-7.34</f>
        <v>6.26</v>
      </c>
      <c r="Z114" s="28">
        <f t="shared" si="7"/>
        <v>19.43</v>
      </c>
      <c r="AA114" s="28"/>
    </row>
    <row r="115" spans="1:27" ht="15.75" customHeight="1">
      <c r="A115" s="70"/>
      <c r="B115" s="70"/>
      <c r="C115" s="70">
        <v>3</v>
      </c>
      <c r="D115" s="70" t="s">
        <v>96</v>
      </c>
      <c r="E115" s="78">
        <f>3.71-C225</f>
        <v>0.85999999999999988</v>
      </c>
      <c r="F115" s="78"/>
      <c r="G115" s="78"/>
      <c r="H115" s="78">
        <f>20.18-D225</f>
        <v>12.84</v>
      </c>
      <c r="I115" s="78"/>
      <c r="J115" s="78">
        <f>12.32-D225</f>
        <v>4.9800000000000004</v>
      </c>
      <c r="K115" s="78">
        <f>44.03-D225</f>
        <v>36.69</v>
      </c>
      <c r="L115" s="78"/>
      <c r="M115" s="78">
        <f>4.3-C225</f>
        <v>1.4499999999999997</v>
      </c>
      <c r="N115" s="78">
        <f>12.42-D225</f>
        <v>5.08</v>
      </c>
      <c r="O115" s="78">
        <f>3.62-C225</f>
        <v>0.77</v>
      </c>
      <c r="P115" s="78"/>
      <c r="Q115" s="78"/>
      <c r="R115" s="78">
        <f t="shared" si="4"/>
        <v>62.67</v>
      </c>
      <c r="S115" s="78"/>
      <c r="T115" s="78"/>
      <c r="V115" s="28">
        <v>0.93</v>
      </c>
      <c r="W115">
        <f>15.88-7.34</f>
        <v>8.5400000000000009</v>
      </c>
      <c r="X115" s="28">
        <v>0.46</v>
      </c>
      <c r="Y115" s="28">
        <v>3.7</v>
      </c>
      <c r="Z115" s="28">
        <f t="shared" si="7"/>
        <v>9.9300000000000015</v>
      </c>
      <c r="AA115" s="28"/>
    </row>
    <row r="116" spans="1:27" ht="15.75" customHeight="1">
      <c r="A116" s="70"/>
      <c r="B116" s="70"/>
      <c r="C116" s="70">
        <v>3</v>
      </c>
      <c r="D116" s="70" t="s">
        <v>39</v>
      </c>
      <c r="E116" s="78">
        <f>5.06-C225</f>
        <v>2.2099999999999995</v>
      </c>
      <c r="F116" s="78"/>
      <c r="G116" s="78"/>
      <c r="H116" s="78">
        <f>21.17-D225</f>
        <v>13.830000000000002</v>
      </c>
      <c r="I116" s="78"/>
      <c r="J116" s="78">
        <f>13.96-D225</f>
        <v>6.620000000000001</v>
      </c>
      <c r="K116" s="78">
        <f>29.31-D225</f>
        <v>21.97</v>
      </c>
      <c r="L116" s="78"/>
      <c r="M116" s="78">
        <f>15.84-D225</f>
        <v>8.5</v>
      </c>
      <c r="N116" s="78">
        <f>24.18-F225</f>
        <v>4.2899999999999991</v>
      </c>
      <c r="O116" s="78">
        <f>3.32-C225</f>
        <v>0.46999999999999975</v>
      </c>
      <c r="P116" s="78"/>
      <c r="Q116" s="78"/>
      <c r="R116" s="78">
        <f t="shared" si="4"/>
        <v>57.89</v>
      </c>
      <c r="S116" s="78"/>
      <c r="T116" s="78"/>
      <c r="V116" s="28">
        <v>0.13</v>
      </c>
      <c r="W116">
        <f>29.53-19.89</f>
        <v>9.64</v>
      </c>
      <c r="X116" s="28">
        <v>0.44</v>
      </c>
      <c r="Y116" s="28">
        <v>1.84</v>
      </c>
      <c r="Z116" s="28">
        <f t="shared" si="7"/>
        <v>10.210000000000001</v>
      </c>
      <c r="AA116" s="28"/>
    </row>
    <row r="117" spans="1:27" ht="15.75" customHeight="1">
      <c r="A117" s="70"/>
      <c r="B117" s="70"/>
      <c r="C117" s="70">
        <v>3</v>
      </c>
      <c r="D117" s="70" t="s">
        <v>97</v>
      </c>
      <c r="E117" s="78">
        <f>3.91-C225</f>
        <v>1.06</v>
      </c>
      <c r="F117" s="78"/>
      <c r="G117" s="78"/>
      <c r="H117" s="78">
        <f>20.64-D225</f>
        <v>13.3</v>
      </c>
      <c r="I117" s="78"/>
      <c r="J117" s="78">
        <f>3.53-C225</f>
        <v>0.67999999999999972</v>
      </c>
      <c r="K117" s="78">
        <f>32.09-F225</f>
        <v>12.200000000000003</v>
      </c>
      <c r="L117" s="78"/>
      <c r="M117" s="78">
        <f>9.46-D225</f>
        <v>2.120000000000001</v>
      </c>
      <c r="N117" s="78">
        <f>11.4-D225</f>
        <v>4.0600000000000005</v>
      </c>
      <c r="O117" s="78">
        <f>3.25-C225</f>
        <v>0.39999999999999991</v>
      </c>
      <c r="P117" s="78"/>
      <c r="Q117" s="78"/>
      <c r="R117" s="78">
        <f t="shared" si="4"/>
        <v>33.82</v>
      </c>
      <c r="S117" s="78"/>
      <c r="T117" s="78"/>
      <c r="V117">
        <f>10.2-7.34</f>
        <v>2.8599999999999994</v>
      </c>
      <c r="W117">
        <f>14.14-7.34</f>
        <v>6.8000000000000007</v>
      </c>
      <c r="X117" s="28">
        <v>0.19</v>
      </c>
      <c r="Y117">
        <f>12.84-7.34</f>
        <v>5.5</v>
      </c>
      <c r="Z117" s="28">
        <f t="shared" si="7"/>
        <v>9.8500000000000014</v>
      </c>
      <c r="AA117" s="28">
        <f>SUM(Z113:Z117)/5</f>
        <v>12.526</v>
      </c>
    </row>
    <row r="118" spans="1:27" ht="15.75" customHeight="1">
      <c r="A118" s="70"/>
      <c r="B118" s="70"/>
      <c r="C118" s="70">
        <v>4</v>
      </c>
      <c r="D118" s="70" t="s">
        <v>94</v>
      </c>
      <c r="E118" s="78">
        <f>1.96-B225</f>
        <v>0.21999999999999997</v>
      </c>
      <c r="F118" s="78"/>
      <c r="G118" s="78"/>
      <c r="H118" s="78">
        <f>67.2-F225</f>
        <v>47.31</v>
      </c>
      <c r="I118" s="78"/>
      <c r="J118" s="78"/>
      <c r="K118" s="78">
        <f>12.58-D225</f>
        <v>5.24</v>
      </c>
      <c r="L118" s="78"/>
      <c r="M118" s="78"/>
      <c r="N118" s="78"/>
      <c r="O118" s="78"/>
      <c r="P118" s="78"/>
      <c r="Q118" s="78">
        <f>3.58-C225</f>
        <v>0.73</v>
      </c>
      <c r="R118" s="78">
        <f t="shared" si="4"/>
        <v>52.77</v>
      </c>
      <c r="S118" s="78"/>
      <c r="T118" s="76" t="s">
        <v>87</v>
      </c>
      <c r="U118" s="28"/>
      <c r="V118" s="28">
        <v>0.68</v>
      </c>
      <c r="W118" s="28">
        <f>20.43-7.34</f>
        <v>13.09</v>
      </c>
      <c r="X118" s="28">
        <v>0.21</v>
      </c>
      <c r="Y118" s="28">
        <f>9.89-2.85</f>
        <v>7.0400000000000009</v>
      </c>
      <c r="Z118" s="28">
        <f t="shared" si="7"/>
        <v>13.98</v>
      </c>
      <c r="AA118" s="28"/>
    </row>
    <row r="119" spans="1:27" ht="15.75" customHeight="1">
      <c r="A119" s="70"/>
      <c r="B119" s="70"/>
      <c r="C119" s="70">
        <v>4</v>
      </c>
      <c r="D119" s="70" t="s">
        <v>95</v>
      </c>
      <c r="E119" s="78"/>
      <c r="F119" s="78"/>
      <c r="G119" s="78"/>
      <c r="H119" s="98">
        <v>240.99</v>
      </c>
      <c r="I119" s="78"/>
      <c r="J119" s="78"/>
      <c r="K119" s="98">
        <v>216.29</v>
      </c>
      <c r="L119" s="78"/>
      <c r="M119" s="78"/>
      <c r="N119" s="78"/>
      <c r="O119" s="78"/>
      <c r="P119" s="78"/>
      <c r="Q119" s="78"/>
      <c r="R119" s="99">
        <f t="shared" si="4"/>
        <v>457.28</v>
      </c>
      <c r="S119" s="78"/>
      <c r="T119" s="78"/>
      <c r="V119" s="28">
        <v>0.55000000000000004</v>
      </c>
      <c r="W119">
        <f>12.38-7.34</f>
        <v>5.0400000000000009</v>
      </c>
      <c r="X119" s="28">
        <v>0.04</v>
      </c>
      <c r="Y119">
        <f>16.58-7.34</f>
        <v>9.2399999999999984</v>
      </c>
      <c r="Z119" s="28">
        <f t="shared" si="7"/>
        <v>5.6300000000000008</v>
      </c>
      <c r="AA119" s="28"/>
    </row>
    <row r="120" spans="1:27" ht="15.75" customHeight="1">
      <c r="A120" s="70"/>
      <c r="B120" s="70"/>
      <c r="C120" s="70">
        <v>4</v>
      </c>
      <c r="D120" s="70" t="s">
        <v>96</v>
      </c>
      <c r="E120" s="78">
        <f>3.17-C225</f>
        <v>0.31999999999999984</v>
      </c>
      <c r="F120" s="78"/>
      <c r="G120" s="78"/>
      <c r="H120" s="78">
        <f>56.72-F225</f>
        <v>36.83</v>
      </c>
      <c r="I120" s="78"/>
      <c r="J120" s="78"/>
      <c r="K120" s="78">
        <f>14.27-D225</f>
        <v>6.93</v>
      </c>
      <c r="L120" s="78"/>
      <c r="M120" s="78">
        <f>4.3-C225</f>
        <v>1.4499999999999997</v>
      </c>
      <c r="N120" s="78"/>
      <c r="O120" s="78"/>
      <c r="P120" s="78"/>
      <c r="Q120" s="78">
        <f>3.58-C225</f>
        <v>0.73</v>
      </c>
      <c r="R120" s="78">
        <f t="shared" si="4"/>
        <v>45.53</v>
      </c>
      <c r="S120" s="78"/>
      <c r="T120" s="78"/>
      <c r="V120" s="28">
        <v>0.38</v>
      </c>
      <c r="W120" s="28">
        <v>1.26</v>
      </c>
      <c r="X120" s="28">
        <v>0.05</v>
      </c>
      <c r="Y120" s="28">
        <f>6.84-2.85</f>
        <v>3.9899999999999998</v>
      </c>
      <c r="Z120" s="28">
        <f t="shared" si="7"/>
        <v>1.69</v>
      </c>
      <c r="AA120" s="28"/>
    </row>
    <row r="121" spans="1:27" ht="15.75" customHeight="1">
      <c r="A121" s="70"/>
      <c r="B121" s="70"/>
      <c r="C121" s="70">
        <v>4</v>
      </c>
      <c r="D121" s="70" t="s">
        <v>39</v>
      </c>
      <c r="E121" s="76" t="s">
        <v>301</v>
      </c>
      <c r="F121" s="78"/>
      <c r="G121" s="78"/>
      <c r="H121" s="78"/>
      <c r="I121" s="78"/>
      <c r="J121" s="78"/>
      <c r="K121" s="78"/>
      <c r="L121" s="78"/>
      <c r="M121" s="78"/>
      <c r="N121" s="78"/>
      <c r="O121" s="78"/>
      <c r="P121" s="78"/>
      <c r="Q121" s="78"/>
      <c r="R121" s="78">
        <f t="shared" si="4"/>
        <v>0</v>
      </c>
      <c r="S121" s="78"/>
      <c r="T121" s="78"/>
      <c r="V121">
        <f>9.4-4.77</f>
        <v>4.6300000000000008</v>
      </c>
      <c r="W121">
        <f>10.82-7.34</f>
        <v>3.4800000000000004</v>
      </c>
      <c r="X121" s="28">
        <v>0.14000000000000001</v>
      </c>
      <c r="Y121" s="28">
        <v>4.49</v>
      </c>
      <c r="Z121" s="28">
        <f t="shared" si="7"/>
        <v>8.2500000000000018</v>
      </c>
      <c r="AA121" s="28"/>
    </row>
    <row r="122" spans="1:27" ht="15.75" customHeight="1">
      <c r="A122" s="70"/>
      <c r="B122" s="70"/>
      <c r="C122" s="70">
        <v>4</v>
      </c>
      <c r="D122" s="70" t="s">
        <v>97</v>
      </c>
      <c r="E122" s="78"/>
      <c r="F122" s="78"/>
      <c r="G122" s="78"/>
      <c r="H122" s="76">
        <v>28.15</v>
      </c>
      <c r="I122" s="78"/>
      <c r="J122" s="78"/>
      <c r="K122" s="76">
        <v>29.59</v>
      </c>
      <c r="L122" s="78"/>
      <c r="M122" s="76">
        <v>0.23</v>
      </c>
      <c r="N122" s="76">
        <v>7.3</v>
      </c>
      <c r="O122" s="76">
        <v>1.46</v>
      </c>
      <c r="P122" s="78"/>
      <c r="Q122" s="76">
        <v>0.94</v>
      </c>
      <c r="R122" s="78">
        <f t="shared" si="4"/>
        <v>66.72999999999999</v>
      </c>
      <c r="S122" s="78"/>
      <c r="T122" s="78"/>
      <c r="V122">
        <f>10.92-7.34</f>
        <v>3.58</v>
      </c>
      <c r="W122">
        <f>16.3-7.35</f>
        <v>8.9500000000000011</v>
      </c>
      <c r="X122" s="28">
        <f>0.29+3.21+3.21</f>
        <v>6.71</v>
      </c>
      <c r="Y122" s="28">
        <v>1.7</v>
      </c>
      <c r="Z122" s="28">
        <f t="shared" si="7"/>
        <v>19.240000000000002</v>
      </c>
      <c r="AA122" s="28">
        <f>SUM(Z118:Z122)/5</f>
        <v>9.7580000000000009</v>
      </c>
    </row>
    <row r="123" spans="1:27" ht="15.75" customHeight="1">
      <c r="A123" s="70" t="s">
        <v>37</v>
      </c>
      <c r="B123" s="70" t="s">
        <v>102</v>
      </c>
      <c r="C123" s="70">
        <v>1</v>
      </c>
      <c r="D123" s="70" t="s">
        <v>94</v>
      </c>
      <c r="E123" s="78"/>
      <c r="F123" s="78"/>
      <c r="G123" s="78"/>
      <c r="H123" s="76">
        <f>SUM(36.92-19.89)</f>
        <v>17.03</v>
      </c>
      <c r="I123" s="78"/>
      <c r="J123" s="76">
        <f>SUM(1.8-1.74)</f>
        <v>6.0000000000000053E-2</v>
      </c>
      <c r="K123" s="76">
        <f>SUM(37.11-19.89)</f>
        <v>17.22</v>
      </c>
      <c r="L123" s="78"/>
      <c r="M123" s="76">
        <f>SUM(40.85-19.89)</f>
        <v>20.96</v>
      </c>
      <c r="N123" s="76">
        <f>SUM(47.22-19.89)</f>
        <v>27.33</v>
      </c>
      <c r="O123" s="76">
        <f>SUM(7.16-2.85)</f>
        <v>4.3100000000000005</v>
      </c>
      <c r="P123" s="78"/>
      <c r="Q123" s="78"/>
      <c r="R123" s="78">
        <f t="shared" si="4"/>
        <v>86.91</v>
      </c>
      <c r="S123" s="78">
        <f>AVERAGE(R123:R127)</f>
        <v>69.681999999999988</v>
      </c>
      <c r="T123" s="76" t="s">
        <v>149</v>
      </c>
      <c r="U123" s="28"/>
      <c r="V123" s="28" t="s">
        <v>195</v>
      </c>
      <c r="W123" s="28">
        <f>15.03-4.77</f>
        <v>10.26</v>
      </c>
      <c r="X123" s="28">
        <v>0.83</v>
      </c>
      <c r="Y123" s="28">
        <f>8.65-4.77</f>
        <v>3.8800000000000008</v>
      </c>
      <c r="Z123" s="28">
        <f t="shared" ref="Z123:Z142" si="8">W123+X123</f>
        <v>11.09</v>
      </c>
      <c r="AA123" s="28"/>
    </row>
    <row r="124" spans="1:27" ht="15.75" customHeight="1">
      <c r="A124" s="70"/>
      <c r="B124" s="70"/>
      <c r="C124" s="70">
        <v>1</v>
      </c>
      <c r="D124" s="70" t="s">
        <v>95</v>
      </c>
      <c r="E124" s="78"/>
      <c r="F124" s="78"/>
      <c r="G124" s="78"/>
      <c r="H124" s="76">
        <f>SUM(33.11-14.38)</f>
        <v>18.729999999999997</v>
      </c>
      <c r="I124" s="78"/>
      <c r="J124" s="76">
        <f>SUM(3.76-2.85)</f>
        <v>0.9099999999999997</v>
      </c>
      <c r="K124" s="76">
        <f>SUM(42.14-14.38)</f>
        <v>27.759999999999998</v>
      </c>
      <c r="L124" s="76">
        <f>SUM(3.66-2.85)</f>
        <v>0.81</v>
      </c>
      <c r="M124" s="76">
        <f>SUM(3.35-2.85)</f>
        <v>0.5</v>
      </c>
      <c r="N124" s="76">
        <f>SUM(27.33-14.38)</f>
        <v>12.949999999999998</v>
      </c>
      <c r="O124" s="76">
        <f>SUM(3.28-2.85)</f>
        <v>0.42999999999999972</v>
      </c>
      <c r="P124" s="78"/>
      <c r="Q124" s="78"/>
      <c r="R124" s="78">
        <f t="shared" si="4"/>
        <v>62.089999999999989</v>
      </c>
      <c r="S124" s="78"/>
      <c r="T124" s="78"/>
      <c r="V124" s="28" t="s">
        <v>195</v>
      </c>
      <c r="W124" s="28">
        <v>3.08</v>
      </c>
      <c r="X124" s="28">
        <v>2.86</v>
      </c>
      <c r="Y124" s="28">
        <v>0.09</v>
      </c>
      <c r="Z124" s="28">
        <f t="shared" si="8"/>
        <v>5.9399999999999995</v>
      </c>
      <c r="AA124" s="28"/>
    </row>
    <row r="125" spans="1:27" ht="15.75" customHeight="1">
      <c r="A125" s="70"/>
      <c r="B125" s="70"/>
      <c r="C125" s="70">
        <v>1</v>
      </c>
      <c r="D125" s="70" t="s">
        <v>96</v>
      </c>
      <c r="E125" s="78"/>
      <c r="F125" s="78"/>
      <c r="G125" s="78"/>
      <c r="H125" s="76">
        <f>SUM(36.73-19.89)</f>
        <v>16.839999999999996</v>
      </c>
      <c r="I125" s="78"/>
      <c r="J125" s="78"/>
      <c r="K125" s="76">
        <f>SUM(58.1-19.89)</f>
        <v>38.21</v>
      </c>
      <c r="L125" s="78"/>
      <c r="M125" s="76">
        <f>SUM(26.09-19.89)</f>
        <v>6.1999999999999993</v>
      </c>
      <c r="N125" s="76">
        <f>SUM(27.92-19.89)</f>
        <v>8.0300000000000011</v>
      </c>
      <c r="O125" s="76">
        <f>SUM(4.65-2.85)</f>
        <v>1.8000000000000003</v>
      </c>
      <c r="P125" s="78"/>
      <c r="Q125" s="78"/>
      <c r="R125" s="78">
        <f t="shared" si="4"/>
        <v>71.08</v>
      </c>
      <c r="S125" s="78"/>
      <c r="T125" s="78"/>
      <c r="V125" s="28" t="s">
        <v>195</v>
      </c>
      <c r="X125" s="80"/>
      <c r="Z125" s="28">
        <f t="shared" si="8"/>
        <v>0</v>
      </c>
      <c r="AA125" s="28"/>
    </row>
    <row r="126" spans="1:27" ht="15.75" customHeight="1">
      <c r="A126" s="70"/>
      <c r="B126" s="70"/>
      <c r="C126" s="70">
        <v>1</v>
      </c>
      <c r="D126" s="70" t="s">
        <v>39</v>
      </c>
      <c r="E126" s="78"/>
      <c r="F126" s="78"/>
      <c r="G126" s="78"/>
      <c r="H126" s="76">
        <f>SUM(20.42-7.34)</f>
        <v>13.080000000000002</v>
      </c>
      <c r="I126" s="78"/>
      <c r="J126" s="78"/>
      <c r="K126" s="76">
        <f>SUM(59-19.89)</f>
        <v>39.11</v>
      </c>
      <c r="L126" s="78"/>
      <c r="M126" s="76">
        <f>SUM(12.95-7.34)</f>
        <v>5.6099999999999994</v>
      </c>
      <c r="N126" s="76">
        <f>SUM(15.51-7.34)</f>
        <v>8.17</v>
      </c>
      <c r="O126" s="76">
        <f>SUM(4.07-2.85)</f>
        <v>1.2200000000000002</v>
      </c>
      <c r="P126" s="78"/>
      <c r="Q126" s="78"/>
      <c r="R126" s="78">
        <f t="shared" si="4"/>
        <v>67.19</v>
      </c>
      <c r="S126" s="78"/>
      <c r="T126" s="78"/>
      <c r="V126" s="28" t="s">
        <v>195</v>
      </c>
      <c r="W126" s="28">
        <v>5.25</v>
      </c>
      <c r="X126" s="28">
        <v>2.23</v>
      </c>
      <c r="Y126" s="28">
        <v>0.02</v>
      </c>
      <c r="Z126" s="28">
        <f t="shared" si="8"/>
        <v>7.48</v>
      </c>
      <c r="AA126" s="28"/>
    </row>
    <row r="127" spans="1:27" ht="15.75" customHeight="1">
      <c r="A127" s="70"/>
      <c r="B127" s="70"/>
      <c r="C127" s="70">
        <v>1</v>
      </c>
      <c r="D127" s="70" t="s">
        <v>97</v>
      </c>
      <c r="E127" s="78"/>
      <c r="F127" s="78"/>
      <c r="G127" s="78"/>
      <c r="H127" s="76">
        <f>SUM(43.87-19.89)</f>
        <v>23.979999999999997</v>
      </c>
      <c r="I127" s="78"/>
      <c r="J127" s="78"/>
      <c r="K127" s="76">
        <f>SUM(49.84-19.89)</f>
        <v>29.950000000000003</v>
      </c>
      <c r="L127" s="76">
        <f>SUM(3.59-2.85)</f>
        <v>0.73999999999999977</v>
      </c>
      <c r="M127" s="78"/>
      <c r="N127" s="76">
        <f>SUM(13.42-7.34)</f>
        <v>6.08</v>
      </c>
      <c r="O127" s="76">
        <f>SUM(3.24-2.85)</f>
        <v>0.39000000000000012</v>
      </c>
      <c r="P127" s="76"/>
      <c r="Q127" s="76">
        <f>SUM(3.32-2.85)</f>
        <v>0.46999999999999975</v>
      </c>
      <c r="R127" s="78">
        <f t="shared" si="4"/>
        <v>61.14</v>
      </c>
      <c r="S127" s="78"/>
      <c r="T127" s="78"/>
      <c r="V127" s="28" t="s">
        <v>195</v>
      </c>
      <c r="W127" s="80"/>
      <c r="X127" s="80"/>
      <c r="Y127" s="80"/>
      <c r="Z127" s="28">
        <f t="shared" si="8"/>
        <v>0</v>
      </c>
      <c r="AA127" s="28">
        <f>SUM(Z123:Z127)/5</f>
        <v>4.9020000000000001</v>
      </c>
    </row>
    <row r="128" spans="1:27" ht="15.75" customHeight="1">
      <c r="A128" s="70"/>
      <c r="B128" s="70"/>
      <c r="C128" s="70">
        <v>2</v>
      </c>
      <c r="D128" s="70" t="s">
        <v>94</v>
      </c>
      <c r="E128" s="78"/>
      <c r="F128" s="78"/>
      <c r="G128" s="78"/>
      <c r="H128" s="76">
        <f>SUM(38.71-19.89)</f>
        <v>18.82</v>
      </c>
      <c r="I128" s="78"/>
      <c r="J128" s="78"/>
      <c r="K128" s="76">
        <f>SUM(51.69-19.89)</f>
        <v>31.799999999999997</v>
      </c>
      <c r="L128" s="78"/>
      <c r="M128" s="76">
        <f>SUM(10.33-7.34)</f>
        <v>2.99</v>
      </c>
      <c r="N128" s="76">
        <f>SUM(15.36-7.34)</f>
        <v>8.02</v>
      </c>
      <c r="O128" s="76">
        <f>SUM(3.25-2.85)</f>
        <v>0.39999999999999991</v>
      </c>
      <c r="P128" s="76"/>
      <c r="Q128" s="76">
        <f>SUM(4.94-2.85)</f>
        <v>2.0900000000000003</v>
      </c>
      <c r="R128" s="78">
        <f t="shared" si="4"/>
        <v>62.029999999999994</v>
      </c>
      <c r="S128" s="78">
        <f>AVERAGE(R128:R132)</f>
        <v>53.489999999999995</v>
      </c>
      <c r="T128" s="76" t="s">
        <v>89</v>
      </c>
      <c r="U128" s="28"/>
      <c r="V128" s="28" t="s">
        <v>195</v>
      </c>
      <c r="W128" s="28">
        <f>10.49-4.77</f>
        <v>5.7200000000000006</v>
      </c>
      <c r="X128" s="28">
        <v>0.62</v>
      </c>
      <c r="Y128" s="28">
        <v>2.54</v>
      </c>
      <c r="Z128" s="28">
        <f t="shared" si="8"/>
        <v>6.3400000000000007</v>
      </c>
      <c r="AA128" s="28"/>
    </row>
    <row r="129" spans="1:27" ht="15.75" customHeight="1">
      <c r="A129" s="70"/>
      <c r="B129" s="70"/>
      <c r="C129" s="70">
        <v>2</v>
      </c>
      <c r="D129" s="70" t="s">
        <v>95</v>
      </c>
      <c r="E129" s="78"/>
      <c r="F129" s="78"/>
      <c r="G129" s="78"/>
      <c r="H129" s="76">
        <f>SUM(33.73-19.89)</f>
        <v>13.839999999999996</v>
      </c>
      <c r="I129" s="78"/>
      <c r="J129" s="78"/>
      <c r="K129" s="76">
        <f>SUM(26.61-7.34)</f>
        <v>19.27</v>
      </c>
      <c r="L129" s="78"/>
      <c r="M129" s="78"/>
      <c r="N129" s="76">
        <f>SUM(11.11-7.34)</f>
        <v>3.7699999999999996</v>
      </c>
      <c r="O129" s="76">
        <f>SUM(3.21-2.85)</f>
        <v>0.35999999999999988</v>
      </c>
      <c r="P129" s="76">
        <f>SUM(3.27-2.85)</f>
        <v>0.41999999999999993</v>
      </c>
      <c r="Q129" s="76">
        <f>SUM(2.94-2.85)</f>
        <v>8.9999999999999858E-2</v>
      </c>
      <c r="R129" s="78">
        <f t="shared" si="4"/>
        <v>37.659999999999997</v>
      </c>
      <c r="S129" s="78"/>
      <c r="T129" s="78"/>
      <c r="V129" s="28" t="s">
        <v>195</v>
      </c>
      <c r="W129">
        <f>5.82-4.77</f>
        <v>1.0500000000000007</v>
      </c>
      <c r="X129" s="28">
        <v>0.37</v>
      </c>
      <c r="Y129" s="28">
        <v>7.18</v>
      </c>
      <c r="Z129" s="28">
        <f t="shared" si="8"/>
        <v>1.4200000000000008</v>
      </c>
      <c r="AA129" s="28"/>
    </row>
    <row r="130" spans="1:27" ht="15.75" customHeight="1">
      <c r="A130" s="70"/>
      <c r="B130" s="70"/>
      <c r="C130" s="70">
        <v>2</v>
      </c>
      <c r="D130" s="70" t="s">
        <v>96</v>
      </c>
      <c r="E130" s="76">
        <f>SUM(7.86-7.34)</f>
        <v>0.52000000000000046</v>
      </c>
      <c r="F130" s="78"/>
      <c r="G130" s="78"/>
      <c r="H130" s="76">
        <f>SUM(30.22-19.89)</f>
        <v>10.329999999999998</v>
      </c>
      <c r="I130" s="78"/>
      <c r="J130" s="78"/>
      <c r="K130" s="76">
        <f>SUM(59.13-19.89)</f>
        <v>39.24</v>
      </c>
      <c r="L130" s="76">
        <f>SUM(3-2.85)</f>
        <v>0.14999999999999991</v>
      </c>
      <c r="M130" s="78"/>
      <c r="N130" s="76">
        <f>SUM(8.92-7.34)</f>
        <v>1.58</v>
      </c>
      <c r="O130" s="76">
        <f>SUM(2.08-1.74)</f>
        <v>0.34000000000000008</v>
      </c>
      <c r="P130" s="78"/>
      <c r="Q130" s="76">
        <f>SUM(1.99-1.74)</f>
        <v>0.25</v>
      </c>
      <c r="R130" s="78">
        <f t="shared" si="4"/>
        <v>52.160000000000004</v>
      </c>
      <c r="S130" s="78"/>
      <c r="T130" s="78"/>
      <c r="V130" s="28" t="s">
        <v>195</v>
      </c>
      <c r="W130">
        <f>8.85-4.77</f>
        <v>4.08</v>
      </c>
      <c r="X130" s="28">
        <v>0.77</v>
      </c>
      <c r="Y130" s="28">
        <v>2.86</v>
      </c>
      <c r="Z130" s="28">
        <f t="shared" si="8"/>
        <v>4.8499999999999996</v>
      </c>
      <c r="AA130" s="28"/>
    </row>
    <row r="131" spans="1:27" ht="15.75" customHeight="1">
      <c r="A131" s="70"/>
      <c r="B131" s="70"/>
      <c r="C131" s="70">
        <v>2</v>
      </c>
      <c r="D131" s="70" t="s">
        <v>39</v>
      </c>
      <c r="E131" s="76">
        <f>SUM(2.97-2.85)</f>
        <v>0.12000000000000011</v>
      </c>
      <c r="F131" s="78"/>
      <c r="G131" s="78"/>
      <c r="H131" s="76">
        <f>SUM(24.9-14.38)</f>
        <v>10.519999999999998</v>
      </c>
      <c r="J131" s="76">
        <f>SUM(3.63-2.85)</f>
        <v>0.7799999999999998</v>
      </c>
      <c r="K131" s="76">
        <f>SUM(36.87-14.38)</f>
        <v>22.489999999999995</v>
      </c>
      <c r="L131" s="78"/>
      <c r="M131" s="76">
        <f>SUM(3.33-2.85)</f>
        <v>0.48</v>
      </c>
      <c r="N131" s="76">
        <f>SUM(18.02-14.38)</f>
        <v>3.6399999999999988</v>
      </c>
      <c r="O131" s="76">
        <f>SUM(4.39-2.85)</f>
        <v>1.5399999999999996</v>
      </c>
      <c r="P131" s="78"/>
      <c r="Q131" s="78"/>
      <c r="R131" s="78">
        <f t="shared" si="4"/>
        <v>39.569999999999986</v>
      </c>
      <c r="S131" s="78"/>
      <c r="T131" s="78"/>
      <c r="V131" s="28" t="s">
        <v>195</v>
      </c>
      <c r="W131">
        <f>13.91-4.77</f>
        <v>9.14</v>
      </c>
      <c r="X131" s="28">
        <v>0.42</v>
      </c>
      <c r="Y131" s="28">
        <v>1.38</v>
      </c>
      <c r="Z131" s="28">
        <f t="shared" si="8"/>
        <v>9.56</v>
      </c>
      <c r="AA131" s="28"/>
    </row>
    <row r="132" spans="1:27" ht="15.75" customHeight="1">
      <c r="A132" s="70"/>
      <c r="B132" s="70"/>
      <c r="C132" s="70">
        <v>2</v>
      </c>
      <c r="D132" s="70" t="s">
        <v>97</v>
      </c>
      <c r="E132" s="76">
        <f>SUM(3.02-2.85)</f>
        <v>0.16999999999999993</v>
      </c>
      <c r="F132" s="78"/>
      <c r="G132" s="78"/>
      <c r="H132" s="76">
        <f>SUM(29.94-14.38)</f>
        <v>15.56</v>
      </c>
      <c r="I132" s="78"/>
      <c r="J132" s="76"/>
      <c r="K132">
        <f>SUM(72.47-19.89)</f>
        <v>52.58</v>
      </c>
      <c r="L132" s="76">
        <f>SUM(9.07-7.34)</f>
        <v>1.7300000000000004</v>
      </c>
      <c r="M132" s="76">
        <f>SUM(8.6-7.34)</f>
        <v>1.2599999999999998</v>
      </c>
      <c r="N132" s="76">
        <f>SUM(11.52-7.34)</f>
        <v>4.18</v>
      </c>
      <c r="O132" s="76">
        <f>SUM(3.4-2.85)</f>
        <v>0.54999999999999982</v>
      </c>
      <c r="P132" s="78"/>
      <c r="Q132" s="76">
        <f>SUM(3.66-2.85)</f>
        <v>0.81</v>
      </c>
      <c r="R132" s="78">
        <f t="shared" si="4"/>
        <v>76.030000000000015</v>
      </c>
      <c r="T132" s="78"/>
      <c r="V132" s="28" t="s">
        <v>195</v>
      </c>
      <c r="W132" s="100">
        <f>8.13-4.77</f>
        <v>3.3600000000000012</v>
      </c>
      <c r="X132" s="101">
        <v>1.56</v>
      </c>
      <c r="Y132" s="101">
        <v>2.13</v>
      </c>
      <c r="Z132" s="28">
        <f t="shared" si="8"/>
        <v>4.9200000000000017</v>
      </c>
      <c r="AA132" s="28">
        <f>SUM(Z128:Z132)/5</f>
        <v>5.418000000000001</v>
      </c>
    </row>
    <row r="133" spans="1:27" ht="15.75" customHeight="1">
      <c r="A133" s="70"/>
      <c r="B133" s="70"/>
      <c r="C133" s="70">
        <v>3</v>
      </c>
      <c r="D133" s="70" t="s">
        <v>94</v>
      </c>
      <c r="E133" s="78"/>
      <c r="F133" s="78"/>
      <c r="G133" s="78"/>
      <c r="H133" s="76">
        <f>SUM(56.25-19.89)</f>
        <v>36.36</v>
      </c>
      <c r="I133" s="78"/>
      <c r="J133" s="78"/>
      <c r="K133" s="76">
        <f>SUM(26.08-7.34)</f>
        <v>18.739999999999998</v>
      </c>
      <c r="L133" s="78"/>
      <c r="M133" s="78"/>
      <c r="N133" s="76">
        <f>SUM(13.94-7.34)</f>
        <v>6.6</v>
      </c>
      <c r="O133" s="78"/>
      <c r="P133" s="78"/>
      <c r="Q133" s="78"/>
      <c r="R133" s="78">
        <f t="shared" si="4"/>
        <v>61.699999999999996</v>
      </c>
      <c r="S133" s="78">
        <f>AVERAGE(R133:R137)</f>
        <v>51.512</v>
      </c>
      <c r="T133" s="76" t="s">
        <v>90</v>
      </c>
      <c r="U133" s="28"/>
      <c r="V133" s="28" t="s">
        <v>195</v>
      </c>
      <c r="W133" s="28">
        <f>11.46-4.77</f>
        <v>6.6900000000000013</v>
      </c>
      <c r="X133" s="28">
        <v>0.84</v>
      </c>
      <c r="Y133" s="28">
        <v>2.87</v>
      </c>
      <c r="Z133" s="28">
        <f t="shared" si="8"/>
        <v>7.5300000000000011</v>
      </c>
      <c r="AA133" s="28"/>
    </row>
    <row r="134" spans="1:27" ht="15.75" customHeight="1">
      <c r="A134" s="70"/>
      <c r="B134" s="70"/>
      <c r="C134" s="70">
        <v>3</v>
      </c>
      <c r="D134" s="70" t="s">
        <v>95</v>
      </c>
      <c r="E134" s="76">
        <f>SUM(3.84-2.85)</f>
        <v>0.98999999999999977</v>
      </c>
      <c r="F134" s="78"/>
      <c r="G134" s="78"/>
      <c r="H134" s="76">
        <f>SUM(17.45-7.34)</f>
        <v>10.11</v>
      </c>
      <c r="I134" s="78"/>
      <c r="J134" s="78"/>
      <c r="K134" s="76">
        <f>SUM(34.34-7.34)</f>
        <v>27.000000000000004</v>
      </c>
      <c r="L134" s="78"/>
      <c r="M134" s="76">
        <f>SUM(9.71-7.34)</f>
        <v>2.370000000000001</v>
      </c>
      <c r="N134" s="76">
        <f>SUM(26.09-7.34)</f>
        <v>18.75</v>
      </c>
      <c r="O134" s="76">
        <f>SUM(3.18-2.85)</f>
        <v>0.33000000000000007</v>
      </c>
      <c r="P134" s="78"/>
      <c r="Q134" s="76">
        <f>SUM(2.11-1.74)</f>
        <v>0.36999999999999988</v>
      </c>
      <c r="R134" s="78">
        <f t="shared" si="4"/>
        <v>59.55</v>
      </c>
      <c r="S134" s="78"/>
      <c r="T134" s="78"/>
      <c r="V134" s="28" t="s">
        <v>195</v>
      </c>
      <c r="W134" s="28">
        <v>4.05</v>
      </c>
      <c r="X134" s="28">
        <v>4.41</v>
      </c>
      <c r="Y134" s="28">
        <v>1.05</v>
      </c>
      <c r="Z134" s="28">
        <f t="shared" si="8"/>
        <v>8.4600000000000009</v>
      </c>
      <c r="AA134" s="28"/>
    </row>
    <row r="135" spans="1:27" ht="15.75" customHeight="1">
      <c r="A135" s="70"/>
      <c r="B135" s="70"/>
      <c r="C135" s="70">
        <v>3</v>
      </c>
      <c r="D135" s="70" t="s">
        <v>96</v>
      </c>
      <c r="E135" s="78"/>
      <c r="F135" s="78"/>
      <c r="G135" s="78"/>
      <c r="H135" s="76">
        <f>SUM(33.75-19.89)</f>
        <v>13.86</v>
      </c>
      <c r="J135" s="78"/>
      <c r="K135" s="76">
        <f>SUM(29.95-19.89)</f>
        <v>10.059999999999999</v>
      </c>
      <c r="L135" s="78"/>
      <c r="M135" s="78"/>
      <c r="N135" s="76">
        <f>SUM(12.22-7.34)</f>
        <v>4.8800000000000008</v>
      </c>
      <c r="O135" s="76">
        <f>SUM(2.99-2.85)</f>
        <v>0.14000000000000012</v>
      </c>
      <c r="P135" s="78"/>
      <c r="Q135" s="76">
        <f>SUM(3.38-2.85)</f>
        <v>0.5299999999999998</v>
      </c>
      <c r="R135" s="78">
        <f t="shared" si="4"/>
        <v>28.939999999999998</v>
      </c>
      <c r="S135" s="78"/>
      <c r="T135" s="78"/>
      <c r="V135" s="28" t="s">
        <v>195</v>
      </c>
      <c r="W135" s="28">
        <v>0.77</v>
      </c>
      <c r="X135" s="28">
        <v>4.2300000000000004</v>
      </c>
      <c r="Y135" s="28">
        <v>0.61</v>
      </c>
      <c r="Z135" s="28">
        <f t="shared" si="8"/>
        <v>5</v>
      </c>
      <c r="AA135" s="28"/>
    </row>
    <row r="136" spans="1:27" ht="15.75" customHeight="1">
      <c r="A136" s="70"/>
      <c r="B136" s="70"/>
      <c r="C136" s="70">
        <v>3</v>
      </c>
      <c r="D136" s="70" t="s">
        <v>39</v>
      </c>
      <c r="E136" s="78"/>
      <c r="F136" s="78"/>
      <c r="G136" s="78"/>
      <c r="H136" s="76">
        <f>SUM(25.87-7.34)</f>
        <v>18.53</v>
      </c>
      <c r="I136" s="78"/>
      <c r="J136" s="78"/>
      <c r="K136" s="76">
        <f>SUM(39.04-7.34)</f>
        <v>31.7</v>
      </c>
      <c r="L136" s="78"/>
      <c r="M136" s="76">
        <f>SUM(3.38-2.85)</f>
        <v>0.5299999999999998</v>
      </c>
      <c r="N136" s="76">
        <f>SUM(10.28-7.34)</f>
        <v>2.9399999999999995</v>
      </c>
      <c r="O136" s="76">
        <f>SUM(3.58-2.85)</f>
        <v>0.73</v>
      </c>
      <c r="P136" s="78"/>
      <c r="Q136" s="78"/>
      <c r="R136" s="78">
        <f t="shared" si="4"/>
        <v>54.43</v>
      </c>
      <c r="S136" s="78"/>
      <c r="T136" s="78"/>
      <c r="V136" s="28" t="s">
        <v>195</v>
      </c>
      <c r="W136" s="28">
        <v>12.47</v>
      </c>
      <c r="X136" s="28">
        <v>4.0199999999999996</v>
      </c>
      <c r="Y136" s="28">
        <v>0.55000000000000004</v>
      </c>
      <c r="Z136" s="28">
        <f t="shared" si="8"/>
        <v>16.490000000000002</v>
      </c>
      <c r="AA136" s="28"/>
    </row>
    <row r="137" spans="1:27" ht="15.75" customHeight="1">
      <c r="A137" s="70"/>
      <c r="B137" s="70"/>
      <c r="C137" s="70">
        <v>3</v>
      </c>
      <c r="D137" s="70" t="s">
        <v>97</v>
      </c>
      <c r="E137" s="78"/>
      <c r="F137" s="78"/>
      <c r="G137" s="78"/>
      <c r="H137" s="76">
        <f>SUM(17.2-7.34)</f>
        <v>9.86</v>
      </c>
      <c r="I137" s="78"/>
      <c r="J137" s="102"/>
      <c r="K137" s="76">
        <f>SUM(44.16-7.34)</f>
        <v>36.819999999999993</v>
      </c>
      <c r="L137" s="78"/>
      <c r="M137" s="76"/>
      <c r="N137" s="76">
        <f>SUM(13.39-7.34)</f>
        <v>6.0500000000000007</v>
      </c>
      <c r="O137" s="76">
        <f>SUM(3.06-2.85)</f>
        <v>0.20999999999999996</v>
      </c>
      <c r="P137" s="78"/>
      <c r="Q137" s="78"/>
      <c r="R137" s="78">
        <f t="shared" si="4"/>
        <v>52.939999999999991</v>
      </c>
      <c r="S137" s="78"/>
      <c r="T137" s="78"/>
      <c r="V137" s="28" t="s">
        <v>195</v>
      </c>
      <c r="W137" s="28">
        <v>2.95</v>
      </c>
      <c r="X137" s="28">
        <v>4.9000000000000004</v>
      </c>
      <c r="Y137" s="28">
        <v>0.18</v>
      </c>
      <c r="Z137" s="28">
        <f t="shared" si="8"/>
        <v>7.8500000000000005</v>
      </c>
      <c r="AA137" s="28">
        <f>SUM(Z133:Z137)/5</f>
        <v>9.0660000000000007</v>
      </c>
    </row>
    <row r="138" spans="1:27" ht="15.75" customHeight="1">
      <c r="A138" s="70"/>
      <c r="B138" s="70"/>
      <c r="C138" s="70">
        <v>4</v>
      </c>
      <c r="D138" s="70" t="s">
        <v>94</v>
      </c>
      <c r="E138" s="76">
        <f>SUM(3.57-2.85)</f>
        <v>0.71999999999999975</v>
      </c>
      <c r="F138" s="78"/>
      <c r="G138" s="78"/>
      <c r="H138" s="76">
        <f>SUM(34.98-19.89)</f>
        <v>15.089999999999996</v>
      </c>
      <c r="I138" s="78"/>
      <c r="J138" s="78"/>
      <c r="K138" s="76">
        <f>SUM(39.05-19.89)</f>
        <v>19.159999999999997</v>
      </c>
      <c r="L138" s="76">
        <f>SUM(2.99-2.85)</f>
        <v>0.14000000000000012</v>
      </c>
      <c r="M138" s="76">
        <f>SUM(3.36-2.85)</f>
        <v>0.50999999999999979</v>
      </c>
      <c r="N138" s="76">
        <f>SUM(12.63-7.34)</f>
        <v>5.2900000000000009</v>
      </c>
      <c r="O138" s="76">
        <f>SUM(3.71-2.85)</f>
        <v>0.85999999999999988</v>
      </c>
      <c r="P138" s="78"/>
      <c r="Q138" s="76">
        <f>SUM(4.01-2.85)</f>
        <v>1.1599999999999997</v>
      </c>
      <c r="R138" s="78">
        <f t="shared" si="4"/>
        <v>41.769999999999989</v>
      </c>
      <c r="S138" s="78">
        <f>AVERAGE(R138:R142)</f>
        <v>55.281999999999996</v>
      </c>
      <c r="T138" s="76" t="s">
        <v>87</v>
      </c>
      <c r="U138" s="28"/>
      <c r="V138" s="28" t="s">
        <v>195</v>
      </c>
      <c r="W138" s="28">
        <v>2.37</v>
      </c>
      <c r="X138" s="101">
        <v>4.57</v>
      </c>
      <c r="Y138" s="28">
        <v>0.5</v>
      </c>
      <c r="Z138" s="28">
        <f t="shared" si="8"/>
        <v>6.94</v>
      </c>
      <c r="AA138" s="28"/>
    </row>
    <row r="139" spans="1:27" ht="15.75" customHeight="1">
      <c r="A139" s="70"/>
      <c r="B139" s="70"/>
      <c r="C139" s="70">
        <v>4</v>
      </c>
      <c r="D139" s="70" t="s">
        <v>95</v>
      </c>
      <c r="E139" s="78"/>
      <c r="F139" s="78"/>
      <c r="G139" s="78"/>
      <c r="H139" s="76">
        <f>SUM(34.69-19.89)</f>
        <v>14.799999999999997</v>
      </c>
      <c r="I139" s="78"/>
      <c r="J139" s="78"/>
      <c r="K139" s="76">
        <f>SUM(44.23-19.89)</f>
        <v>24.339999999999996</v>
      </c>
      <c r="L139" s="76">
        <f>SUM(3.26-2.85)</f>
        <v>0.4099999999999997</v>
      </c>
      <c r="M139" s="76">
        <f>SUM(4.2-2.85)</f>
        <v>1.35</v>
      </c>
      <c r="N139" s="76">
        <f>SUM(17.36-7.34)</f>
        <v>10.02</v>
      </c>
      <c r="O139" s="76">
        <f>SUM(3.07-2.85)</f>
        <v>0.21999999999999975</v>
      </c>
      <c r="P139" s="76">
        <f>SUM(3.13-2.85)</f>
        <v>0.2799999999999998</v>
      </c>
      <c r="Q139" s="76">
        <f>SUM(3.8-2.85)</f>
        <v>0.94999999999999973</v>
      </c>
      <c r="R139" s="78">
        <f t="shared" si="4"/>
        <v>51.419999999999987</v>
      </c>
      <c r="S139" s="78"/>
      <c r="T139" s="78"/>
      <c r="V139" s="28" t="s">
        <v>195</v>
      </c>
      <c r="W139" s="28">
        <v>3.32</v>
      </c>
      <c r="X139" s="28">
        <v>7.01</v>
      </c>
      <c r="Y139" s="28">
        <v>0.1</v>
      </c>
      <c r="Z139" s="28">
        <f t="shared" si="8"/>
        <v>10.33</v>
      </c>
      <c r="AA139" s="28"/>
    </row>
    <row r="140" spans="1:27" ht="15.75" customHeight="1">
      <c r="A140" s="70"/>
      <c r="B140" s="70"/>
      <c r="C140" s="70">
        <v>4</v>
      </c>
      <c r="D140" s="70" t="s">
        <v>96</v>
      </c>
      <c r="E140" s="78"/>
      <c r="F140" s="78"/>
      <c r="G140" s="78"/>
      <c r="H140" s="76">
        <f>SUM(53.15-19.89)</f>
        <v>33.26</v>
      </c>
      <c r="J140" s="78"/>
      <c r="K140" s="76">
        <f>SUM(39.71-19.89)</f>
        <v>19.82</v>
      </c>
      <c r="L140" s="78"/>
      <c r="M140" s="78"/>
      <c r="N140" s="76">
        <f>SUM(14.08-7.34)</f>
        <v>6.74</v>
      </c>
      <c r="O140" s="76">
        <f>SUM(3.11-2.85)</f>
        <v>0.25999999999999979</v>
      </c>
      <c r="P140" s="78"/>
      <c r="Q140" s="76">
        <f>SUM(6.43-2.85)</f>
        <v>3.5799999999999996</v>
      </c>
      <c r="R140" s="78">
        <f t="shared" si="4"/>
        <v>60.08</v>
      </c>
      <c r="S140" s="78"/>
      <c r="T140" s="78"/>
      <c r="V140" s="28" t="s">
        <v>195</v>
      </c>
      <c r="W140" s="28">
        <v>0.52</v>
      </c>
      <c r="X140" s="28">
        <v>4.46</v>
      </c>
      <c r="Y140" s="28">
        <v>1.63</v>
      </c>
      <c r="Z140" s="28">
        <f t="shared" si="8"/>
        <v>4.9800000000000004</v>
      </c>
      <c r="AA140" s="28"/>
    </row>
    <row r="141" spans="1:27" ht="15.75" customHeight="1">
      <c r="A141" s="70"/>
      <c r="B141" s="70"/>
      <c r="C141" s="70">
        <v>4</v>
      </c>
      <c r="D141" s="70" t="s">
        <v>39</v>
      </c>
      <c r="E141" s="78"/>
      <c r="F141" s="76">
        <f>SUM(3.02-2.85)</f>
        <v>0.16999999999999993</v>
      </c>
      <c r="G141" s="76"/>
      <c r="H141" s="76">
        <f>SUM(45.38-19.89)</f>
        <v>25.490000000000002</v>
      </c>
      <c r="I141" s="78"/>
      <c r="J141" s="78"/>
      <c r="K141" s="76">
        <f>SUM(49.85-19.89)</f>
        <v>29.96</v>
      </c>
      <c r="L141" s="78"/>
      <c r="M141" s="78"/>
      <c r="N141" s="76">
        <f>SUM(13.29-7.34)</f>
        <v>5.9499999999999993</v>
      </c>
      <c r="O141" s="76"/>
      <c r="P141" s="78"/>
      <c r="Q141" s="76">
        <f>SUM(2.96-2.85)</f>
        <v>0.10999999999999988</v>
      </c>
      <c r="R141" s="78">
        <f t="shared" si="4"/>
        <v>61.570000000000007</v>
      </c>
      <c r="S141" s="78"/>
      <c r="T141" s="78"/>
      <c r="V141" s="28" t="s">
        <v>195</v>
      </c>
      <c r="W141" s="28">
        <v>0.28000000000000003</v>
      </c>
      <c r="X141" s="28">
        <v>1.05</v>
      </c>
      <c r="Y141" s="28">
        <v>0.06</v>
      </c>
      <c r="Z141" s="28">
        <f t="shared" si="8"/>
        <v>1.33</v>
      </c>
      <c r="AA141" s="28"/>
    </row>
    <row r="142" spans="1:27" ht="15.75" customHeight="1">
      <c r="A142" s="70"/>
      <c r="B142" s="70"/>
      <c r="C142" s="70">
        <v>4</v>
      </c>
      <c r="D142" s="70" t="s">
        <v>97</v>
      </c>
      <c r="E142" s="78"/>
      <c r="F142" s="76">
        <f>SUM(3.1-2.85)</f>
        <v>0.25</v>
      </c>
      <c r="G142" s="76"/>
      <c r="H142" s="76">
        <f>SUM(33.98-19.89)</f>
        <v>14.089999999999996</v>
      </c>
      <c r="I142" s="78"/>
      <c r="J142" s="78"/>
      <c r="K142" s="76">
        <f>SUM(58.27-19.89)</f>
        <v>38.380000000000003</v>
      </c>
      <c r="L142" s="76">
        <f>SUM(11.92-7.34)</f>
        <v>4.58</v>
      </c>
      <c r="M142" s="76">
        <f>SUM(9.95-7.34)</f>
        <v>2.6099999999999994</v>
      </c>
      <c r="N142" s="76">
        <f>SUM(8.91-7.34)</f>
        <v>1.5700000000000003</v>
      </c>
      <c r="O142" s="76">
        <f>SUM(2.94-2.85)</f>
        <v>8.9999999999999858E-2</v>
      </c>
      <c r="P142" s="78"/>
      <c r="Q142" s="76">
        <f>SUM(2.85-2.85)</f>
        <v>0</v>
      </c>
      <c r="R142" s="78">
        <f t="shared" si="4"/>
        <v>61.569999999999993</v>
      </c>
      <c r="S142" s="78"/>
      <c r="T142" s="78"/>
      <c r="V142" s="28" t="s">
        <v>195</v>
      </c>
      <c r="W142" s="100">
        <f>10.87-4.77</f>
        <v>6.1</v>
      </c>
      <c r="X142" s="28">
        <v>3.04</v>
      </c>
      <c r="Y142" s="28">
        <v>3.6</v>
      </c>
      <c r="Z142" s="28">
        <f t="shared" si="8"/>
        <v>9.14</v>
      </c>
      <c r="AA142" s="28">
        <f>SUM(Z138:Z142)/5</f>
        <v>6.5439999999999996</v>
      </c>
    </row>
    <row r="143" spans="1:27" ht="15.75" customHeight="1">
      <c r="A143" s="70" t="s">
        <v>103</v>
      </c>
      <c r="B143" s="70" t="s">
        <v>106</v>
      </c>
      <c r="C143" s="70">
        <v>1</v>
      </c>
      <c r="D143" s="70" t="s">
        <v>94</v>
      </c>
      <c r="E143" s="78"/>
      <c r="F143" s="78"/>
      <c r="G143" s="78"/>
      <c r="H143" s="78"/>
      <c r="I143" s="78"/>
      <c r="J143" s="78"/>
      <c r="K143" s="78"/>
      <c r="L143" s="78"/>
      <c r="M143" s="78"/>
      <c r="N143" s="78"/>
      <c r="O143" s="78"/>
      <c r="P143" s="78"/>
      <c r="Q143" s="78"/>
      <c r="R143" s="76">
        <f>265.1-14.8</f>
        <v>250.3</v>
      </c>
      <c r="S143" s="78"/>
      <c r="T143" s="76" t="s">
        <v>304</v>
      </c>
      <c r="U143" s="28"/>
      <c r="V143" s="28"/>
      <c r="W143" s="28"/>
      <c r="X143" s="28"/>
      <c r="Y143" s="28"/>
      <c r="Z143" s="28">
        <f t="shared" ref="Z143:Z222" si="9">W143+X143+V143</f>
        <v>0</v>
      </c>
      <c r="AA143" s="28"/>
    </row>
    <row r="144" spans="1:27" ht="15.75" customHeight="1">
      <c r="A144" s="70"/>
      <c r="B144" s="70"/>
      <c r="C144" s="70">
        <v>1</v>
      </c>
      <c r="D144" s="70" t="s">
        <v>107</v>
      </c>
      <c r="E144" s="78"/>
      <c r="F144" s="78"/>
      <c r="G144" s="78"/>
      <c r="H144" s="78"/>
      <c r="I144" s="76"/>
      <c r="J144" s="78"/>
      <c r="K144" s="78"/>
      <c r="L144" s="78"/>
      <c r="M144" s="78"/>
      <c r="N144" s="78"/>
      <c r="O144" s="78"/>
      <c r="P144" s="78"/>
      <c r="Q144" s="78"/>
      <c r="R144" s="76">
        <f>286.3-14.8</f>
        <v>271.5</v>
      </c>
      <c r="S144" s="78"/>
      <c r="T144" s="78" t="s">
        <v>305</v>
      </c>
      <c r="X144" s="28">
        <v>4.67</v>
      </c>
      <c r="Y144" s="28">
        <v>0.98</v>
      </c>
      <c r="Z144" s="28">
        <f t="shared" si="9"/>
        <v>4.67</v>
      </c>
      <c r="AA144" s="28"/>
    </row>
    <row r="145" spans="1:27" ht="15.75" customHeight="1">
      <c r="A145" s="70"/>
      <c r="B145" s="70"/>
      <c r="C145" s="70">
        <v>1</v>
      </c>
      <c r="D145" s="70" t="s">
        <v>108</v>
      </c>
      <c r="E145" s="78"/>
      <c r="F145" s="78"/>
      <c r="G145" s="78"/>
      <c r="H145" s="76"/>
      <c r="I145" s="78"/>
      <c r="J145" s="78"/>
      <c r="K145" s="78"/>
      <c r="L145" s="78"/>
      <c r="M145" s="78"/>
      <c r="N145" s="78"/>
      <c r="O145" s="78"/>
      <c r="P145" s="78"/>
      <c r="Q145" s="78"/>
      <c r="R145" s="76">
        <v>251.1</v>
      </c>
      <c r="S145" s="78"/>
      <c r="T145" s="28" t="s">
        <v>306</v>
      </c>
      <c r="Z145" s="28">
        <f t="shared" si="9"/>
        <v>0</v>
      </c>
      <c r="AA145" s="28"/>
    </row>
    <row r="146" spans="1:27" ht="15.75" customHeight="1">
      <c r="A146" s="70"/>
      <c r="B146" s="70"/>
      <c r="C146" s="70">
        <v>1</v>
      </c>
      <c r="D146" s="70" t="s">
        <v>96</v>
      </c>
      <c r="E146" s="78"/>
      <c r="F146" s="78"/>
      <c r="G146" s="78"/>
      <c r="H146" s="76"/>
      <c r="I146" s="78"/>
      <c r="J146" s="78"/>
      <c r="K146" s="78"/>
      <c r="L146" s="78"/>
      <c r="M146" s="78"/>
      <c r="N146" s="78"/>
      <c r="O146" s="78"/>
      <c r="P146" s="78"/>
      <c r="Q146" s="78"/>
      <c r="R146" s="76">
        <f>252.5-(2*14.8)</f>
        <v>222.9</v>
      </c>
      <c r="S146" s="78"/>
      <c r="T146" s="28" t="s">
        <v>307</v>
      </c>
      <c r="Z146" s="28">
        <f t="shared" si="9"/>
        <v>0</v>
      </c>
      <c r="AA146" s="28"/>
    </row>
    <row r="147" spans="1:27" ht="15.75" customHeight="1">
      <c r="A147" s="70"/>
      <c r="B147" s="70"/>
      <c r="C147" s="70">
        <v>1</v>
      </c>
      <c r="D147" s="70" t="s">
        <v>39</v>
      </c>
      <c r="E147" s="78"/>
      <c r="F147" s="78"/>
      <c r="G147" s="78"/>
      <c r="H147" s="76"/>
      <c r="I147" s="78"/>
      <c r="J147" s="78"/>
      <c r="K147" s="78"/>
      <c r="L147" s="78"/>
      <c r="M147" s="78"/>
      <c r="N147" s="78"/>
      <c r="O147" s="78"/>
      <c r="P147" s="78"/>
      <c r="Q147" s="78"/>
      <c r="R147" s="76">
        <f>278.2-14.8</f>
        <v>263.39999999999998</v>
      </c>
      <c r="S147" s="78"/>
      <c r="T147" s="28" t="s">
        <v>306</v>
      </c>
      <c r="Z147" s="28">
        <f t="shared" si="9"/>
        <v>0</v>
      </c>
      <c r="AA147" s="28">
        <f>SUM(Z143:Z147)/5</f>
        <v>0.93399999999999994</v>
      </c>
    </row>
    <row r="148" spans="1:27" ht="15.75" customHeight="1">
      <c r="A148" s="70"/>
      <c r="B148" s="70"/>
      <c r="C148" s="70">
        <v>2</v>
      </c>
      <c r="D148" s="70" t="s">
        <v>94</v>
      </c>
      <c r="E148" s="78"/>
      <c r="F148" s="78"/>
      <c r="G148" s="78"/>
      <c r="H148" s="76"/>
      <c r="I148" s="78"/>
      <c r="J148" s="78"/>
      <c r="K148" s="78"/>
      <c r="L148" s="78"/>
      <c r="M148" s="78"/>
      <c r="N148" s="78"/>
      <c r="O148" s="78"/>
      <c r="P148" s="78"/>
      <c r="Q148" s="78"/>
      <c r="R148" s="76">
        <f>255.6-(2*14.8)</f>
        <v>226</v>
      </c>
      <c r="S148" s="78"/>
      <c r="T148" s="76" t="s">
        <v>308</v>
      </c>
      <c r="U148" s="28"/>
      <c r="V148" s="28"/>
      <c r="W148" s="28"/>
      <c r="X148" s="28"/>
      <c r="Y148" s="28"/>
      <c r="Z148" s="28">
        <f t="shared" si="9"/>
        <v>0</v>
      </c>
      <c r="AA148" s="28"/>
    </row>
    <row r="149" spans="1:27" ht="15.75" customHeight="1">
      <c r="A149" s="70"/>
      <c r="B149" s="70"/>
      <c r="C149" s="70">
        <v>2</v>
      </c>
      <c r="D149" s="70" t="s">
        <v>107</v>
      </c>
      <c r="E149" s="78"/>
      <c r="F149" s="78"/>
      <c r="G149" s="78"/>
      <c r="H149" s="78"/>
      <c r="I149" s="78"/>
      <c r="J149" s="78"/>
      <c r="K149" s="78"/>
      <c r="L149" s="78"/>
      <c r="M149" s="78"/>
      <c r="N149" s="78"/>
      <c r="O149" s="78"/>
      <c r="P149" s="78"/>
      <c r="Q149" s="78"/>
      <c r="R149" s="76">
        <f>204-14.8</f>
        <v>189.2</v>
      </c>
      <c r="S149" s="78"/>
      <c r="T149" s="28" t="s">
        <v>306</v>
      </c>
      <c r="Z149" s="28">
        <f t="shared" si="9"/>
        <v>0</v>
      </c>
      <c r="AA149" s="28"/>
    </row>
    <row r="150" spans="1:27" ht="15.75" customHeight="1">
      <c r="A150" s="70"/>
      <c r="B150" s="70"/>
      <c r="C150" s="70">
        <v>2</v>
      </c>
      <c r="D150" s="70" t="s">
        <v>108</v>
      </c>
      <c r="E150" s="78"/>
      <c r="F150" s="78"/>
      <c r="G150" s="78"/>
      <c r="H150" s="78"/>
      <c r="I150" s="78"/>
      <c r="J150" s="78"/>
      <c r="K150" s="78"/>
      <c r="L150" s="78"/>
      <c r="M150" s="78"/>
      <c r="N150" s="78"/>
      <c r="O150" s="78"/>
      <c r="P150" s="78"/>
      <c r="Q150" s="78"/>
      <c r="R150" s="76">
        <f>243-14.8</f>
        <v>228.2</v>
      </c>
      <c r="S150" s="76" t="s">
        <v>200</v>
      </c>
      <c r="T150" s="28" t="s">
        <v>306</v>
      </c>
      <c r="Z150" s="28">
        <f t="shared" si="9"/>
        <v>0</v>
      </c>
      <c r="AA150" s="28"/>
    </row>
    <row r="151" spans="1:27" ht="15.75" customHeight="1">
      <c r="A151" s="70"/>
      <c r="B151" s="70"/>
      <c r="C151" s="70">
        <v>2</v>
      </c>
      <c r="D151" s="70" t="s">
        <v>96</v>
      </c>
      <c r="E151" s="78"/>
      <c r="F151" s="78"/>
      <c r="G151" s="78"/>
      <c r="H151" s="78"/>
      <c r="I151" s="78"/>
      <c r="J151" s="78"/>
      <c r="K151" s="78"/>
      <c r="L151" s="78"/>
      <c r="M151" s="78"/>
      <c r="N151" s="78"/>
      <c r="O151" s="78"/>
      <c r="P151" s="78"/>
      <c r="Q151" s="78"/>
      <c r="R151" s="76">
        <f>230.7-14.8</f>
        <v>215.89999999999998</v>
      </c>
      <c r="S151" s="78"/>
      <c r="T151" s="28" t="s">
        <v>306</v>
      </c>
      <c r="W151" s="28">
        <v>1.77</v>
      </c>
      <c r="X151" s="28">
        <v>3.47</v>
      </c>
      <c r="Y151" s="28">
        <v>3.94</v>
      </c>
      <c r="Z151" s="28">
        <f t="shared" si="9"/>
        <v>5.24</v>
      </c>
      <c r="AA151" s="28"/>
    </row>
    <row r="152" spans="1:27" ht="15.75" customHeight="1">
      <c r="A152" s="70"/>
      <c r="B152" s="70"/>
      <c r="C152" s="70">
        <v>2</v>
      </c>
      <c r="D152" s="70" t="s">
        <v>39</v>
      </c>
      <c r="E152" s="78"/>
      <c r="F152" s="78"/>
      <c r="G152" s="78"/>
      <c r="H152" s="78"/>
      <c r="I152" s="78"/>
      <c r="J152" s="78"/>
      <c r="K152" s="78"/>
      <c r="L152" s="78"/>
      <c r="M152" s="78"/>
      <c r="N152" s="78"/>
      <c r="O152" s="78"/>
      <c r="P152" s="78"/>
      <c r="Q152" s="78"/>
      <c r="R152" s="76">
        <f>312.6-28.1</f>
        <v>284.5</v>
      </c>
      <c r="S152" s="78"/>
      <c r="T152" s="28" t="s">
        <v>309</v>
      </c>
      <c r="W152" s="28">
        <v>1.66</v>
      </c>
      <c r="X152" s="28">
        <v>4.1900000000000004</v>
      </c>
      <c r="Y152" s="28">
        <v>2.38</v>
      </c>
      <c r="Z152" s="28">
        <f t="shared" si="9"/>
        <v>5.8500000000000005</v>
      </c>
      <c r="AA152" s="28">
        <f>SUM(Z148:Z152)/5</f>
        <v>2.218</v>
      </c>
    </row>
    <row r="153" spans="1:27" ht="15.75" customHeight="1">
      <c r="A153" s="70"/>
      <c r="B153" s="70"/>
      <c r="C153" s="70">
        <v>3</v>
      </c>
      <c r="D153" s="70" t="s">
        <v>94</v>
      </c>
      <c r="E153" s="78"/>
      <c r="F153" s="78"/>
      <c r="G153" s="78"/>
      <c r="H153" s="78"/>
      <c r="I153" s="78"/>
      <c r="J153" s="78"/>
      <c r="K153" s="78"/>
      <c r="L153" s="78"/>
      <c r="M153" s="78"/>
      <c r="N153" s="78"/>
      <c r="O153" s="78"/>
      <c r="P153" s="78"/>
      <c r="Q153" s="78"/>
      <c r="R153" s="76">
        <f>196-(2*14.8)</f>
        <v>166.4</v>
      </c>
      <c r="S153" s="78"/>
      <c r="T153" s="76" t="s">
        <v>310</v>
      </c>
      <c r="U153" s="28"/>
      <c r="V153" s="28"/>
      <c r="W153" s="28">
        <v>2.46</v>
      </c>
      <c r="X153" s="28">
        <v>4.05</v>
      </c>
      <c r="Y153" s="28">
        <v>1.0900000000000001</v>
      </c>
      <c r="Z153" s="28">
        <f t="shared" si="9"/>
        <v>6.51</v>
      </c>
      <c r="AA153" s="28"/>
    </row>
    <row r="154" spans="1:27" ht="15.75" customHeight="1">
      <c r="A154" s="70"/>
      <c r="B154" s="70"/>
      <c r="C154" s="70">
        <v>3</v>
      </c>
      <c r="D154" s="70" t="s">
        <v>107</v>
      </c>
      <c r="E154" s="78"/>
      <c r="F154" s="78"/>
      <c r="G154" s="78"/>
      <c r="H154" s="78"/>
      <c r="I154" s="78"/>
      <c r="J154" s="78"/>
      <c r="K154" s="78"/>
      <c r="L154" s="78"/>
      <c r="M154" s="78"/>
      <c r="N154" s="78"/>
      <c r="O154" s="78"/>
      <c r="P154" s="78"/>
      <c r="Q154" s="78"/>
      <c r="R154" s="76">
        <f>304.9-14.8</f>
        <v>290.09999999999997</v>
      </c>
      <c r="S154" s="78"/>
      <c r="T154" s="28" t="s">
        <v>306</v>
      </c>
      <c r="Z154" s="28">
        <f t="shared" si="9"/>
        <v>0</v>
      </c>
      <c r="AA154" s="28"/>
    </row>
    <row r="155" spans="1:27" ht="15.75" customHeight="1">
      <c r="A155" s="70"/>
      <c r="B155" s="70"/>
      <c r="C155" s="70">
        <v>3</v>
      </c>
      <c r="D155" s="70" t="s">
        <v>108</v>
      </c>
      <c r="E155" s="78"/>
      <c r="F155" s="78"/>
      <c r="G155" s="78"/>
      <c r="H155" s="78"/>
      <c r="I155" s="78"/>
      <c r="J155" s="78"/>
      <c r="K155" s="78"/>
      <c r="L155" s="78"/>
      <c r="M155" s="78"/>
      <c r="N155" s="78"/>
      <c r="O155" s="78"/>
      <c r="P155" s="78"/>
      <c r="Q155" s="78"/>
      <c r="R155" s="76">
        <f>389.7-(2*14.8)</f>
        <v>360.09999999999997</v>
      </c>
      <c r="S155" s="78"/>
      <c r="T155" s="28" t="s">
        <v>311</v>
      </c>
      <c r="Z155" s="28">
        <f t="shared" si="9"/>
        <v>0</v>
      </c>
      <c r="AA155" s="28"/>
    </row>
    <row r="156" spans="1:27" ht="15.75" customHeight="1">
      <c r="A156" s="70"/>
      <c r="B156" s="70"/>
      <c r="C156" s="70">
        <v>3</v>
      </c>
      <c r="D156" s="70" t="s">
        <v>96</v>
      </c>
      <c r="E156" s="78"/>
      <c r="F156" s="78"/>
      <c r="G156" s="78"/>
      <c r="H156" s="78"/>
      <c r="I156" s="78"/>
      <c r="J156" s="78"/>
      <c r="K156" s="78"/>
      <c r="L156" s="78"/>
      <c r="M156" s="78"/>
      <c r="N156" s="78"/>
      <c r="O156" s="78"/>
      <c r="P156" s="78"/>
      <c r="Q156" s="78"/>
      <c r="R156" s="76">
        <f>267.2-14.8</f>
        <v>252.39999999999998</v>
      </c>
      <c r="S156" s="78"/>
      <c r="T156" s="28" t="s">
        <v>306</v>
      </c>
      <c r="Z156" s="28">
        <f t="shared" si="9"/>
        <v>0</v>
      </c>
      <c r="AA156" s="28"/>
    </row>
    <row r="157" spans="1:27" ht="15.75" customHeight="1">
      <c r="A157" s="70"/>
      <c r="B157" s="70"/>
      <c r="C157" s="70">
        <v>3</v>
      </c>
      <c r="D157" s="70" t="s">
        <v>39</v>
      </c>
      <c r="E157" s="78"/>
      <c r="F157" s="78"/>
      <c r="G157" s="78"/>
      <c r="H157" s="78"/>
      <c r="I157" s="78"/>
      <c r="J157" s="78"/>
      <c r="K157" s="78"/>
      <c r="L157" s="78"/>
      <c r="M157" s="78"/>
      <c r="N157" s="78"/>
      <c r="O157" s="78"/>
      <c r="P157" s="78"/>
      <c r="Q157" s="78"/>
      <c r="R157" s="76">
        <f>292.4-14.8</f>
        <v>277.59999999999997</v>
      </c>
      <c r="S157" s="78"/>
      <c r="T157" s="28" t="s">
        <v>306</v>
      </c>
      <c r="Z157" s="28">
        <f t="shared" si="9"/>
        <v>0</v>
      </c>
      <c r="AA157" s="28">
        <f>SUM(Z153:Z157)/5</f>
        <v>1.302</v>
      </c>
    </row>
    <row r="158" spans="1:27" ht="15.75" customHeight="1">
      <c r="A158" s="70"/>
      <c r="B158" s="70"/>
      <c r="C158" s="70">
        <v>4</v>
      </c>
      <c r="D158" s="70" t="s">
        <v>94</v>
      </c>
      <c r="E158" s="78"/>
      <c r="F158" s="78"/>
      <c r="G158" s="78"/>
      <c r="H158" s="78"/>
      <c r="I158" s="78"/>
      <c r="J158" s="78"/>
      <c r="K158" s="78"/>
      <c r="L158" s="78"/>
      <c r="M158" s="78"/>
      <c r="N158" s="78"/>
      <c r="O158" s="78"/>
      <c r="P158" s="78"/>
      <c r="Q158" s="78"/>
      <c r="R158" s="76">
        <f>226.1-14.8</f>
        <v>211.29999999999998</v>
      </c>
      <c r="S158" s="78"/>
      <c r="T158" s="76" t="s">
        <v>312</v>
      </c>
      <c r="U158" s="28"/>
      <c r="V158" s="28"/>
      <c r="W158" s="28"/>
      <c r="X158" s="28"/>
      <c r="Y158" s="28"/>
      <c r="Z158" s="28">
        <f t="shared" si="9"/>
        <v>0</v>
      </c>
      <c r="AA158" s="28"/>
    </row>
    <row r="159" spans="1:27" ht="15.75" customHeight="1">
      <c r="A159" s="70"/>
      <c r="B159" s="70"/>
      <c r="C159" s="70">
        <v>4</v>
      </c>
      <c r="D159" s="70" t="s">
        <v>107</v>
      </c>
      <c r="E159" s="78"/>
      <c r="F159" s="78"/>
      <c r="G159" s="78"/>
      <c r="H159" s="78"/>
      <c r="I159" s="78"/>
      <c r="J159" s="78"/>
      <c r="K159" s="78"/>
      <c r="L159" s="78"/>
      <c r="M159" s="78"/>
      <c r="N159" s="78"/>
      <c r="O159" s="78"/>
      <c r="P159" s="78"/>
      <c r="Q159" s="78"/>
      <c r="R159" s="28">
        <f>254.2-14.8</f>
        <v>239.39999999999998</v>
      </c>
      <c r="S159" s="78"/>
      <c r="T159" s="28" t="s">
        <v>306</v>
      </c>
      <c r="V159" s="28">
        <v>0.28000000000000003</v>
      </c>
      <c r="W159">
        <f>12.23-7.34</f>
        <v>4.8900000000000006</v>
      </c>
      <c r="X159" s="28">
        <v>4.45</v>
      </c>
      <c r="Y159" s="28">
        <v>3.73</v>
      </c>
      <c r="Z159" s="28">
        <f t="shared" si="9"/>
        <v>9.6199999999999992</v>
      </c>
      <c r="AA159" s="28"/>
    </row>
    <row r="160" spans="1:27" ht="15.75" customHeight="1">
      <c r="A160" s="70"/>
      <c r="B160" s="70"/>
      <c r="C160" s="70">
        <v>4</v>
      </c>
      <c r="D160" s="70" t="s">
        <v>108</v>
      </c>
      <c r="E160" s="78"/>
      <c r="F160" s="78"/>
      <c r="G160" s="78"/>
      <c r="H160" s="78"/>
      <c r="I160" s="78"/>
      <c r="J160" s="78"/>
      <c r="K160" s="78"/>
      <c r="L160" s="78"/>
      <c r="M160" s="78"/>
      <c r="N160" s="78"/>
      <c r="O160" s="78"/>
      <c r="P160" s="78"/>
      <c r="Q160" s="78"/>
      <c r="R160" s="76">
        <f>174.4-14.8</f>
        <v>159.6</v>
      </c>
      <c r="S160" s="78"/>
      <c r="T160" s="28" t="s">
        <v>306</v>
      </c>
      <c r="Z160" s="28">
        <f t="shared" si="9"/>
        <v>0</v>
      </c>
      <c r="AA160" s="28"/>
    </row>
    <row r="161" spans="1:27" ht="15.75" customHeight="1">
      <c r="A161" s="70"/>
      <c r="B161" s="70"/>
      <c r="C161" s="70">
        <v>4</v>
      </c>
      <c r="D161" s="70" t="s">
        <v>96</v>
      </c>
      <c r="E161" s="78"/>
      <c r="F161" s="78"/>
      <c r="G161" s="78"/>
      <c r="H161" s="78"/>
      <c r="I161" s="78"/>
      <c r="J161" s="78"/>
      <c r="K161" s="78"/>
      <c r="L161" s="78"/>
      <c r="M161" s="78"/>
      <c r="N161" s="78"/>
      <c r="O161" s="78"/>
      <c r="P161" s="78"/>
      <c r="Q161" s="78"/>
      <c r="R161" s="76">
        <f>296.3-(2*14.8)</f>
        <v>266.7</v>
      </c>
      <c r="S161" s="78"/>
      <c r="T161" s="28" t="s">
        <v>307</v>
      </c>
      <c r="Y161" s="28">
        <v>5.24</v>
      </c>
      <c r="Z161" s="28">
        <f t="shared" si="9"/>
        <v>0</v>
      </c>
      <c r="AA161" s="28"/>
    </row>
    <row r="162" spans="1:27" ht="15.75" customHeight="1">
      <c r="A162" s="70"/>
      <c r="B162" s="70"/>
      <c r="C162" s="70">
        <v>4</v>
      </c>
      <c r="D162" s="70" t="s">
        <v>39</v>
      </c>
      <c r="E162" s="78"/>
      <c r="F162" s="78"/>
      <c r="G162" s="78"/>
      <c r="H162" s="78"/>
      <c r="I162" s="78"/>
      <c r="J162" s="78"/>
      <c r="K162" s="78"/>
      <c r="L162" s="78"/>
      <c r="M162" s="78"/>
      <c r="N162" s="78"/>
      <c r="O162" s="78"/>
      <c r="P162" s="78"/>
      <c r="Q162" s="78"/>
      <c r="R162" s="76">
        <f>178.9-14.8</f>
        <v>164.1</v>
      </c>
      <c r="S162" s="78"/>
      <c r="T162" s="28" t="s">
        <v>306</v>
      </c>
      <c r="U162" s="28">
        <v>0.14000000000000001</v>
      </c>
      <c r="Y162" s="28">
        <v>2.87</v>
      </c>
      <c r="Z162" s="28">
        <f t="shared" si="9"/>
        <v>0</v>
      </c>
      <c r="AA162" s="28">
        <f>SUM(Z158:Z162)/5</f>
        <v>1.9239999999999999</v>
      </c>
    </row>
    <row r="163" spans="1:27" ht="15.75" customHeight="1">
      <c r="A163" s="70" t="s">
        <v>103</v>
      </c>
      <c r="B163" s="70" t="s">
        <v>110</v>
      </c>
      <c r="C163" s="70">
        <v>1</v>
      </c>
      <c r="D163" s="70" t="s">
        <v>94</v>
      </c>
      <c r="E163" s="76" t="s">
        <v>313</v>
      </c>
      <c r="F163" s="76" t="s">
        <v>313</v>
      </c>
      <c r="G163" s="76"/>
      <c r="H163" s="76" t="s">
        <v>313</v>
      </c>
      <c r="I163" s="76" t="s">
        <v>313</v>
      </c>
      <c r="J163" s="76" t="s">
        <v>313</v>
      </c>
      <c r="K163" s="76" t="s">
        <v>313</v>
      </c>
      <c r="L163" s="76" t="s">
        <v>313</v>
      </c>
      <c r="M163" s="76" t="s">
        <v>313</v>
      </c>
      <c r="N163" s="76" t="s">
        <v>313</v>
      </c>
      <c r="O163" s="76" t="s">
        <v>313</v>
      </c>
      <c r="P163" s="76"/>
      <c r="Q163" s="76" t="s">
        <v>313</v>
      </c>
      <c r="R163" s="103">
        <v>54.13</v>
      </c>
      <c r="S163" s="78"/>
      <c r="T163" s="76" t="s">
        <v>89</v>
      </c>
      <c r="U163" s="28"/>
      <c r="V163" s="28"/>
      <c r="W163" s="28"/>
      <c r="X163" s="28"/>
      <c r="Y163" s="28"/>
      <c r="Z163" s="28">
        <f t="shared" si="9"/>
        <v>0</v>
      </c>
      <c r="AA163" s="28"/>
    </row>
    <row r="164" spans="1:27" ht="15.75" customHeight="1">
      <c r="A164" s="70"/>
      <c r="B164" s="70"/>
      <c r="C164" s="70">
        <v>1</v>
      </c>
      <c r="D164" s="70" t="s">
        <v>95</v>
      </c>
      <c r="E164" s="76" t="s">
        <v>313</v>
      </c>
      <c r="F164" s="76" t="s">
        <v>313</v>
      </c>
      <c r="G164" s="76"/>
      <c r="H164" s="76" t="s">
        <v>313</v>
      </c>
      <c r="I164" s="76" t="s">
        <v>313</v>
      </c>
      <c r="J164" s="76" t="s">
        <v>313</v>
      </c>
      <c r="K164" s="76" t="s">
        <v>313</v>
      </c>
      <c r="L164" s="76" t="s">
        <v>313</v>
      </c>
      <c r="M164" s="76" t="s">
        <v>313</v>
      </c>
      <c r="N164" s="76" t="s">
        <v>313</v>
      </c>
      <c r="O164" s="76" t="s">
        <v>313</v>
      </c>
      <c r="P164" s="76"/>
      <c r="Q164" s="76" t="s">
        <v>313</v>
      </c>
      <c r="R164" s="103">
        <v>63.36</v>
      </c>
      <c r="S164" s="76"/>
      <c r="T164" s="76" t="s">
        <v>314</v>
      </c>
      <c r="U164" s="28"/>
      <c r="V164" s="28"/>
      <c r="W164" s="28"/>
      <c r="X164" s="28"/>
      <c r="Y164" s="28"/>
      <c r="Z164" s="28">
        <f t="shared" si="9"/>
        <v>0</v>
      </c>
      <c r="AA164" s="28"/>
    </row>
    <row r="165" spans="1:27" ht="15.75" customHeight="1">
      <c r="A165" s="70"/>
      <c r="B165" s="70"/>
      <c r="C165" s="70">
        <v>1</v>
      </c>
      <c r="D165" s="75" t="s">
        <v>96</v>
      </c>
      <c r="E165" s="76" t="s">
        <v>313</v>
      </c>
      <c r="F165" s="76" t="s">
        <v>313</v>
      </c>
      <c r="G165" s="76"/>
      <c r="H165" s="76" t="s">
        <v>313</v>
      </c>
      <c r="I165" s="76" t="s">
        <v>313</v>
      </c>
      <c r="J165" s="76" t="s">
        <v>313</v>
      </c>
      <c r="K165" s="76" t="s">
        <v>313</v>
      </c>
      <c r="L165" s="76" t="s">
        <v>313</v>
      </c>
      <c r="M165" s="76" t="s">
        <v>313</v>
      </c>
      <c r="N165" s="76" t="s">
        <v>313</v>
      </c>
      <c r="O165" s="76" t="s">
        <v>313</v>
      </c>
      <c r="P165" s="76"/>
      <c r="Q165" s="76" t="s">
        <v>313</v>
      </c>
      <c r="R165" s="103">
        <v>61.5</v>
      </c>
      <c r="S165" s="78"/>
      <c r="T165" s="78"/>
      <c r="Z165" s="28">
        <f t="shared" si="9"/>
        <v>0</v>
      </c>
      <c r="AA165" s="28"/>
    </row>
    <row r="166" spans="1:27" ht="15.75" customHeight="1">
      <c r="A166" s="70"/>
      <c r="B166" s="70"/>
      <c r="C166" s="70">
        <v>1</v>
      </c>
      <c r="D166" s="75" t="s">
        <v>39</v>
      </c>
      <c r="E166" s="76" t="s">
        <v>313</v>
      </c>
      <c r="F166" s="76" t="s">
        <v>313</v>
      </c>
      <c r="G166" s="76"/>
      <c r="H166" s="76" t="s">
        <v>313</v>
      </c>
      <c r="I166" s="76" t="s">
        <v>313</v>
      </c>
      <c r="J166" s="76" t="s">
        <v>313</v>
      </c>
      <c r="K166" s="76" t="s">
        <v>313</v>
      </c>
      <c r="L166" s="76" t="s">
        <v>313</v>
      </c>
      <c r="M166" s="76" t="s">
        <v>313</v>
      </c>
      <c r="N166" s="76" t="s">
        <v>313</v>
      </c>
      <c r="O166" s="76" t="s">
        <v>313</v>
      </c>
      <c r="P166" s="76"/>
      <c r="Q166" s="76" t="s">
        <v>313</v>
      </c>
      <c r="R166" s="103">
        <v>64.11</v>
      </c>
      <c r="S166" s="78"/>
      <c r="T166" s="78"/>
      <c r="Z166" s="28">
        <f t="shared" si="9"/>
        <v>0</v>
      </c>
      <c r="AA166" s="28"/>
    </row>
    <row r="167" spans="1:27" ht="15.75" customHeight="1">
      <c r="A167" s="70"/>
      <c r="B167" s="70"/>
      <c r="C167" s="70">
        <v>1</v>
      </c>
      <c r="D167" s="75" t="s">
        <v>97</v>
      </c>
      <c r="E167" s="76" t="s">
        <v>313</v>
      </c>
      <c r="F167" s="76" t="s">
        <v>313</v>
      </c>
      <c r="G167" s="76"/>
      <c r="H167" s="76" t="s">
        <v>313</v>
      </c>
      <c r="I167" s="76" t="s">
        <v>313</v>
      </c>
      <c r="J167" s="76" t="s">
        <v>313</v>
      </c>
      <c r="K167" s="76" t="s">
        <v>313</v>
      </c>
      <c r="L167" s="76" t="s">
        <v>313</v>
      </c>
      <c r="M167" s="76" t="s">
        <v>313</v>
      </c>
      <c r="N167" s="76" t="s">
        <v>313</v>
      </c>
      <c r="O167" s="76" t="s">
        <v>313</v>
      </c>
      <c r="P167" s="76"/>
      <c r="Q167" s="76" t="s">
        <v>313</v>
      </c>
      <c r="R167" s="103">
        <v>73.95</v>
      </c>
      <c r="S167" s="104">
        <f>AVERAGE(R163:R167)</f>
        <v>63.410000000000004</v>
      </c>
      <c r="T167" s="78"/>
      <c r="Z167" s="28">
        <f t="shared" si="9"/>
        <v>0</v>
      </c>
      <c r="AA167" s="28">
        <f>SUM(Z163:Z167)/5</f>
        <v>0</v>
      </c>
    </row>
    <row r="168" spans="1:27" ht="15.75" customHeight="1">
      <c r="A168" s="70"/>
      <c r="B168" s="70"/>
      <c r="C168" s="70">
        <v>2</v>
      </c>
      <c r="D168" s="70" t="s">
        <v>94</v>
      </c>
      <c r="E168" s="76" t="s">
        <v>313</v>
      </c>
      <c r="F168" s="76" t="s">
        <v>313</v>
      </c>
      <c r="G168" s="76"/>
      <c r="H168" s="76" t="s">
        <v>313</v>
      </c>
      <c r="I168" s="76" t="s">
        <v>313</v>
      </c>
      <c r="J168" s="76" t="s">
        <v>313</v>
      </c>
      <c r="K168" s="76" t="s">
        <v>313</v>
      </c>
      <c r="L168" s="76" t="s">
        <v>313</v>
      </c>
      <c r="M168" s="76" t="s">
        <v>313</v>
      </c>
      <c r="N168" s="76" t="s">
        <v>313</v>
      </c>
      <c r="O168" s="76" t="s">
        <v>313</v>
      </c>
      <c r="P168" s="76"/>
      <c r="Q168" s="76" t="s">
        <v>313</v>
      </c>
      <c r="R168" s="103">
        <v>69.790000000000006</v>
      </c>
      <c r="S168" s="78"/>
      <c r="T168" s="76" t="s">
        <v>90</v>
      </c>
      <c r="U168" s="28"/>
      <c r="V168" s="28"/>
      <c r="W168" s="28"/>
      <c r="X168" s="28"/>
      <c r="Y168" s="28"/>
      <c r="Z168" s="28">
        <f t="shared" si="9"/>
        <v>0</v>
      </c>
      <c r="AA168" s="28"/>
    </row>
    <row r="169" spans="1:27" ht="15.75" customHeight="1">
      <c r="A169" s="70"/>
      <c r="B169" s="70"/>
      <c r="C169" s="70">
        <v>2</v>
      </c>
      <c r="D169" s="70" t="s">
        <v>95</v>
      </c>
      <c r="E169" s="76" t="s">
        <v>313</v>
      </c>
      <c r="F169" s="76" t="s">
        <v>313</v>
      </c>
      <c r="G169" s="76"/>
      <c r="H169" s="76" t="s">
        <v>313</v>
      </c>
      <c r="I169" s="76" t="s">
        <v>313</v>
      </c>
      <c r="J169" s="76" t="s">
        <v>313</v>
      </c>
      <c r="K169" s="76" t="s">
        <v>313</v>
      </c>
      <c r="L169" s="76" t="s">
        <v>313</v>
      </c>
      <c r="M169" s="76" t="s">
        <v>313</v>
      </c>
      <c r="N169" s="76" t="s">
        <v>313</v>
      </c>
      <c r="O169" s="76" t="s">
        <v>313</v>
      </c>
      <c r="P169" s="76"/>
      <c r="Q169" s="76" t="s">
        <v>313</v>
      </c>
      <c r="R169" s="103">
        <v>65.47</v>
      </c>
      <c r="S169" s="78"/>
      <c r="T169" s="78"/>
      <c r="Z169" s="28">
        <f t="shared" si="9"/>
        <v>0</v>
      </c>
      <c r="AA169" s="28"/>
    </row>
    <row r="170" spans="1:27" ht="15.75" customHeight="1">
      <c r="A170" s="70"/>
      <c r="B170" s="70"/>
      <c r="C170" s="70">
        <v>2</v>
      </c>
      <c r="D170" s="70" t="s">
        <v>96</v>
      </c>
      <c r="E170" s="76" t="s">
        <v>313</v>
      </c>
      <c r="F170" s="76" t="s">
        <v>313</v>
      </c>
      <c r="G170" s="76"/>
      <c r="H170" s="76" t="s">
        <v>313</v>
      </c>
      <c r="I170" s="76" t="s">
        <v>313</v>
      </c>
      <c r="J170" s="76" t="s">
        <v>313</v>
      </c>
      <c r="K170" s="76" t="s">
        <v>313</v>
      </c>
      <c r="L170" s="76" t="s">
        <v>313</v>
      </c>
      <c r="M170" s="76" t="s">
        <v>313</v>
      </c>
      <c r="N170" s="76" t="s">
        <v>313</v>
      </c>
      <c r="O170" s="76" t="s">
        <v>313</v>
      </c>
      <c r="P170" s="76"/>
      <c r="Q170" s="76" t="s">
        <v>313</v>
      </c>
      <c r="R170" s="103">
        <v>89.5</v>
      </c>
      <c r="S170" s="78"/>
      <c r="T170" s="78"/>
      <c r="Z170" s="28">
        <f t="shared" si="9"/>
        <v>0</v>
      </c>
      <c r="AA170" s="28"/>
    </row>
    <row r="171" spans="1:27" ht="15.75" customHeight="1">
      <c r="A171" s="70"/>
      <c r="B171" s="70"/>
      <c r="C171" s="70">
        <v>2</v>
      </c>
      <c r="D171" s="70" t="s">
        <v>39</v>
      </c>
      <c r="E171" s="76" t="s">
        <v>313</v>
      </c>
      <c r="F171" s="76" t="s">
        <v>313</v>
      </c>
      <c r="G171" s="76"/>
      <c r="H171" s="76" t="s">
        <v>313</v>
      </c>
      <c r="I171" s="76" t="s">
        <v>313</v>
      </c>
      <c r="J171" s="76" t="s">
        <v>313</v>
      </c>
      <c r="K171" s="76" t="s">
        <v>313</v>
      </c>
      <c r="L171" s="76" t="s">
        <v>313</v>
      </c>
      <c r="M171" s="76" t="s">
        <v>313</v>
      </c>
      <c r="N171" s="76" t="s">
        <v>313</v>
      </c>
      <c r="O171" s="76" t="s">
        <v>313</v>
      </c>
      <c r="P171" s="76"/>
      <c r="Q171" s="76" t="s">
        <v>313</v>
      </c>
      <c r="R171" s="103">
        <v>76.099999999999994</v>
      </c>
      <c r="S171" s="78"/>
      <c r="T171" s="78"/>
      <c r="Z171" s="28">
        <f t="shared" si="9"/>
        <v>0</v>
      </c>
      <c r="AA171" s="28"/>
    </row>
    <row r="172" spans="1:27" ht="15.75" customHeight="1">
      <c r="A172" s="70"/>
      <c r="B172" s="70"/>
      <c r="C172" s="70">
        <v>2</v>
      </c>
      <c r="D172" s="70" t="s">
        <v>97</v>
      </c>
      <c r="E172" s="76" t="s">
        <v>313</v>
      </c>
      <c r="F172" s="76" t="s">
        <v>313</v>
      </c>
      <c r="G172" s="76"/>
      <c r="H172" s="76" t="s">
        <v>313</v>
      </c>
      <c r="I172" s="76" t="s">
        <v>313</v>
      </c>
      <c r="J172" s="76" t="s">
        <v>313</v>
      </c>
      <c r="K172" s="76" t="s">
        <v>313</v>
      </c>
      <c r="L172" s="76" t="s">
        <v>313</v>
      </c>
      <c r="M172" s="76" t="s">
        <v>313</v>
      </c>
      <c r="N172" s="76" t="s">
        <v>313</v>
      </c>
      <c r="O172" s="76" t="s">
        <v>313</v>
      </c>
      <c r="P172" s="76"/>
      <c r="Q172" s="76" t="s">
        <v>313</v>
      </c>
      <c r="R172" s="103">
        <v>86.17</v>
      </c>
      <c r="S172" s="104">
        <f>AVERAGE(R168:R172)</f>
        <v>77.406000000000006</v>
      </c>
      <c r="T172" s="78"/>
      <c r="Z172" s="28">
        <f t="shared" si="9"/>
        <v>0</v>
      </c>
      <c r="AA172" s="28">
        <f>SUM(Z168:Z172)/5</f>
        <v>0</v>
      </c>
    </row>
    <row r="173" spans="1:27" ht="15.75" customHeight="1">
      <c r="A173" s="70"/>
      <c r="B173" s="70"/>
      <c r="C173" s="70">
        <v>3</v>
      </c>
      <c r="D173" s="70" t="s">
        <v>94</v>
      </c>
      <c r="E173" s="76" t="s">
        <v>313</v>
      </c>
      <c r="F173" s="76" t="s">
        <v>313</v>
      </c>
      <c r="G173" s="76"/>
      <c r="H173" s="76" t="s">
        <v>313</v>
      </c>
      <c r="I173" s="76" t="s">
        <v>313</v>
      </c>
      <c r="J173" s="76" t="s">
        <v>313</v>
      </c>
      <c r="K173" s="76" t="s">
        <v>313</v>
      </c>
      <c r="L173" s="76" t="s">
        <v>313</v>
      </c>
      <c r="M173" s="76" t="s">
        <v>313</v>
      </c>
      <c r="N173" s="76" t="s">
        <v>313</v>
      </c>
      <c r="O173" s="76" t="s">
        <v>313</v>
      </c>
      <c r="P173" s="76"/>
      <c r="Q173" s="76" t="s">
        <v>313</v>
      </c>
      <c r="R173" s="103">
        <v>85.59</v>
      </c>
      <c r="S173" s="78"/>
      <c r="T173" s="76" t="s">
        <v>87</v>
      </c>
      <c r="U173" s="28"/>
      <c r="V173" s="28"/>
      <c r="W173" s="28"/>
      <c r="X173" s="28"/>
      <c r="Y173" s="28"/>
      <c r="Z173" s="28">
        <f t="shared" si="9"/>
        <v>0</v>
      </c>
      <c r="AA173" s="28"/>
    </row>
    <row r="174" spans="1:27" ht="15.75" customHeight="1">
      <c r="A174" s="70"/>
      <c r="B174" s="70"/>
      <c r="C174" s="70">
        <v>3</v>
      </c>
      <c r="D174" s="70" t="s">
        <v>95</v>
      </c>
      <c r="E174" s="76" t="s">
        <v>313</v>
      </c>
      <c r="F174" s="76" t="s">
        <v>313</v>
      </c>
      <c r="G174" s="76"/>
      <c r="H174" s="76" t="s">
        <v>313</v>
      </c>
      <c r="I174" s="76" t="s">
        <v>313</v>
      </c>
      <c r="J174" s="76" t="s">
        <v>313</v>
      </c>
      <c r="K174" s="76" t="s">
        <v>313</v>
      </c>
      <c r="L174" s="76" t="s">
        <v>313</v>
      </c>
      <c r="M174" s="76" t="s">
        <v>313</v>
      </c>
      <c r="N174" s="76" t="s">
        <v>313</v>
      </c>
      <c r="O174" s="76" t="s">
        <v>313</v>
      </c>
      <c r="P174" s="76"/>
      <c r="Q174" s="76" t="s">
        <v>313</v>
      </c>
      <c r="R174" s="103">
        <v>78.209999999999994</v>
      </c>
      <c r="S174" s="78"/>
      <c r="T174" s="78"/>
      <c r="Z174" s="28">
        <f t="shared" si="9"/>
        <v>0</v>
      </c>
      <c r="AA174" s="28"/>
    </row>
    <row r="175" spans="1:27" ht="15.75" customHeight="1">
      <c r="A175" s="70"/>
      <c r="B175" s="70"/>
      <c r="C175" s="70">
        <v>3</v>
      </c>
      <c r="D175" s="75" t="s">
        <v>96</v>
      </c>
      <c r="E175" s="76" t="s">
        <v>313</v>
      </c>
      <c r="F175" s="76" t="s">
        <v>313</v>
      </c>
      <c r="G175" s="76"/>
      <c r="H175" s="76" t="s">
        <v>313</v>
      </c>
      <c r="I175" s="76" t="s">
        <v>313</v>
      </c>
      <c r="J175" s="76" t="s">
        <v>313</v>
      </c>
      <c r="K175" s="76" t="s">
        <v>313</v>
      </c>
      <c r="L175" s="76" t="s">
        <v>313</v>
      </c>
      <c r="M175" s="76" t="s">
        <v>313</v>
      </c>
      <c r="N175" s="76" t="s">
        <v>313</v>
      </c>
      <c r="O175" s="76" t="s">
        <v>313</v>
      </c>
      <c r="P175" s="76"/>
      <c r="Q175" s="76" t="s">
        <v>313</v>
      </c>
      <c r="R175" s="103">
        <v>80.180000000000007</v>
      </c>
      <c r="S175" s="78"/>
      <c r="T175" s="78"/>
      <c r="Z175" s="28">
        <f t="shared" si="9"/>
        <v>0</v>
      </c>
      <c r="AA175" s="28"/>
    </row>
    <row r="176" spans="1:27" ht="15.75" customHeight="1">
      <c r="A176" s="70"/>
      <c r="B176" s="70"/>
      <c r="C176" s="70">
        <v>3</v>
      </c>
      <c r="D176" s="70" t="s">
        <v>39</v>
      </c>
      <c r="E176" s="76" t="s">
        <v>313</v>
      </c>
      <c r="F176" s="76" t="s">
        <v>313</v>
      </c>
      <c r="G176" s="76"/>
      <c r="H176" s="76" t="s">
        <v>313</v>
      </c>
      <c r="I176" s="76" t="s">
        <v>313</v>
      </c>
      <c r="J176" s="76" t="s">
        <v>313</v>
      </c>
      <c r="K176" s="76" t="s">
        <v>313</v>
      </c>
      <c r="L176" s="76" t="s">
        <v>313</v>
      </c>
      <c r="M176" s="76" t="s">
        <v>313</v>
      </c>
      <c r="N176" s="76" t="s">
        <v>313</v>
      </c>
      <c r="O176" s="76" t="s">
        <v>313</v>
      </c>
      <c r="P176" s="76"/>
      <c r="Q176" s="76" t="s">
        <v>313</v>
      </c>
      <c r="R176" s="103">
        <v>92.26</v>
      </c>
      <c r="S176" s="78"/>
      <c r="T176" s="78"/>
      <c r="Z176" s="28">
        <f t="shared" si="9"/>
        <v>0</v>
      </c>
      <c r="AA176" s="28"/>
    </row>
    <row r="177" spans="1:27" ht="15.75" customHeight="1">
      <c r="A177" s="70"/>
      <c r="B177" s="70"/>
      <c r="C177" s="70">
        <v>3</v>
      </c>
      <c r="D177" s="70" t="s">
        <v>97</v>
      </c>
      <c r="E177" s="76" t="s">
        <v>313</v>
      </c>
      <c r="F177" s="76" t="s">
        <v>313</v>
      </c>
      <c r="G177" s="76"/>
      <c r="H177" s="76" t="s">
        <v>313</v>
      </c>
      <c r="I177" s="76" t="s">
        <v>313</v>
      </c>
      <c r="J177" s="76" t="s">
        <v>313</v>
      </c>
      <c r="K177" s="76" t="s">
        <v>313</v>
      </c>
      <c r="L177" s="76" t="s">
        <v>313</v>
      </c>
      <c r="M177" s="76" t="s">
        <v>313</v>
      </c>
      <c r="N177" s="76" t="s">
        <v>313</v>
      </c>
      <c r="O177" s="76" t="s">
        <v>313</v>
      </c>
      <c r="P177" s="76"/>
      <c r="Q177" s="76" t="s">
        <v>313</v>
      </c>
      <c r="R177" s="103">
        <v>67.510000000000005</v>
      </c>
      <c r="S177" s="104">
        <f>AVERAGE(R173:R177)</f>
        <v>80.75</v>
      </c>
      <c r="T177" s="78"/>
      <c r="Z177" s="28">
        <f t="shared" si="9"/>
        <v>0</v>
      </c>
      <c r="AA177" s="28">
        <f>SUM(Z173:Z177)/5</f>
        <v>0</v>
      </c>
    </row>
    <row r="178" spans="1:27" ht="15.75" customHeight="1">
      <c r="A178" s="70"/>
      <c r="B178" s="70"/>
      <c r="C178" s="70">
        <v>4</v>
      </c>
      <c r="D178" s="70" t="s">
        <v>94</v>
      </c>
      <c r="E178" s="76" t="s">
        <v>313</v>
      </c>
      <c r="F178" s="76" t="s">
        <v>313</v>
      </c>
      <c r="G178" s="76"/>
      <c r="H178" s="76" t="s">
        <v>313</v>
      </c>
      <c r="I178" s="76" t="s">
        <v>313</v>
      </c>
      <c r="J178" s="76" t="s">
        <v>313</v>
      </c>
      <c r="K178" s="76" t="s">
        <v>313</v>
      </c>
      <c r="L178" s="76" t="s">
        <v>313</v>
      </c>
      <c r="M178" s="76" t="s">
        <v>313</v>
      </c>
      <c r="N178" s="76" t="s">
        <v>313</v>
      </c>
      <c r="O178" s="76" t="s">
        <v>313</v>
      </c>
      <c r="P178" s="76"/>
      <c r="Q178" s="76" t="s">
        <v>313</v>
      </c>
      <c r="R178" s="103">
        <v>69.349999999999994</v>
      </c>
      <c r="S178" s="78"/>
      <c r="T178" s="76" t="s">
        <v>149</v>
      </c>
      <c r="U178" s="28"/>
      <c r="V178" s="28"/>
      <c r="W178" s="28"/>
      <c r="X178" s="28"/>
      <c r="Y178" s="28"/>
      <c r="Z178" s="28">
        <f t="shared" si="9"/>
        <v>0</v>
      </c>
      <c r="AA178" s="28"/>
    </row>
    <row r="179" spans="1:27" ht="15.75" customHeight="1">
      <c r="A179" s="70"/>
      <c r="B179" s="70"/>
      <c r="C179" s="70">
        <v>4</v>
      </c>
      <c r="D179" s="70" t="s">
        <v>95</v>
      </c>
      <c r="E179" s="76" t="s">
        <v>313</v>
      </c>
      <c r="F179" s="76" t="s">
        <v>313</v>
      </c>
      <c r="G179" s="76"/>
      <c r="H179" s="76" t="s">
        <v>313</v>
      </c>
      <c r="I179" s="76" t="s">
        <v>313</v>
      </c>
      <c r="J179" s="76" t="s">
        <v>313</v>
      </c>
      <c r="K179" s="76" t="s">
        <v>313</v>
      </c>
      <c r="L179" s="76" t="s">
        <v>313</v>
      </c>
      <c r="M179" s="76" t="s">
        <v>313</v>
      </c>
      <c r="N179" s="76" t="s">
        <v>313</v>
      </c>
      <c r="O179" s="76" t="s">
        <v>313</v>
      </c>
      <c r="P179" s="76"/>
      <c r="Q179" s="76" t="s">
        <v>313</v>
      </c>
      <c r="R179" s="103">
        <v>65.930000000000007</v>
      </c>
      <c r="S179" s="78"/>
      <c r="T179" s="78"/>
      <c r="Z179" s="28">
        <f t="shared" si="9"/>
        <v>0</v>
      </c>
      <c r="AA179" s="28"/>
    </row>
    <row r="180" spans="1:27" ht="15.75" customHeight="1">
      <c r="A180" s="70"/>
      <c r="B180" s="70"/>
      <c r="C180" s="70">
        <v>4</v>
      </c>
      <c r="D180" s="70" t="s">
        <v>96</v>
      </c>
      <c r="E180" s="76" t="s">
        <v>313</v>
      </c>
      <c r="F180" s="76" t="s">
        <v>313</v>
      </c>
      <c r="G180" s="76"/>
      <c r="H180" s="76" t="s">
        <v>313</v>
      </c>
      <c r="I180" s="76" t="s">
        <v>313</v>
      </c>
      <c r="J180" s="76" t="s">
        <v>313</v>
      </c>
      <c r="K180" s="76" t="s">
        <v>313</v>
      </c>
      <c r="L180" s="76" t="s">
        <v>313</v>
      </c>
      <c r="M180" s="76" t="s">
        <v>313</v>
      </c>
      <c r="N180" s="76" t="s">
        <v>313</v>
      </c>
      <c r="O180" s="76" t="s">
        <v>313</v>
      </c>
      <c r="P180" s="76"/>
      <c r="Q180" s="76" t="s">
        <v>313</v>
      </c>
      <c r="R180" s="103">
        <v>66.760000000000005</v>
      </c>
      <c r="S180" s="78"/>
      <c r="T180" s="78"/>
      <c r="X180" s="28">
        <v>7.77</v>
      </c>
      <c r="Z180" s="28">
        <f t="shared" si="9"/>
        <v>7.77</v>
      </c>
      <c r="AA180" s="28"/>
    </row>
    <row r="181" spans="1:27" ht="15.75" customHeight="1">
      <c r="A181" s="70"/>
      <c r="B181" s="70"/>
      <c r="C181" s="70">
        <v>4</v>
      </c>
      <c r="D181" s="70" t="s">
        <v>39</v>
      </c>
      <c r="E181" s="76" t="s">
        <v>313</v>
      </c>
      <c r="F181" s="76" t="s">
        <v>313</v>
      </c>
      <c r="G181" s="76"/>
      <c r="H181" s="76" t="s">
        <v>313</v>
      </c>
      <c r="I181" s="76" t="s">
        <v>313</v>
      </c>
      <c r="J181" s="76" t="s">
        <v>313</v>
      </c>
      <c r="K181" s="76" t="s">
        <v>313</v>
      </c>
      <c r="L181" s="76" t="s">
        <v>313</v>
      </c>
      <c r="M181" s="76" t="s">
        <v>313</v>
      </c>
      <c r="N181" s="76" t="s">
        <v>313</v>
      </c>
      <c r="O181" s="76" t="s">
        <v>313</v>
      </c>
      <c r="P181" s="76"/>
      <c r="Q181" s="76" t="s">
        <v>313</v>
      </c>
      <c r="R181" s="103">
        <v>91.72</v>
      </c>
      <c r="S181" s="78"/>
      <c r="T181" s="78"/>
      <c r="Z181" s="28">
        <f t="shared" si="9"/>
        <v>0</v>
      </c>
      <c r="AA181" s="28"/>
    </row>
    <row r="182" spans="1:27" ht="15.75" customHeight="1">
      <c r="A182" s="70"/>
      <c r="B182" s="70"/>
      <c r="C182" s="70">
        <v>4</v>
      </c>
      <c r="D182" s="75" t="s">
        <v>299</v>
      </c>
      <c r="E182" s="76" t="s">
        <v>313</v>
      </c>
      <c r="F182" s="76" t="s">
        <v>313</v>
      </c>
      <c r="G182" s="76"/>
      <c r="H182" s="76" t="s">
        <v>313</v>
      </c>
      <c r="I182" s="76" t="s">
        <v>313</v>
      </c>
      <c r="J182" s="76" t="s">
        <v>313</v>
      </c>
      <c r="K182" s="76" t="s">
        <v>313</v>
      </c>
      <c r="L182" s="76" t="s">
        <v>313</v>
      </c>
      <c r="M182" s="76" t="s">
        <v>313</v>
      </c>
      <c r="N182" s="76" t="s">
        <v>313</v>
      </c>
      <c r="O182" s="76" t="s">
        <v>313</v>
      </c>
      <c r="P182" s="76"/>
      <c r="Q182" s="76" t="s">
        <v>313</v>
      </c>
      <c r="R182" s="103">
        <v>65.17</v>
      </c>
      <c r="S182" s="104">
        <f>AVERAGE(R178:R182)</f>
        <v>71.786000000000001</v>
      </c>
      <c r="T182" s="78"/>
      <c r="Z182" s="28">
        <f t="shared" si="9"/>
        <v>0</v>
      </c>
      <c r="AA182" s="28">
        <f>SUM(Z178:Z182)/5</f>
        <v>1.5539999999999998</v>
      </c>
    </row>
    <row r="183" spans="1:27" ht="15.75" customHeight="1">
      <c r="A183" s="70" t="s">
        <v>109</v>
      </c>
      <c r="B183" s="70" t="s">
        <v>112</v>
      </c>
      <c r="C183" s="70">
        <v>1</v>
      </c>
      <c r="D183" s="70" t="s">
        <v>94</v>
      </c>
      <c r="E183" s="76" t="s">
        <v>313</v>
      </c>
      <c r="F183" s="76" t="s">
        <v>313</v>
      </c>
      <c r="G183" s="76"/>
      <c r="H183" s="76" t="s">
        <v>313</v>
      </c>
      <c r="I183" s="76" t="s">
        <v>313</v>
      </c>
      <c r="J183" s="76" t="s">
        <v>313</v>
      </c>
      <c r="K183" s="76" t="s">
        <v>313</v>
      </c>
      <c r="L183" s="76" t="s">
        <v>313</v>
      </c>
      <c r="M183" s="76" t="s">
        <v>313</v>
      </c>
      <c r="N183" s="76" t="s">
        <v>313</v>
      </c>
      <c r="O183" s="76" t="s">
        <v>313</v>
      </c>
      <c r="P183" s="76"/>
      <c r="Q183" s="76" t="s">
        <v>313</v>
      </c>
      <c r="R183" s="103">
        <v>63.45</v>
      </c>
      <c r="S183" s="78"/>
      <c r="T183" s="76" t="s">
        <v>87</v>
      </c>
      <c r="U183" s="28"/>
      <c r="V183" s="28">
        <v>0.25</v>
      </c>
      <c r="W183" s="28"/>
      <c r="X183" s="28">
        <v>1.08</v>
      </c>
      <c r="Y183" s="28">
        <v>0.38</v>
      </c>
      <c r="Z183" s="28">
        <f t="shared" si="9"/>
        <v>1.33</v>
      </c>
      <c r="AA183" s="28"/>
    </row>
    <row r="184" spans="1:27" ht="15.75" customHeight="1">
      <c r="A184" s="70"/>
      <c r="B184" s="70"/>
      <c r="C184" s="70">
        <v>1</v>
      </c>
      <c r="D184" s="70" t="s">
        <v>107</v>
      </c>
      <c r="E184" s="76" t="s">
        <v>313</v>
      </c>
      <c r="F184" s="76" t="s">
        <v>313</v>
      </c>
      <c r="G184" s="76"/>
      <c r="H184" s="76" t="s">
        <v>313</v>
      </c>
      <c r="I184" s="76" t="s">
        <v>313</v>
      </c>
      <c r="J184" s="76" t="s">
        <v>313</v>
      </c>
      <c r="K184" s="76" t="s">
        <v>313</v>
      </c>
      <c r="L184" s="76" t="s">
        <v>313</v>
      </c>
      <c r="M184" s="76" t="s">
        <v>313</v>
      </c>
      <c r="N184" s="76" t="s">
        <v>313</v>
      </c>
      <c r="O184" s="76" t="s">
        <v>313</v>
      </c>
      <c r="P184" s="76"/>
      <c r="Q184" s="76" t="s">
        <v>313</v>
      </c>
      <c r="R184" s="103">
        <v>65.959999999999994</v>
      </c>
      <c r="S184" s="78"/>
      <c r="T184" s="78"/>
      <c r="Z184" s="28">
        <f t="shared" si="9"/>
        <v>0</v>
      </c>
      <c r="AA184" s="28"/>
    </row>
    <row r="185" spans="1:27" ht="15.75" customHeight="1">
      <c r="A185" s="70"/>
      <c r="B185" s="70"/>
      <c r="C185" s="70">
        <v>1</v>
      </c>
      <c r="D185" s="70" t="s">
        <v>108</v>
      </c>
      <c r="E185" s="76" t="s">
        <v>313</v>
      </c>
      <c r="F185" s="76" t="s">
        <v>313</v>
      </c>
      <c r="G185" s="76"/>
      <c r="H185" s="76" t="s">
        <v>313</v>
      </c>
      <c r="I185" s="76" t="s">
        <v>313</v>
      </c>
      <c r="J185" s="76" t="s">
        <v>313</v>
      </c>
      <c r="K185" s="76" t="s">
        <v>313</v>
      </c>
      <c r="L185" s="76" t="s">
        <v>313</v>
      </c>
      <c r="M185" s="76" t="s">
        <v>313</v>
      </c>
      <c r="N185" s="76" t="s">
        <v>313</v>
      </c>
      <c r="O185" s="76" t="s">
        <v>313</v>
      </c>
      <c r="P185" s="76"/>
      <c r="Q185" s="76" t="s">
        <v>313</v>
      </c>
      <c r="R185" s="103">
        <v>56.42</v>
      </c>
      <c r="S185" s="78"/>
      <c r="T185" s="78"/>
      <c r="V185" s="28">
        <v>0.21</v>
      </c>
      <c r="X185" s="28">
        <v>1.63</v>
      </c>
      <c r="Y185" s="28">
        <v>2.13</v>
      </c>
      <c r="Z185" s="28">
        <f t="shared" si="9"/>
        <v>1.8399999999999999</v>
      </c>
      <c r="AA185" s="28"/>
    </row>
    <row r="186" spans="1:27" ht="15.75" customHeight="1">
      <c r="A186" s="70"/>
      <c r="B186" s="70"/>
      <c r="C186" s="70">
        <v>1</v>
      </c>
      <c r="D186" s="70" t="s">
        <v>96</v>
      </c>
      <c r="E186" s="76" t="s">
        <v>313</v>
      </c>
      <c r="F186" s="76" t="s">
        <v>313</v>
      </c>
      <c r="G186" s="76"/>
      <c r="H186" s="76" t="s">
        <v>313</v>
      </c>
      <c r="I186" s="76" t="s">
        <v>313</v>
      </c>
      <c r="J186" s="76" t="s">
        <v>313</v>
      </c>
      <c r="K186" s="76" t="s">
        <v>313</v>
      </c>
      <c r="L186" s="76" t="s">
        <v>313</v>
      </c>
      <c r="M186" s="76" t="s">
        <v>313</v>
      </c>
      <c r="N186" s="76" t="s">
        <v>313</v>
      </c>
      <c r="O186" s="76" t="s">
        <v>313</v>
      </c>
      <c r="P186" s="76"/>
      <c r="Q186" s="76" t="s">
        <v>313</v>
      </c>
      <c r="R186" s="103">
        <v>58.01</v>
      </c>
      <c r="S186" s="78"/>
      <c r="T186" s="78"/>
      <c r="X186" s="28">
        <v>1.4</v>
      </c>
      <c r="Y186" s="28">
        <v>0.85</v>
      </c>
      <c r="Z186" s="28">
        <f t="shared" si="9"/>
        <v>1.4</v>
      </c>
      <c r="AA186" s="28"/>
    </row>
    <row r="187" spans="1:27" ht="15.75" customHeight="1">
      <c r="A187" s="70"/>
      <c r="B187" s="70"/>
      <c r="C187" s="70">
        <v>1</v>
      </c>
      <c r="D187" s="75" t="s">
        <v>240</v>
      </c>
      <c r="E187" s="76" t="s">
        <v>313</v>
      </c>
      <c r="F187" s="76" t="s">
        <v>313</v>
      </c>
      <c r="G187" s="76"/>
      <c r="H187" s="76" t="s">
        <v>313</v>
      </c>
      <c r="I187" s="76" t="s">
        <v>313</v>
      </c>
      <c r="J187" s="76" t="s">
        <v>313</v>
      </c>
      <c r="K187" s="76" t="s">
        <v>313</v>
      </c>
      <c r="L187" s="76" t="s">
        <v>313</v>
      </c>
      <c r="M187" s="76" t="s">
        <v>313</v>
      </c>
      <c r="N187" s="76" t="s">
        <v>313</v>
      </c>
      <c r="O187" s="76" t="s">
        <v>313</v>
      </c>
      <c r="P187" s="76"/>
      <c r="Q187" s="76" t="s">
        <v>313</v>
      </c>
      <c r="R187" s="103">
        <v>67.45</v>
      </c>
      <c r="S187" s="104">
        <f>AVERAGE(R183:R187)</f>
        <v>62.257999999999996</v>
      </c>
      <c r="T187" s="78"/>
      <c r="Z187" s="28">
        <f t="shared" si="9"/>
        <v>0</v>
      </c>
      <c r="AA187" s="28">
        <f>SUM(Z183:Z187)/5</f>
        <v>0.91400000000000003</v>
      </c>
    </row>
    <row r="188" spans="1:27" ht="15.75" customHeight="1">
      <c r="A188" s="70"/>
      <c r="B188" s="70"/>
      <c r="C188" s="70">
        <v>2</v>
      </c>
      <c r="D188" s="70" t="s">
        <v>94</v>
      </c>
      <c r="E188" s="76" t="s">
        <v>313</v>
      </c>
      <c r="F188" s="76" t="s">
        <v>313</v>
      </c>
      <c r="G188" s="76"/>
      <c r="H188" s="76" t="s">
        <v>313</v>
      </c>
      <c r="I188" s="76" t="s">
        <v>313</v>
      </c>
      <c r="J188" s="76" t="s">
        <v>313</v>
      </c>
      <c r="K188" s="76" t="s">
        <v>313</v>
      </c>
      <c r="L188" s="76" t="s">
        <v>313</v>
      </c>
      <c r="M188" s="76" t="s">
        <v>313</v>
      </c>
      <c r="N188" s="76" t="s">
        <v>313</v>
      </c>
      <c r="O188" s="76" t="s">
        <v>313</v>
      </c>
      <c r="P188" s="76"/>
      <c r="Q188" s="76" t="s">
        <v>313</v>
      </c>
      <c r="R188" s="103">
        <v>66.88</v>
      </c>
      <c r="S188" s="78"/>
      <c r="T188" s="76" t="s">
        <v>90</v>
      </c>
      <c r="U188" s="28"/>
      <c r="V188" s="28"/>
      <c r="W188" s="28">
        <v>0.15</v>
      </c>
      <c r="X188" s="28">
        <v>4.03</v>
      </c>
      <c r="Y188" s="28">
        <v>0.99</v>
      </c>
      <c r="Z188" s="28">
        <f t="shared" si="9"/>
        <v>4.1800000000000006</v>
      </c>
      <c r="AA188" s="28"/>
    </row>
    <row r="189" spans="1:27" ht="15.75" customHeight="1">
      <c r="A189" s="70"/>
      <c r="B189" s="70"/>
      <c r="C189" s="70">
        <v>2</v>
      </c>
      <c r="D189" s="70" t="s">
        <v>107</v>
      </c>
      <c r="E189" s="76" t="s">
        <v>313</v>
      </c>
      <c r="F189" s="76" t="s">
        <v>313</v>
      </c>
      <c r="G189" s="76"/>
      <c r="H189" s="76" t="s">
        <v>313</v>
      </c>
      <c r="I189" s="76" t="s">
        <v>313</v>
      </c>
      <c r="J189" s="76" t="s">
        <v>313</v>
      </c>
      <c r="K189" s="76" t="s">
        <v>313</v>
      </c>
      <c r="L189" s="76" t="s">
        <v>313</v>
      </c>
      <c r="M189" s="76" t="s">
        <v>313</v>
      </c>
      <c r="N189" s="76" t="s">
        <v>313</v>
      </c>
      <c r="O189" s="76" t="s">
        <v>313</v>
      </c>
      <c r="P189" s="76"/>
      <c r="Q189" s="76" t="s">
        <v>313</v>
      </c>
      <c r="R189" s="103">
        <v>60.29</v>
      </c>
      <c r="S189" s="78"/>
      <c r="T189" s="78"/>
      <c r="Z189" s="28">
        <f t="shared" si="9"/>
        <v>0</v>
      </c>
      <c r="AA189" s="28"/>
    </row>
    <row r="190" spans="1:27" ht="15.75" customHeight="1">
      <c r="A190" s="70"/>
      <c r="B190" s="70"/>
      <c r="C190" s="70">
        <v>2</v>
      </c>
      <c r="D190" s="70" t="s">
        <v>108</v>
      </c>
      <c r="E190" s="76" t="s">
        <v>313</v>
      </c>
      <c r="F190" s="76" t="s">
        <v>313</v>
      </c>
      <c r="G190" s="76"/>
      <c r="H190" s="76" t="s">
        <v>313</v>
      </c>
      <c r="I190" s="76" t="s">
        <v>313</v>
      </c>
      <c r="J190" s="76" t="s">
        <v>313</v>
      </c>
      <c r="K190" s="76" t="s">
        <v>313</v>
      </c>
      <c r="L190" s="76" t="s">
        <v>313</v>
      </c>
      <c r="M190" s="76" t="s">
        <v>313</v>
      </c>
      <c r="N190" s="76" t="s">
        <v>313</v>
      </c>
      <c r="O190" s="76" t="s">
        <v>313</v>
      </c>
      <c r="P190" s="76"/>
      <c r="Q190" s="76" t="s">
        <v>313</v>
      </c>
      <c r="R190" s="103">
        <v>56.42</v>
      </c>
      <c r="S190" s="78"/>
      <c r="T190" s="76" t="s">
        <v>315</v>
      </c>
      <c r="U190" s="28"/>
      <c r="V190" s="28"/>
      <c r="W190" s="28"/>
      <c r="X190" s="28">
        <v>0.59</v>
      </c>
      <c r="Y190" s="28">
        <v>0.86</v>
      </c>
      <c r="Z190" s="28">
        <f t="shared" si="9"/>
        <v>0.59</v>
      </c>
      <c r="AA190" s="28"/>
    </row>
    <row r="191" spans="1:27" ht="15.75" customHeight="1">
      <c r="A191" s="70"/>
      <c r="B191" s="70"/>
      <c r="C191" s="70">
        <v>2</v>
      </c>
      <c r="D191" s="70" t="s">
        <v>96</v>
      </c>
      <c r="E191" s="76" t="s">
        <v>313</v>
      </c>
      <c r="F191" s="76" t="s">
        <v>313</v>
      </c>
      <c r="G191" s="76"/>
      <c r="H191" s="76" t="s">
        <v>313</v>
      </c>
      <c r="I191" s="76" t="s">
        <v>313</v>
      </c>
      <c r="J191" s="76" t="s">
        <v>313</v>
      </c>
      <c r="K191" s="76" t="s">
        <v>313</v>
      </c>
      <c r="L191" s="76" t="s">
        <v>313</v>
      </c>
      <c r="M191" s="76" t="s">
        <v>313</v>
      </c>
      <c r="N191" s="76" t="s">
        <v>313</v>
      </c>
      <c r="O191" s="76" t="s">
        <v>313</v>
      </c>
      <c r="P191" s="76"/>
      <c r="Q191" s="76" t="s">
        <v>313</v>
      </c>
      <c r="R191" s="103">
        <v>70.819999999999993</v>
      </c>
      <c r="S191" s="78"/>
      <c r="T191" s="78"/>
      <c r="Z191" s="28">
        <f t="shared" si="9"/>
        <v>0</v>
      </c>
      <c r="AA191" s="28"/>
    </row>
    <row r="192" spans="1:27" ht="15.75" customHeight="1">
      <c r="A192" s="70"/>
      <c r="B192" s="70"/>
      <c r="C192" s="70">
        <v>2</v>
      </c>
      <c r="D192" s="75" t="s">
        <v>240</v>
      </c>
      <c r="E192" s="76" t="s">
        <v>313</v>
      </c>
      <c r="F192" s="76" t="s">
        <v>313</v>
      </c>
      <c r="G192" s="76"/>
      <c r="H192" s="76" t="s">
        <v>313</v>
      </c>
      <c r="I192" s="76" t="s">
        <v>313</v>
      </c>
      <c r="J192" s="76" t="s">
        <v>313</v>
      </c>
      <c r="K192" s="76" t="s">
        <v>313</v>
      </c>
      <c r="L192" s="76" t="s">
        <v>313</v>
      </c>
      <c r="M192" s="76" t="s">
        <v>313</v>
      </c>
      <c r="N192" s="76" t="s">
        <v>313</v>
      </c>
      <c r="O192" s="76" t="s">
        <v>313</v>
      </c>
      <c r="P192" s="76"/>
      <c r="Q192" s="76" t="s">
        <v>313</v>
      </c>
      <c r="R192" s="103">
        <v>51.17</v>
      </c>
      <c r="S192" s="104">
        <f>AVERAGE(R188:R192)</f>
        <v>61.116</v>
      </c>
      <c r="T192" s="78"/>
      <c r="Z192" s="28">
        <f t="shared" si="9"/>
        <v>0</v>
      </c>
      <c r="AA192" s="28">
        <f>SUM(Z188:Z192)/5</f>
        <v>0.95400000000000007</v>
      </c>
    </row>
    <row r="193" spans="1:27" ht="15.75" customHeight="1">
      <c r="A193" s="70"/>
      <c r="B193" s="70"/>
      <c r="C193" s="70">
        <v>3</v>
      </c>
      <c r="D193" s="70" t="s">
        <v>94</v>
      </c>
      <c r="E193" s="76" t="s">
        <v>313</v>
      </c>
      <c r="F193" s="76" t="s">
        <v>313</v>
      </c>
      <c r="G193" s="76"/>
      <c r="H193" s="76" t="s">
        <v>313</v>
      </c>
      <c r="I193" s="76" t="s">
        <v>313</v>
      </c>
      <c r="J193" s="76" t="s">
        <v>313</v>
      </c>
      <c r="K193" s="76" t="s">
        <v>313</v>
      </c>
      <c r="L193" s="76" t="s">
        <v>313</v>
      </c>
      <c r="M193" s="76" t="s">
        <v>313</v>
      </c>
      <c r="N193" s="76" t="s">
        <v>313</v>
      </c>
      <c r="O193" s="76" t="s">
        <v>313</v>
      </c>
      <c r="P193" s="76"/>
      <c r="Q193" s="76" t="s">
        <v>313</v>
      </c>
      <c r="R193" s="103">
        <v>61.47</v>
      </c>
      <c r="S193" s="78"/>
      <c r="T193" s="76" t="s">
        <v>149</v>
      </c>
      <c r="U193" s="28"/>
      <c r="V193" s="28">
        <v>0.73</v>
      </c>
      <c r="W193" s="28"/>
      <c r="X193" s="28"/>
      <c r="Y193" s="28">
        <v>1.42</v>
      </c>
      <c r="Z193" s="28">
        <f t="shared" si="9"/>
        <v>0.73</v>
      </c>
      <c r="AA193" s="28"/>
    </row>
    <row r="194" spans="1:27" ht="15.75" customHeight="1">
      <c r="A194" s="70"/>
      <c r="B194" s="70"/>
      <c r="C194" s="70">
        <v>3</v>
      </c>
      <c r="D194" s="70" t="s">
        <v>107</v>
      </c>
      <c r="E194" s="76" t="s">
        <v>313</v>
      </c>
      <c r="F194" s="76" t="s">
        <v>313</v>
      </c>
      <c r="G194" s="76"/>
      <c r="H194" s="76" t="s">
        <v>313</v>
      </c>
      <c r="I194" s="76" t="s">
        <v>313</v>
      </c>
      <c r="J194" s="76" t="s">
        <v>313</v>
      </c>
      <c r="K194" s="76" t="s">
        <v>313</v>
      </c>
      <c r="L194" s="76" t="s">
        <v>313</v>
      </c>
      <c r="M194" s="76" t="s">
        <v>313</v>
      </c>
      <c r="N194" s="76" t="s">
        <v>313</v>
      </c>
      <c r="O194" s="76" t="s">
        <v>313</v>
      </c>
      <c r="P194" s="76"/>
      <c r="Q194" s="76" t="s">
        <v>313</v>
      </c>
      <c r="R194" s="103">
        <v>83.36</v>
      </c>
      <c r="S194" s="78"/>
      <c r="T194" s="78"/>
      <c r="X194" s="28">
        <v>0.88</v>
      </c>
      <c r="Y194" s="28">
        <v>1.32</v>
      </c>
      <c r="Z194" s="28">
        <f t="shared" si="9"/>
        <v>0.88</v>
      </c>
      <c r="AA194" s="28"/>
    </row>
    <row r="195" spans="1:27" ht="15.75" customHeight="1">
      <c r="A195" s="70"/>
      <c r="B195" s="70"/>
      <c r="C195" s="70">
        <v>3</v>
      </c>
      <c r="D195" s="70" t="s">
        <v>108</v>
      </c>
      <c r="E195" s="76" t="s">
        <v>313</v>
      </c>
      <c r="F195" s="76" t="s">
        <v>313</v>
      </c>
      <c r="G195" s="76"/>
      <c r="H195" s="76" t="s">
        <v>313</v>
      </c>
      <c r="I195" s="76" t="s">
        <v>313</v>
      </c>
      <c r="J195" s="76" t="s">
        <v>313</v>
      </c>
      <c r="K195" s="76" t="s">
        <v>313</v>
      </c>
      <c r="L195" s="76" t="s">
        <v>313</v>
      </c>
      <c r="M195" s="76" t="s">
        <v>313</v>
      </c>
      <c r="N195" s="76" t="s">
        <v>313</v>
      </c>
      <c r="O195" s="76" t="s">
        <v>313</v>
      </c>
      <c r="P195" s="76"/>
      <c r="Q195" s="76" t="s">
        <v>313</v>
      </c>
      <c r="R195" s="103">
        <v>51.09</v>
      </c>
      <c r="S195" s="78"/>
      <c r="T195" s="78"/>
      <c r="Z195" s="28">
        <f t="shared" si="9"/>
        <v>0</v>
      </c>
      <c r="AA195" s="28"/>
    </row>
    <row r="196" spans="1:27" ht="15.75" customHeight="1">
      <c r="A196" s="70"/>
      <c r="B196" s="70"/>
      <c r="C196" s="70">
        <v>3</v>
      </c>
      <c r="D196" s="70" t="s">
        <v>96</v>
      </c>
      <c r="E196" s="76" t="s">
        <v>313</v>
      </c>
      <c r="F196" s="76" t="s">
        <v>313</v>
      </c>
      <c r="G196" s="76"/>
      <c r="H196" s="76" t="s">
        <v>313</v>
      </c>
      <c r="I196" s="76" t="s">
        <v>313</v>
      </c>
      <c r="J196" s="76" t="s">
        <v>313</v>
      </c>
      <c r="K196" s="76" t="s">
        <v>313</v>
      </c>
      <c r="L196" s="76" t="s">
        <v>313</v>
      </c>
      <c r="M196" s="76" t="s">
        <v>313</v>
      </c>
      <c r="N196" s="76" t="s">
        <v>313</v>
      </c>
      <c r="O196" s="76" t="s">
        <v>313</v>
      </c>
      <c r="P196" s="76"/>
      <c r="Q196" s="76" t="s">
        <v>313</v>
      </c>
      <c r="R196" s="103">
        <v>83.04</v>
      </c>
      <c r="S196" s="78"/>
      <c r="T196" s="78"/>
      <c r="Z196" s="28">
        <f t="shared" si="9"/>
        <v>0</v>
      </c>
      <c r="AA196" s="28"/>
    </row>
    <row r="197" spans="1:27" ht="15.75" customHeight="1">
      <c r="A197" s="70"/>
      <c r="B197" s="70"/>
      <c r="C197" s="70">
        <v>3</v>
      </c>
      <c r="D197" s="75" t="s">
        <v>240</v>
      </c>
      <c r="E197" s="76" t="s">
        <v>313</v>
      </c>
      <c r="F197" s="76" t="s">
        <v>313</v>
      </c>
      <c r="G197" s="76"/>
      <c r="H197" s="76" t="s">
        <v>313</v>
      </c>
      <c r="I197" s="76" t="s">
        <v>313</v>
      </c>
      <c r="J197" s="76" t="s">
        <v>313</v>
      </c>
      <c r="K197" s="76" t="s">
        <v>313</v>
      </c>
      <c r="L197" s="76" t="s">
        <v>313</v>
      </c>
      <c r="M197" s="76" t="s">
        <v>313</v>
      </c>
      <c r="N197" s="76" t="s">
        <v>313</v>
      </c>
      <c r="O197" s="76" t="s">
        <v>313</v>
      </c>
      <c r="P197" s="76"/>
      <c r="Q197" s="76" t="s">
        <v>313</v>
      </c>
      <c r="R197" s="103">
        <v>73.540000000000006</v>
      </c>
      <c r="S197" s="104">
        <f>AVERAGE(R193:R197)</f>
        <v>70.5</v>
      </c>
      <c r="T197" s="78"/>
      <c r="Z197" s="28">
        <f t="shared" si="9"/>
        <v>0</v>
      </c>
      <c r="AA197" s="28">
        <f>SUM(Z193:Z197)/5</f>
        <v>0.32199999999999995</v>
      </c>
    </row>
    <row r="198" spans="1:27" ht="15.75" customHeight="1">
      <c r="A198" s="70"/>
      <c r="B198" s="70"/>
      <c r="C198" s="70">
        <v>4</v>
      </c>
      <c r="D198" s="70" t="s">
        <v>94</v>
      </c>
      <c r="E198" s="76" t="s">
        <v>313</v>
      </c>
      <c r="F198" s="76" t="s">
        <v>313</v>
      </c>
      <c r="G198" s="76"/>
      <c r="H198" s="76" t="s">
        <v>313</v>
      </c>
      <c r="I198" s="76" t="s">
        <v>313</v>
      </c>
      <c r="J198" s="76" t="s">
        <v>313</v>
      </c>
      <c r="K198" s="76" t="s">
        <v>313</v>
      </c>
      <c r="L198" s="76" t="s">
        <v>313</v>
      </c>
      <c r="M198" s="76" t="s">
        <v>313</v>
      </c>
      <c r="N198" s="76" t="s">
        <v>313</v>
      </c>
      <c r="O198" s="76" t="s">
        <v>313</v>
      </c>
      <c r="P198" s="76"/>
      <c r="Q198" s="76" t="s">
        <v>313</v>
      </c>
      <c r="R198" s="103">
        <v>64.28</v>
      </c>
      <c r="S198" s="78"/>
      <c r="T198" s="76" t="s">
        <v>89</v>
      </c>
      <c r="U198" s="28"/>
      <c r="V198" s="28">
        <v>0.09</v>
      </c>
      <c r="W198" s="28"/>
      <c r="X198" s="28"/>
      <c r="Y198" s="28">
        <v>1.08</v>
      </c>
      <c r="Z198" s="28">
        <f t="shared" si="9"/>
        <v>0.09</v>
      </c>
      <c r="AA198" s="28"/>
    </row>
    <row r="199" spans="1:27" ht="15.75" customHeight="1">
      <c r="A199" s="70"/>
      <c r="B199" s="70"/>
      <c r="C199" s="70">
        <v>4</v>
      </c>
      <c r="D199" s="70" t="s">
        <v>107</v>
      </c>
      <c r="E199" s="76" t="s">
        <v>313</v>
      </c>
      <c r="F199" s="76" t="s">
        <v>313</v>
      </c>
      <c r="G199" s="76"/>
      <c r="H199" s="76" t="s">
        <v>313</v>
      </c>
      <c r="I199" s="76" t="s">
        <v>313</v>
      </c>
      <c r="J199" s="76" t="s">
        <v>313</v>
      </c>
      <c r="K199" s="76" t="s">
        <v>313</v>
      </c>
      <c r="L199" s="76" t="s">
        <v>313</v>
      </c>
      <c r="M199" s="76" t="s">
        <v>313</v>
      </c>
      <c r="N199" s="76" t="s">
        <v>313</v>
      </c>
      <c r="O199" s="76" t="s">
        <v>313</v>
      </c>
      <c r="P199" s="76"/>
      <c r="Q199" s="76" t="s">
        <v>313</v>
      </c>
      <c r="R199" s="103">
        <v>58.61</v>
      </c>
      <c r="S199" s="78"/>
      <c r="T199" s="78"/>
      <c r="Z199" s="28">
        <f t="shared" si="9"/>
        <v>0</v>
      </c>
      <c r="AA199" s="28"/>
    </row>
    <row r="200" spans="1:27" ht="15.75" customHeight="1">
      <c r="A200" s="70"/>
      <c r="B200" s="70"/>
      <c r="C200" s="70">
        <v>4</v>
      </c>
      <c r="D200" s="70" t="s">
        <v>108</v>
      </c>
      <c r="E200" s="76" t="s">
        <v>313</v>
      </c>
      <c r="F200" s="76" t="s">
        <v>313</v>
      </c>
      <c r="G200" s="76"/>
      <c r="H200" s="76" t="s">
        <v>313</v>
      </c>
      <c r="I200" s="76" t="s">
        <v>313</v>
      </c>
      <c r="J200" s="76" t="s">
        <v>313</v>
      </c>
      <c r="K200" s="76" t="s">
        <v>313</v>
      </c>
      <c r="L200" s="76" t="s">
        <v>313</v>
      </c>
      <c r="M200" s="76" t="s">
        <v>313</v>
      </c>
      <c r="N200" s="76" t="s">
        <v>313</v>
      </c>
      <c r="O200" s="76" t="s">
        <v>313</v>
      </c>
      <c r="P200" s="76"/>
      <c r="Q200" s="76" t="s">
        <v>313</v>
      </c>
      <c r="R200" s="103">
        <v>57.88</v>
      </c>
      <c r="S200" s="78"/>
      <c r="T200" s="78"/>
      <c r="V200" s="28">
        <v>0.97</v>
      </c>
      <c r="X200" s="28">
        <v>3.26</v>
      </c>
      <c r="Y200" s="28">
        <v>0.52</v>
      </c>
      <c r="Z200" s="28">
        <f t="shared" si="9"/>
        <v>4.2299999999999995</v>
      </c>
      <c r="AA200" s="28"/>
    </row>
    <row r="201" spans="1:27" ht="15.75" customHeight="1">
      <c r="A201" s="84"/>
      <c r="B201" s="84"/>
      <c r="C201" s="84">
        <v>4</v>
      </c>
      <c r="D201" s="84" t="s">
        <v>96</v>
      </c>
      <c r="E201" s="76" t="s">
        <v>313</v>
      </c>
      <c r="F201" s="76" t="s">
        <v>313</v>
      </c>
      <c r="G201" s="76"/>
      <c r="H201" s="76" t="s">
        <v>313</v>
      </c>
      <c r="I201" s="76" t="s">
        <v>313</v>
      </c>
      <c r="J201" s="76" t="s">
        <v>313</v>
      </c>
      <c r="K201" s="76" t="s">
        <v>313</v>
      </c>
      <c r="L201" s="76" t="s">
        <v>313</v>
      </c>
      <c r="M201" s="76" t="s">
        <v>313</v>
      </c>
      <c r="N201" s="76" t="s">
        <v>313</v>
      </c>
      <c r="O201" s="76" t="s">
        <v>313</v>
      </c>
      <c r="P201" s="76"/>
      <c r="Q201" s="76" t="s">
        <v>313</v>
      </c>
      <c r="R201" s="103">
        <v>63.5</v>
      </c>
      <c r="S201" s="78"/>
      <c r="T201" s="78"/>
      <c r="V201" s="28">
        <v>0.26</v>
      </c>
      <c r="X201" s="28">
        <v>2.1</v>
      </c>
      <c r="Y201" s="28">
        <v>3.41</v>
      </c>
      <c r="Z201" s="28">
        <f t="shared" si="9"/>
        <v>2.3600000000000003</v>
      </c>
      <c r="AA201" s="28"/>
    </row>
    <row r="202" spans="1:27" ht="15.75" customHeight="1">
      <c r="A202" s="70"/>
      <c r="B202" s="70"/>
      <c r="C202" s="70">
        <v>4</v>
      </c>
      <c r="D202" s="75" t="s">
        <v>240</v>
      </c>
      <c r="E202" s="76" t="s">
        <v>313</v>
      </c>
      <c r="F202" s="76" t="s">
        <v>313</v>
      </c>
      <c r="G202" s="76"/>
      <c r="H202" s="76" t="s">
        <v>313</v>
      </c>
      <c r="I202" s="76" t="s">
        <v>313</v>
      </c>
      <c r="J202" s="76" t="s">
        <v>313</v>
      </c>
      <c r="K202" s="76" t="s">
        <v>313</v>
      </c>
      <c r="L202" s="76" t="s">
        <v>313</v>
      </c>
      <c r="M202" s="76" t="s">
        <v>313</v>
      </c>
      <c r="N202" s="76" t="s">
        <v>313</v>
      </c>
      <c r="O202" s="76" t="s">
        <v>313</v>
      </c>
      <c r="P202" s="76"/>
      <c r="Q202" s="76" t="s">
        <v>313</v>
      </c>
      <c r="R202" s="103">
        <v>66.41</v>
      </c>
      <c r="S202" s="104">
        <f>AVERAGE(R198:R202)</f>
        <v>62.136000000000003</v>
      </c>
      <c r="T202" s="105"/>
      <c r="U202" s="105"/>
      <c r="V202" s="105"/>
      <c r="W202" s="105"/>
      <c r="X202" s="105"/>
      <c r="Y202" s="105"/>
      <c r="Z202" s="28">
        <f t="shared" si="9"/>
        <v>0</v>
      </c>
      <c r="AA202" s="28">
        <f>SUM(Z198:Z202)/5</f>
        <v>1.3359999999999999</v>
      </c>
    </row>
    <row r="203" spans="1:27" ht="15.75" customHeight="1">
      <c r="A203" s="70" t="s">
        <v>109</v>
      </c>
      <c r="B203" s="70" t="s">
        <v>113</v>
      </c>
      <c r="C203" s="70">
        <v>1</v>
      </c>
      <c r="D203" s="70" t="s">
        <v>94</v>
      </c>
      <c r="E203" s="76" t="s">
        <v>313</v>
      </c>
      <c r="F203" s="76" t="s">
        <v>313</v>
      </c>
      <c r="G203" s="76"/>
      <c r="H203" s="76" t="s">
        <v>313</v>
      </c>
      <c r="I203" s="76" t="s">
        <v>313</v>
      </c>
      <c r="J203" s="76" t="s">
        <v>313</v>
      </c>
      <c r="K203" s="76" t="s">
        <v>313</v>
      </c>
      <c r="L203" s="76" t="s">
        <v>313</v>
      </c>
      <c r="M203" s="76" t="s">
        <v>313</v>
      </c>
      <c r="N203" s="76" t="s">
        <v>313</v>
      </c>
      <c r="O203" s="76" t="s">
        <v>313</v>
      </c>
      <c r="P203" s="76"/>
      <c r="Q203" s="76" t="s">
        <v>313</v>
      </c>
      <c r="R203" s="103">
        <v>59.84</v>
      </c>
      <c r="S203" s="78"/>
      <c r="T203" s="76" t="s">
        <v>87</v>
      </c>
      <c r="U203" s="28"/>
      <c r="V203" s="28"/>
      <c r="W203" s="28"/>
      <c r="X203" s="28"/>
      <c r="Y203" s="28"/>
      <c r="Z203" s="28">
        <f t="shared" si="9"/>
        <v>0</v>
      </c>
      <c r="AA203" s="28"/>
    </row>
    <row r="204" spans="1:27" ht="15.75" customHeight="1">
      <c r="A204" s="70"/>
      <c r="B204" s="70"/>
      <c r="C204" s="70">
        <v>1</v>
      </c>
      <c r="D204" s="70" t="s">
        <v>95</v>
      </c>
      <c r="E204" s="76" t="s">
        <v>313</v>
      </c>
      <c r="F204" s="76" t="s">
        <v>313</v>
      </c>
      <c r="G204" s="76"/>
      <c r="H204" s="76" t="s">
        <v>313</v>
      </c>
      <c r="I204" s="76" t="s">
        <v>313</v>
      </c>
      <c r="J204" s="76" t="s">
        <v>313</v>
      </c>
      <c r="K204" s="76" t="s">
        <v>313</v>
      </c>
      <c r="L204" s="76" t="s">
        <v>313</v>
      </c>
      <c r="M204" s="76" t="s">
        <v>313</v>
      </c>
      <c r="N204" s="76" t="s">
        <v>313</v>
      </c>
      <c r="O204" s="76" t="s">
        <v>313</v>
      </c>
      <c r="P204" s="76"/>
      <c r="Q204" s="76" t="s">
        <v>313</v>
      </c>
      <c r="R204" s="103">
        <v>81.72</v>
      </c>
      <c r="S204" s="78"/>
      <c r="T204" s="78"/>
      <c r="Z204" s="28">
        <f t="shared" si="9"/>
        <v>0</v>
      </c>
      <c r="AA204" s="28"/>
    </row>
    <row r="205" spans="1:27" ht="15.75" customHeight="1">
      <c r="A205" s="70"/>
      <c r="B205" s="70"/>
      <c r="C205" s="70">
        <v>1</v>
      </c>
      <c r="D205" s="70" t="s">
        <v>96</v>
      </c>
      <c r="E205" s="76" t="s">
        <v>313</v>
      </c>
      <c r="F205" s="76" t="s">
        <v>313</v>
      </c>
      <c r="G205" s="76"/>
      <c r="H205" s="76" t="s">
        <v>313</v>
      </c>
      <c r="I205" s="76" t="s">
        <v>313</v>
      </c>
      <c r="J205" s="76" t="s">
        <v>313</v>
      </c>
      <c r="K205" s="76" t="s">
        <v>313</v>
      </c>
      <c r="L205" s="76" t="s">
        <v>313</v>
      </c>
      <c r="M205" s="76" t="s">
        <v>313</v>
      </c>
      <c r="N205" s="76" t="s">
        <v>313</v>
      </c>
      <c r="O205" s="76" t="s">
        <v>313</v>
      </c>
      <c r="P205" s="76"/>
      <c r="Q205" s="76" t="s">
        <v>313</v>
      </c>
      <c r="R205" s="103">
        <v>64.400000000000006</v>
      </c>
      <c r="S205" s="78"/>
      <c r="T205" s="78"/>
      <c r="V205" s="28">
        <v>1.93</v>
      </c>
      <c r="W205" s="28">
        <v>1.25</v>
      </c>
      <c r="X205" s="28">
        <v>6.58</v>
      </c>
      <c r="Y205" s="28">
        <v>2.16</v>
      </c>
      <c r="Z205" s="28">
        <f t="shared" si="9"/>
        <v>9.76</v>
      </c>
      <c r="AA205" s="28"/>
    </row>
    <row r="206" spans="1:27" ht="15.75" customHeight="1">
      <c r="A206" s="70"/>
      <c r="B206" s="70"/>
      <c r="C206" s="70">
        <v>1</v>
      </c>
      <c r="D206" s="70" t="s">
        <v>39</v>
      </c>
      <c r="E206" s="76" t="s">
        <v>313</v>
      </c>
      <c r="F206" s="76" t="s">
        <v>313</v>
      </c>
      <c r="G206" s="76"/>
      <c r="H206" s="76" t="s">
        <v>313</v>
      </c>
      <c r="I206" s="76" t="s">
        <v>313</v>
      </c>
      <c r="J206" s="76" t="s">
        <v>313</v>
      </c>
      <c r="K206" s="76" t="s">
        <v>313</v>
      </c>
      <c r="L206" s="76" t="s">
        <v>313</v>
      </c>
      <c r="M206" s="76" t="s">
        <v>313</v>
      </c>
      <c r="N206" s="76" t="s">
        <v>313</v>
      </c>
      <c r="O206" s="76" t="s">
        <v>313</v>
      </c>
      <c r="P206" s="76"/>
      <c r="Q206" s="76" t="s">
        <v>313</v>
      </c>
      <c r="R206" s="103">
        <v>74.78</v>
      </c>
      <c r="S206" s="78"/>
      <c r="T206" s="78"/>
      <c r="V206" s="28">
        <v>0.31</v>
      </c>
      <c r="W206" s="28">
        <v>0.14000000000000001</v>
      </c>
      <c r="X206" s="28">
        <v>2.81</v>
      </c>
      <c r="Y206" s="28">
        <v>1.96</v>
      </c>
      <c r="Z206" s="28">
        <f t="shared" si="9"/>
        <v>3.2600000000000002</v>
      </c>
      <c r="AA206" s="28"/>
    </row>
    <row r="207" spans="1:27" ht="15.75" customHeight="1">
      <c r="A207" s="70"/>
      <c r="B207" s="70"/>
      <c r="C207" s="70">
        <v>1</v>
      </c>
      <c r="D207" s="70" t="s">
        <v>97</v>
      </c>
      <c r="E207" s="76" t="s">
        <v>313</v>
      </c>
      <c r="F207" s="76" t="s">
        <v>313</v>
      </c>
      <c r="G207" s="76"/>
      <c r="H207" s="76" t="s">
        <v>313</v>
      </c>
      <c r="I207" s="76" t="s">
        <v>313</v>
      </c>
      <c r="J207" s="76" t="s">
        <v>313</v>
      </c>
      <c r="K207" s="76" t="s">
        <v>313</v>
      </c>
      <c r="L207" s="76" t="s">
        <v>313</v>
      </c>
      <c r="M207" s="76" t="s">
        <v>313</v>
      </c>
      <c r="N207" s="76" t="s">
        <v>313</v>
      </c>
      <c r="O207" s="76" t="s">
        <v>313</v>
      </c>
      <c r="P207" s="76"/>
      <c r="Q207" s="76" t="s">
        <v>313</v>
      </c>
      <c r="R207" s="103">
        <v>75.42</v>
      </c>
      <c r="S207" s="104">
        <f>AVERAGE(R203:R207)</f>
        <v>71.231999999999999</v>
      </c>
      <c r="T207" s="78"/>
      <c r="V207">
        <f>14.39-7.34</f>
        <v>7.0500000000000007</v>
      </c>
      <c r="W207">
        <f>9.18-7.34</f>
        <v>1.8399999999999999</v>
      </c>
      <c r="X207" s="28">
        <v>5.57</v>
      </c>
      <c r="Y207" s="28">
        <v>4.1900000000000004</v>
      </c>
      <c r="Z207" s="28">
        <f t="shared" si="9"/>
        <v>14.46</v>
      </c>
      <c r="AA207" s="28">
        <f>SUM(Z203:Z207)/5</f>
        <v>5.4960000000000004</v>
      </c>
    </row>
    <row r="208" spans="1:27" ht="15.75" customHeight="1">
      <c r="A208" s="70"/>
      <c r="B208" s="70"/>
      <c r="C208" s="70">
        <v>2</v>
      </c>
      <c r="D208" s="70" t="s">
        <v>94</v>
      </c>
      <c r="E208" s="76" t="s">
        <v>313</v>
      </c>
      <c r="F208" s="76" t="s">
        <v>313</v>
      </c>
      <c r="G208" s="76"/>
      <c r="H208" s="76" t="s">
        <v>313</v>
      </c>
      <c r="I208" s="76" t="s">
        <v>313</v>
      </c>
      <c r="J208" s="76" t="s">
        <v>313</v>
      </c>
      <c r="K208" s="76" t="s">
        <v>313</v>
      </c>
      <c r="L208" s="76" t="s">
        <v>313</v>
      </c>
      <c r="M208" s="76" t="s">
        <v>313</v>
      </c>
      <c r="N208" s="76" t="s">
        <v>313</v>
      </c>
      <c r="O208" s="76" t="s">
        <v>313</v>
      </c>
      <c r="P208" s="76"/>
      <c r="Q208" s="76" t="s">
        <v>313</v>
      </c>
      <c r="R208" s="103">
        <v>69.67</v>
      </c>
      <c r="S208" s="78"/>
      <c r="T208" s="76" t="s">
        <v>89</v>
      </c>
      <c r="U208" s="28"/>
      <c r="V208" s="28"/>
      <c r="W208" s="28"/>
      <c r="X208" s="28"/>
      <c r="Y208" s="28"/>
      <c r="Z208" s="28">
        <f t="shared" si="9"/>
        <v>0</v>
      </c>
      <c r="AA208" s="28"/>
    </row>
    <row r="209" spans="1:27" ht="15.75" customHeight="1">
      <c r="A209" s="70"/>
      <c r="B209" s="70"/>
      <c r="C209" s="70">
        <v>2</v>
      </c>
      <c r="D209" s="70" t="s">
        <v>95</v>
      </c>
      <c r="E209" s="76" t="s">
        <v>313</v>
      </c>
      <c r="F209" s="76" t="s">
        <v>313</v>
      </c>
      <c r="G209" s="76"/>
      <c r="H209" s="76" t="s">
        <v>313</v>
      </c>
      <c r="I209" s="76" t="s">
        <v>313</v>
      </c>
      <c r="J209" s="76" t="s">
        <v>313</v>
      </c>
      <c r="K209" s="76" t="s">
        <v>313</v>
      </c>
      <c r="L209" s="76" t="s">
        <v>313</v>
      </c>
      <c r="M209" s="76" t="s">
        <v>313</v>
      </c>
      <c r="N209" s="76" t="s">
        <v>313</v>
      </c>
      <c r="O209" s="76" t="s">
        <v>313</v>
      </c>
      <c r="P209" s="76"/>
      <c r="Q209" s="76" t="s">
        <v>313</v>
      </c>
      <c r="R209" s="103">
        <v>73.819999999999993</v>
      </c>
      <c r="S209" s="78"/>
      <c r="T209" s="78"/>
      <c r="Z209" s="28">
        <f t="shared" si="9"/>
        <v>0</v>
      </c>
      <c r="AA209" s="28"/>
    </row>
    <row r="210" spans="1:27" ht="15.75" customHeight="1">
      <c r="A210" s="70"/>
      <c r="B210" s="70"/>
      <c r="C210" s="70">
        <v>2</v>
      </c>
      <c r="D210" s="70" t="s">
        <v>96</v>
      </c>
      <c r="E210" s="76" t="s">
        <v>313</v>
      </c>
      <c r="F210" s="76" t="s">
        <v>313</v>
      </c>
      <c r="G210" s="76"/>
      <c r="H210" s="76" t="s">
        <v>313</v>
      </c>
      <c r="I210" s="76" t="s">
        <v>313</v>
      </c>
      <c r="J210" s="76" t="s">
        <v>313</v>
      </c>
      <c r="K210" s="76" t="s">
        <v>313</v>
      </c>
      <c r="L210" s="76" t="s">
        <v>313</v>
      </c>
      <c r="M210" s="76" t="s">
        <v>313</v>
      </c>
      <c r="N210" s="76" t="s">
        <v>313</v>
      </c>
      <c r="O210" s="76" t="s">
        <v>313</v>
      </c>
      <c r="P210" s="76"/>
      <c r="Q210" s="76" t="s">
        <v>313</v>
      </c>
      <c r="R210" s="103">
        <v>71.540000000000006</v>
      </c>
      <c r="S210" s="78"/>
      <c r="T210" s="78"/>
      <c r="Z210" s="28">
        <f t="shared" si="9"/>
        <v>0</v>
      </c>
      <c r="AA210" s="28"/>
    </row>
    <row r="211" spans="1:27" ht="15.75" customHeight="1">
      <c r="A211" s="70"/>
      <c r="B211" s="70"/>
      <c r="C211" s="70">
        <v>2</v>
      </c>
      <c r="D211" s="70" t="s">
        <v>39</v>
      </c>
      <c r="E211" s="76" t="s">
        <v>313</v>
      </c>
      <c r="F211" s="76" t="s">
        <v>313</v>
      </c>
      <c r="G211" s="76"/>
      <c r="H211" s="76" t="s">
        <v>313</v>
      </c>
      <c r="I211" s="76" t="s">
        <v>313</v>
      </c>
      <c r="J211" s="76" t="s">
        <v>313</v>
      </c>
      <c r="K211" s="76" t="s">
        <v>313</v>
      </c>
      <c r="L211" s="76" t="s">
        <v>313</v>
      </c>
      <c r="M211" s="76" t="s">
        <v>313</v>
      </c>
      <c r="N211" s="76" t="s">
        <v>313</v>
      </c>
      <c r="O211" s="76" t="s">
        <v>313</v>
      </c>
      <c r="P211" s="76"/>
      <c r="Q211" s="76" t="s">
        <v>313</v>
      </c>
      <c r="R211" s="103">
        <v>68.64</v>
      </c>
      <c r="S211" s="78"/>
      <c r="T211" s="78"/>
      <c r="V211" s="28">
        <v>1.45</v>
      </c>
      <c r="W211" s="28">
        <v>0.39</v>
      </c>
      <c r="X211" s="28">
        <v>3.9</v>
      </c>
      <c r="Y211" s="28">
        <v>1.44</v>
      </c>
      <c r="Z211" s="28">
        <f t="shared" si="9"/>
        <v>5.74</v>
      </c>
      <c r="AA211" s="28"/>
    </row>
    <row r="212" spans="1:27" ht="15.75" customHeight="1">
      <c r="A212" s="70"/>
      <c r="B212" s="70"/>
      <c r="C212" s="70">
        <v>2</v>
      </c>
      <c r="D212" s="70" t="s">
        <v>97</v>
      </c>
      <c r="E212" s="76" t="s">
        <v>313</v>
      </c>
      <c r="F212" s="76" t="s">
        <v>313</v>
      </c>
      <c r="G212" s="76"/>
      <c r="H212" s="76" t="s">
        <v>313</v>
      </c>
      <c r="I212" s="76" t="s">
        <v>313</v>
      </c>
      <c r="J212" s="76" t="s">
        <v>313</v>
      </c>
      <c r="K212" s="76" t="s">
        <v>313</v>
      </c>
      <c r="L212" s="76" t="s">
        <v>313</v>
      </c>
      <c r="M212" s="76" t="s">
        <v>313</v>
      </c>
      <c r="N212" s="76" t="s">
        <v>313</v>
      </c>
      <c r="O212" s="76" t="s">
        <v>313</v>
      </c>
      <c r="P212" s="76"/>
      <c r="Q212" s="76" t="s">
        <v>313</v>
      </c>
      <c r="R212" s="103">
        <v>76.66</v>
      </c>
      <c r="S212" s="104">
        <f>AVERAGE(R208:R212)</f>
        <v>72.066000000000003</v>
      </c>
      <c r="T212" s="78"/>
      <c r="Z212" s="28">
        <f t="shared" si="9"/>
        <v>0</v>
      </c>
      <c r="AA212" s="28">
        <f>SUM(Z208:Z212)/5</f>
        <v>1.1480000000000001</v>
      </c>
    </row>
    <row r="213" spans="1:27" ht="15.75" customHeight="1">
      <c r="A213" s="70"/>
      <c r="B213" s="70"/>
      <c r="C213" s="70">
        <v>3</v>
      </c>
      <c r="D213" s="70" t="s">
        <v>94</v>
      </c>
      <c r="E213" s="76" t="s">
        <v>313</v>
      </c>
      <c r="F213" s="76" t="s">
        <v>313</v>
      </c>
      <c r="G213" s="76"/>
      <c r="H213" s="76" t="s">
        <v>313</v>
      </c>
      <c r="I213" s="76" t="s">
        <v>313</v>
      </c>
      <c r="J213" s="76" t="s">
        <v>313</v>
      </c>
      <c r="K213" s="76" t="s">
        <v>313</v>
      </c>
      <c r="L213" s="76" t="s">
        <v>313</v>
      </c>
      <c r="M213" s="76" t="s">
        <v>313</v>
      </c>
      <c r="N213" s="76" t="s">
        <v>313</v>
      </c>
      <c r="O213" s="76" t="s">
        <v>313</v>
      </c>
      <c r="P213" s="76"/>
      <c r="Q213" s="76" t="s">
        <v>313</v>
      </c>
      <c r="R213" s="103">
        <v>73.75</v>
      </c>
      <c r="S213" s="78"/>
      <c r="T213" s="76" t="s">
        <v>316</v>
      </c>
      <c r="U213" s="28"/>
      <c r="V213" s="28">
        <v>0.23</v>
      </c>
      <c r="W213" s="28">
        <v>1.73</v>
      </c>
      <c r="X213" s="28">
        <v>3.19</v>
      </c>
      <c r="Y213" s="28"/>
      <c r="Z213" s="28">
        <f t="shared" si="9"/>
        <v>5.15</v>
      </c>
      <c r="AA213" s="28"/>
    </row>
    <row r="214" spans="1:27" ht="15.75" customHeight="1">
      <c r="A214" s="70"/>
      <c r="B214" s="70"/>
      <c r="C214" s="70">
        <v>3</v>
      </c>
      <c r="D214" s="70" t="s">
        <v>95</v>
      </c>
      <c r="E214" s="76" t="s">
        <v>313</v>
      </c>
      <c r="F214" s="76" t="s">
        <v>313</v>
      </c>
      <c r="G214" s="76"/>
      <c r="H214" s="76" t="s">
        <v>313</v>
      </c>
      <c r="I214" s="76" t="s">
        <v>313</v>
      </c>
      <c r="J214" s="76" t="s">
        <v>313</v>
      </c>
      <c r="K214" s="76" t="s">
        <v>313</v>
      </c>
      <c r="L214" s="76" t="s">
        <v>313</v>
      </c>
      <c r="M214" s="76" t="s">
        <v>313</v>
      </c>
      <c r="N214" s="76" t="s">
        <v>313</v>
      </c>
      <c r="O214" s="76" t="s">
        <v>313</v>
      </c>
      <c r="P214" s="76"/>
      <c r="Q214" s="76" t="s">
        <v>313</v>
      </c>
      <c r="R214" s="103">
        <v>77.38</v>
      </c>
      <c r="S214" s="78"/>
      <c r="T214" s="78"/>
      <c r="Z214" s="28">
        <f t="shared" si="9"/>
        <v>0</v>
      </c>
      <c r="AA214" s="28"/>
    </row>
    <row r="215" spans="1:27" ht="15.75" customHeight="1">
      <c r="A215" s="70"/>
      <c r="B215" s="70"/>
      <c r="C215" s="70">
        <v>3</v>
      </c>
      <c r="D215" s="70" t="s">
        <v>96</v>
      </c>
      <c r="E215" s="76" t="s">
        <v>313</v>
      </c>
      <c r="F215" s="76" t="s">
        <v>313</v>
      </c>
      <c r="G215" s="76"/>
      <c r="H215" s="76" t="s">
        <v>313</v>
      </c>
      <c r="I215" s="76" t="s">
        <v>313</v>
      </c>
      <c r="J215" s="76" t="s">
        <v>313</v>
      </c>
      <c r="K215" s="76" t="s">
        <v>313</v>
      </c>
      <c r="L215" s="76" t="s">
        <v>313</v>
      </c>
      <c r="M215" s="76" t="s">
        <v>313</v>
      </c>
      <c r="N215" s="76" t="s">
        <v>313</v>
      </c>
      <c r="O215" s="76" t="s">
        <v>313</v>
      </c>
      <c r="P215" s="76"/>
      <c r="Q215" s="76" t="s">
        <v>313</v>
      </c>
      <c r="R215" s="103">
        <v>86.11</v>
      </c>
      <c r="S215" s="78"/>
      <c r="T215" s="78"/>
      <c r="Z215" s="28">
        <f t="shared" si="9"/>
        <v>0</v>
      </c>
      <c r="AA215" s="28"/>
    </row>
    <row r="216" spans="1:27" ht="15.75" customHeight="1">
      <c r="A216" s="70"/>
      <c r="B216" s="70"/>
      <c r="C216" s="70">
        <v>3</v>
      </c>
      <c r="D216" s="70" t="s">
        <v>39</v>
      </c>
      <c r="E216" s="76" t="s">
        <v>313</v>
      </c>
      <c r="F216" s="76" t="s">
        <v>313</v>
      </c>
      <c r="G216" s="76"/>
      <c r="H216" s="76" t="s">
        <v>313</v>
      </c>
      <c r="I216" s="76" t="s">
        <v>313</v>
      </c>
      <c r="J216" s="76" t="s">
        <v>313</v>
      </c>
      <c r="K216" s="76" t="s">
        <v>313</v>
      </c>
      <c r="L216" s="76" t="s">
        <v>313</v>
      </c>
      <c r="M216" s="76" t="s">
        <v>313</v>
      </c>
      <c r="N216" s="76" t="s">
        <v>313</v>
      </c>
      <c r="O216" s="76" t="s">
        <v>313</v>
      </c>
      <c r="P216" s="76"/>
      <c r="Q216" s="76" t="s">
        <v>313</v>
      </c>
      <c r="R216" s="104"/>
      <c r="S216" s="78"/>
      <c r="T216" s="76" t="s">
        <v>317</v>
      </c>
      <c r="U216" s="28"/>
      <c r="V216" s="28"/>
      <c r="W216" s="28"/>
      <c r="X216" s="28"/>
      <c r="Y216" s="28"/>
      <c r="Z216" s="28">
        <f t="shared" si="9"/>
        <v>0</v>
      </c>
      <c r="AA216" s="28"/>
    </row>
    <row r="217" spans="1:27" ht="15.75" customHeight="1">
      <c r="A217" s="70"/>
      <c r="B217" s="70"/>
      <c r="C217" s="70">
        <v>3</v>
      </c>
      <c r="D217" s="70" t="s">
        <v>97</v>
      </c>
      <c r="E217" s="76" t="s">
        <v>313</v>
      </c>
      <c r="F217" s="76" t="s">
        <v>313</v>
      </c>
      <c r="G217" s="76"/>
      <c r="H217" s="76" t="s">
        <v>313</v>
      </c>
      <c r="I217" s="76" t="s">
        <v>313</v>
      </c>
      <c r="J217" s="76" t="s">
        <v>313</v>
      </c>
      <c r="K217" s="76" t="s">
        <v>313</v>
      </c>
      <c r="L217" s="76" t="s">
        <v>313</v>
      </c>
      <c r="M217" s="76" t="s">
        <v>313</v>
      </c>
      <c r="N217" s="76" t="s">
        <v>313</v>
      </c>
      <c r="O217" s="76" t="s">
        <v>313</v>
      </c>
      <c r="P217" s="76"/>
      <c r="Q217" s="76" t="s">
        <v>313</v>
      </c>
      <c r="R217" s="103">
        <v>84.27</v>
      </c>
      <c r="S217" s="104">
        <f>AVERAGE(R213:R215,R217)</f>
        <v>80.377499999999998</v>
      </c>
      <c r="T217" s="78"/>
      <c r="Z217" s="28">
        <f t="shared" si="9"/>
        <v>0</v>
      </c>
      <c r="AA217" s="28">
        <f>SUM(Z213:Z217)/5</f>
        <v>1.03</v>
      </c>
    </row>
    <row r="218" spans="1:27" ht="15.75" customHeight="1">
      <c r="A218" s="70"/>
      <c r="B218" s="70"/>
      <c r="C218" s="70">
        <v>4</v>
      </c>
      <c r="D218" s="70" t="s">
        <v>94</v>
      </c>
      <c r="E218" s="76" t="s">
        <v>313</v>
      </c>
      <c r="F218" s="76" t="s">
        <v>313</v>
      </c>
      <c r="G218" s="76"/>
      <c r="H218" s="76" t="s">
        <v>313</v>
      </c>
      <c r="I218" s="76" t="s">
        <v>313</v>
      </c>
      <c r="J218" s="76" t="s">
        <v>313</v>
      </c>
      <c r="K218" s="76" t="s">
        <v>313</v>
      </c>
      <c r="L218" s="76" t="s">
        <v>313</v>
      </c>
      <c r="M218" s="76" t="s">
        <v>313</v>
      </c>
      <c r="N218" s="76" t="s">
        <v>313</v>
      </c>
      <c r="O218" s="76" t="s">
        <v>313</v>
      </c>
      <c r="P218" s="76"/>
      <c r="Q218" s="76" t="s">
        <v>313</v>
      </c>
      <c r="R218" s="103">
        <v>65.97</v>
      </c>
      <c r="S218" s="78"/>
      <c r="T218" s="76" t="s">
        <v>149</v>
      </c>
      <c r="U218" s="28"/>
      <c r="V218" s="28"/>
      <c r="W218" s="28"/>
      <c r="X218" s="28"/>
      <c r="Y218" s="28"/>
      <c r="Z218" s="28">
        <f t="shared" si="9"/>
        <v>0</v>
      </c>
      <c r="AA218" s="28"/>
    </row>
    <row r="219" spans="1:27" ht="15.75" customHeight="1">
      <c r="A219" s="70"/>
      <c r="B219" s="70"/>
      <c r="C219" s="70">
        <v>4</v>
      </c>
      <c r="D219" s="70" t="s">
        <v>95</v>
      </c>
      <c r="E219" s="76" t="s">
        <v>313</v>
      </c>
      <c r="F219" s="76" t="s">
        <v>313</v>
      </c>
      <c r="G219" s="76"/>
      <c r="H219" s="76" t="s">
        <v>313</v>
      </c>
      <c r="I219" s="76" t="s">
        <v>313</v>
      </c>
      <c r="J219" s="76" t="s">
        <v>313</v>
      </c>
      <c r="K219" s="76" t="s">
        <v>313</v>
      </c>
      <c r="L219" s="76" t="s">
        <v>313</v>
      </c>
      <c r="M219" s="76" t="s">
        <v>313</v>
      </c>
      <c r="N219" s="76" t="s">
        <v>313</v>
      </c>
      <c r="O219" s="76" t="s">
        <v>313</v>
      </c>
      <c r="P219" s="76"/>
      <c r="Q219" s="76" t="s">
        <v>313</v>
      </c>
      <c r="R219" s="103">
        <v>64.48</v>
      </c>
      <c r="S219" s="78"/>
      <c r="T219" s="78"/>
      <c r="Z219" s="28">
        <f t="shared" si="9"/>
        <v>0</v>
      </c>
      <c r="AA219" s="28"/>
    </row>
    <row r="220" spans="1:27" ht="15.75" customHeight="1">
      <c r="A220" s="70"/>
      <c r="B220" s="70"/>
      <c r="C220" s="70">
        <v>4</v>
      </c>
      <c r="D220" s="70" t="s">
        <v>96</v>
      </c>
      <c r="E220" s="76" t="s">
        <v>313</v>
      </c>
      <c r="F220" s="76" t="s">
        <v>313</v>
      </c>
      <c r="G220" s="76"/>
      <c r="H220" s="76" t="s">
        <v>313</v>
      </c>
      <c r="I220" s="76" t="s">
        <v>313</v>
      </c>
      <c r="J220" s="76" t="s">
        <v>313</v>
      </c>
      <c r="K220" s="76" t="s">
        <v>313</v>
      </c>
      <c r="L220" s="76" t="s">
        <v>313</v>
      </c>
      <c r="M220" s="76" t="s">
        <v>313</v>
      </c>
      <c r="N220" s="76" t="s">
        <v>313</v>
      </c>
      <c r="O220" s="76" t="s">
        <v>313</v>
      </c>
      <c r="P220" s="76"/>
      <c r="Q220" s="76" t="s">
        <v>313</v>
      </c>
      <c r="R220" s="103">
        <v>69.3</v>
      </c>
      <c r="S220" s="78"/>
      <c r="T220" s="78"/>
      <c r="V220">
        <f>10.79-7.34</f>
        <v>3.4499999999999993</v>
      </c>
      <c r="W220" s="28">
        <v>0.09</v>
      </c>
      <c r="X220" s="106" t="s">
        <v>318</v>
      </c>
      <c r="Y220" s="28">
        <v>1.96</v>
      </c>
      <c r="Z220" s="28" t="e">
        <f t="shared" si="9"/>
        <v>#VALUE!</v>
      </c>
      <c r="AA220" s="28"/>
    </row>
    <row r="221" spans="1:27" ht="15.75" customHeight="1">
      <c r="A221" s="70"/>
      <c r="B221" s="70"/>
      <c r="C221" s="70">
        <v>4</v>
      </c>
      <c r="D221" s="70" t="s">
        <v>39</v>
      </c>
      <c r="E221" s="76" t="s">
        <v>313</v>
      </c>
      <c r="F221" s="76" t="s">
        <v>313</v>
      </c>
      <c r="G221" s="76"/>
      <c r="H221" s="76" t="s">
        <v>313</v>
      </c>
      <c r="I221" s="76" t="s">
        <v>313</v>
      </c>
      <c r="J221" s="76" t="s">
        <v>313</v>
      </c>
      <c r="K221" s="76" t="s">
        <v>313</v>
      </c>
      <c r="L221" s="76" t="s">
        <v>313</v>
      </c>
      <c r="M221" s="76" t="s">
        <v>313</v>
      </c>
      <c r="N221" s="76" t="s">
        <v>313</v>
      </c>
      <c r="O221" s="76" t="s">
        <v>313</v>
      </c>
      <c r="P221" s="76"/>
      <c r="Q221" s="76" t="s">
        <v>313</v>
      </c>
      <c r="R221" s="103">
        <v>58.98</v>
      </c>
      <c r="S221" s="78"/>
      <c r="T221" s="78"/>
      <c r="V221">
        <f>11.47-7.34</f>
        <v>4.1300000000000008</v>
      </c>
      <c r="W221" s="28">
        <v>0.4</v>
      </c>
      <c r="X221" s="28">
        <v>3.71</v>
      </c>
      <c r="Y221" s="28">
        <v>2.87</v>
      </c>
      <c r="Z221" s="28">
        <f t="shared" si="9"/>
        <v>8.240000000000002</v>
      </c>
      <c r="AA221" s="28"/>
    </row>
    <row r="222" spans="1:27" ht="15.75" customHeight="1">
      <c r="A222" s="70"/>
      <c r="B222" s="70"/>
      <c r="C222" s="70">
        <v>4</v>
      </c>
      <c r="D222" s="70" t="s">
        <v>97</v>
      </c>
      <c r="E222" s="76" t="s">
        <v>313</v>
      </c>
      <c r="F222" s="76" t="s">
        <v>313</v>
      </c>
      <c r="G222" s="76"/>
      <c r="H222" s="76" t="s">
        <v>313</v>
      </c>
      <c r="I222" s="76" t="s">
        <v>313</v>
      </c>
      <c r="J222" s="76" t="s">
        <v>313</v>
      </c>
      <c r="K222" s="76" t="s">
        <v>313</v>
      </c>
      <c r="L222" s="76" t="s">
        <v>313</v>
      </c>
      <c r="M222" s="76" t="s">
        <v>313</v>
      </c>
      <c r="N222" s="76" t="s">
        <v>313</v>
      </c>
      <c r="O222" s="76" t="s">
        <v>313</v>
      </c>
      <c r="P222" s="76"/>
      <c r="Q222" s="76" t="s">
        <v>313</v>
      </c>
      <c r="R222" s="103">
        <v>69.5</v>
      </c>
      <c r="S222" s="104">
        <f>AVERAGE(R218:R222)</f>
        <v>65.646000000000001</v>
      </c>
      <c r="T222" s="78"/>
      <c r="V222" s="28">
        <v>1.24</v>
      </c>
      <c r="W222" s="28">
        <v>0.64</v>
      </c>
      <c r="X222" s="28">
        <v>3.11</v>
      </c>
      <c r="Y222" s="28">
        <v>0.81</v>
      </c>
      <c r="Z222" s="28">
        <f t="shared" si="9"/>
        <v>4.99</v>
      </c>
      <c r="AA222" s="28" t="e">
        <f>SUM(Z218:Z222)/5</f>
        <v>#VALUE!</v>
      </c>
    </row>
    <row r="223" spans="1:27" ht="15.75" customHeight="1">
      <c r="A223" s="1"/>
      <c r="B223" s="1"/>
      <c r="C223" s="1"/>
      <c r="D223" s="1"/>
      <c r="E223" s="28"/>
      <c r="F223" s="28"/>
      <c r="G223" s="28"/>
      <c r="H223" s="28"/>
      <c r="I223" s="28"/>
      <c r="J223" s="28"/>
      <c r="K223" s="28"/>
      <c r="L223" s="28"/>
      <c r="M223" s="28"/>
      <c r="N223" s="28"/>
      <c r="O223" s="28"/>
      <c r="P223" s="28"/>
      <c r="Q223" s="28"/>
      <c r="R223" s="107"/>
    </row>
    <row r="224" spans="1:27" ht="15.75" customHeight="1">
      <c r="A224" s="13" t="s">
        <v>319</v>
      </c>
      <c r="B224" s="13" t="s">
        <v>289</v>
      </c>
      <c r="C224" s="13" t="s">
        <v>288</v>
      </c>
      <c r="D224" s="13" t="s">
        <v>320</v>
      </c>
      <c r="E224" s="28" t="s">
        <v>321</v>
      </c>
      <c r="F224" s="28" t="s">
        <v>322</v>
      </c>
      <c r="G224" s="28"/>
      <c r="H224" s="28"/>
      <c r="I224" s="28"/>
      <c r="J224" s="28"/>
      <c r="K224" s="28"/>
      <c r="L224" s="28"/>
      <c r="M224" s="28"/>
      <c r="N224" s="28"/>
      <c r="O224" s="28"/>
      <c r="P224" s="28"/>
      <c r="Q224" s="28"/>
      <c r="R224" s="107"/>
    </row>
    <row r="225" spans="1:18" ht="15.75" customHeight="1">
      <c r="A225" s="1"/>
      <c r="B225" s="13">
        <v>1.74</v>
      </c>
      <c r="C225" s="13">
        <v>2.85</v>
      </c>
      <c r="D225" s="13">
        <v>7.34</v>
      </c>
      <c r="E225" s="28">
        <v>14.38</v>
      </c>
      <c r="F225" s="28">
        <v>19.89</v>
      </c>
      <c r="G225" s="28"/>
      <c r="H225" s="28"/>
      <c r="I225" s="28"/>
      <c r="J225" s="28"/>
      <c r="K225" s="28"/>
      <c r="L225" s="28"/>
      <c r="M225" s="28"/>
      <c r="N225" s="28"/>
      <c r="O225" s="28"/>
      <c r="P225" s="28"/>
      <c r="Q225" s="28"/>
      <c r="R225" s="107"/>
    </row>
    <row r="226" spans="1:18" ht="15.75" customHeight="1">
      <c r="A226" s="1"/>
      <c r="B226" s="1"/>
      <c r="C226" s="1"/>
      <c r="D226" s="1"/>
      <c r="E226" s="28"/>
      <c r="F226" s="28"/>
      <c r="G226" s="28"/>
      <c r="H226" s="28"/>
      <c r="I226" s="28"/>
      <c r="J226" s="28"/>
      <c r="K226" s="28"/>
      <c r="L226" s="28"/>
      <c r="M226" s="28"/>
      <c r="N226" s="28"/>
      <c r="O226" s="28"/>
      <c r="P226" s="28"/>
      <c r="Q226" s="28"/>
      <c r="R226" s="107"/>
    </row>
    <row r="227" spans="1:18" ht="15.75" customHeight="1">
      <c r="A227" s="1"/>
      <c r="B227" s="1"/>
      <c r="C227" s="13" t="s">
        <v>323</v>
      </c>
      <c r="D227" s="13" t="s">
        <v>293</v>
      </c>
      <c r="E227" s="28"/>
      <c r="F227" s="28"/>
      <c r="G227" s="28"/>
      <c r="H227" s="28">
        <v>59</v>
      </c>
      <c r="I227" s="28">
        <f>SUM(H227-VLOOKUP(C228,C228:D232,2))</f>
        <v>39.11</v>
      </c>
      <c r="J227" s="28"/>
      <c r="K227" s="28"/>
      <c r="L227" s="28"/>
      <c r="M227" s="28"/>
      <c r="N227" s="28"/>
      <c r="O227" s="28"/>
      <c r="P227" s="28"/>
      <c r="Q227" s="28"/>
      <c r="R227" s="107"/>
    </row>
    <row r="228" spans="1:18" ht="15.75" customHeight="1">
      <c r="A228" s="1"/>
      <c r="B228" s="13" t="s">
        <v>284</v>
      </c>
      <c r="C228" s="13" t="s">
        <v>322</v>
      </c>
      <c r="D228" s="13">
        <v>19.89</v>
      </c>
      <c r="E228" s="28"/>
      <c r="F228" s="28"/>
      <c r="G228" s="28"/>
      <c r="H228" s="28"/>
      <c r="I228" s="28"/>
      <c r="J228" s="28"/>
      <c r="K228" s="28"/>
      <c r="L228" s="28"/>
      <c r="M228" s="28"/>
      <c r="N228" s="28"/>
      <c r="O228" s="28"/>
      <c r="P228" s="28"/>
      <c r="Q228" s="28"/>
      <c r="R228" s="107"/>
    </row>
    <row r="229" spans="1:18" ht="15.75" customHeight="1">
      <c r="A229" s="1"/>
      <c r="B229" s="1"/>
      <c r="C229" s="13" t="s">
        <v>288</v>
      </c>
      <c r="D229" s="13">
        <v>2.85</v>
      </c>
      <c r="E229" s="28"/>
      <c r="F229" s="28"/>
      <c r="G229" s="28"/>
      <c r="H229" s="28"/>
      <c r="I229" s="28"/>
      <c r="J229" s="28"/>
      <c r="K229" s="28"/>
      <c r="L229" s="28"/>
      <c r="M229" s="28"/>
      <c r="N229" s="28"/>
      <c r="O229" s="28"/>
      <c r="P229" s="28"/>
      <c r="Q229" s="28"/>
      <c r="R229" s="107"/>
    </row>
    <row r="230" spans="1:18" ht="15.75" customHeight="1">
      <c r="A230" s="1"/>
      <c r="B230" s="13" t="s">
        <v>286</v>
      </c>
      <c r="C230" s="13" t="s">
        <v>321</v>
      </c>
      <c r="D230" s="13">
        <v>14.38</v>
      </c>
      <c r="E230" s="28"/>
      <c r="F230" s="28"/>
      <c r="G230" s="28"/>
      <c r="H230" s="28"/>
      <c r="I230" s="28"/>
      <c r="J230" s="28"/>
      <c r="K230" s="28"/>
      <c r="L230" s="28"/>
      <c r="M230" s="28"/>
      <c r="N230" s="28"/>
      <c r="O230" s="28"/>
      <c r="P230" s="28"/>
      <c r="Q230" s="28"/>
      <c r="R230" s="107"/>
    </row>
    <row r="231" spans="1:18" ht="15.75" customHeight="1">
      <c r="A231" s="1"/>
      <c r="B231" s="13" t="s">
        <v>287</v>
      </c>
      <c r="C231" s="13" t="s">
        <v>320</v>
      </c>
      <c r="D231" s="13">
        <v>7.34</v>
      </c>
      <c r="E231" s="28"/>
      <c r="F231" s="28"/>
      <c r="G231" s="28"/>
      <c r="H231" s="28"/>
      <c r="I231" s="28"/>
      <c r="J231" s="28"/>
      <c r="K231" s="28"/>
      <c r="L231" s="28"/>
      <c r="M231" s="28"/>
      <c r="N231" s="28"/>
      <c r="O231" s="28"/>
      <c r="P231" s="28"/>
      <c r="Q231" s="28"/>
      <c r="R231" s="107"/>
    </row>
    <row r="232" spans="1:18" ht="15.75" customHeight="1">
      <c r="A232" s="1"/>
      <c r="B232" s="1"/>
      <c r="C232" s="13" t="s">
        <v>289</v>
      </c>
      <c r="D232" s="13">
        <v>1.74</v>
      </c>
      <c r="E232" s="28"/>
      <c r="F232" s="28"/>
      <c r="G232" s="28"/>
      <c r="H232" s="28"/>
      <c r="I232" s="28"/>
      <c r="J232" s="28"/>
      <c r="K232" s="28"/>
      <c r="L232" s="28"/>
      <c r="M232" s="28"/>
      <c r="N232" s="28"/>
      <c r="O232" s="28"/>
      <c r="P232" s="28"/>
      <c r="Q232" s="28"/>
      <c r="R232" s="107"/>
    </row>
  </sheetData>
  <mergeCells count="2">
    <mergeCell ref="E1:T1"/>
    <mergeCell ref="W1:Z1"/>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Metadata</vt:lpstr>
      <vt:lpstr>Notes</vt:lpstr>
      <vt:lpstr>Litterfall mass 2009</vt:lpstr>
      <vt:lpstr>Litterfall mass 2010</vt:lpstr>
      <vt:lpstr>Litterfall mass 2011</vt:lpstr>
      <vt:lpstr>raw 2012 literfall</vt:lpstr>
      <vt:lpstr>Litterfall mass 2012</vt:lpstr>
      <vt:lpstr>Litterfall mass 2013</vt:lpstr>
      <vt:lpstr>Litterfall Mass 2014</vt:lpstr>
      <vt:lpstr>litterfall mass summer 2015</vt:lpstr>
      <vt:lpstr>Litterfall Mass 2015</vt:lpstr>
      <vt:lpstr>Bag weights</vt:lpstr>
      <vt:lpstr>Sheet12</vt:lpstr>
      <vt:lpstr>Spring 2016 (Found on Spring 20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Forest Ecology</dc:creator>
  <cp:lastModifiedBy>Mary Hagemann</cp:lastModifiedBy>
  <dcterms:created xsi:type="dcterms:W3CDTF">2017-02-06T16:46:18Z</dcterms:created>
  <dcterms:modified xsi:type="dcterms:W3CDTF">2017-02-06T16:46:19Z</dcterms:modified>
</cp:coreProperties>
</file>