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tabRatio="811" activeTab="0"/>
  </bookViews>
  <sheets>
    <sheet name="METADATA" sheetId="1" r:id="rId1"/>
    <sheet name="Horizon Thicknesses" sheetId="2" r:id="rId2"/>
    <sheet name="NH4Cl Leach" sheetId="3" r:id="rId3"/>
    <sheet name="HNO3 Cold Leach" sheetId="4" r:id="rId4"/>
    <sheet name="HNO3 Hot Leach" sheetId="5" r:id="rId5"/>
    <sheet name="NH4Cl est Content" sheetId="6" r:id="rId6"/>
    <sheet name="HNO3 cold est content" sheetId="7" r:id="rId7"/>
    <sheet name="HNO3 hot est content" sheetId="8" r:id="rId8"/>
    <sheet name="ALL DATA - CONC" sheetId="9" r:id="rId9"/>
    <sheet name="ALL DATA - CONTENT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Matt Vadeboncoeur</author>
  </authors>
  <commentList>
    <comment ref="J1" authorId="0">
      <text>
        <r>
          <rPr>
            <b/>
            <sz val="8"/>
            <rFont val="Tahoma"/>
            <family val="0"/>
          </rPr>
          <t>ESTIMATED ASSUMING THAT SOIL MASS PER SQUARE METER PER CM DEPTH = 5146 g IN THE FIRST 10CM AND 7004 g THEREAFTER</t>
        </r>
      </text>
    </comment>
  </commentList>
</comments>
</file>

<file path=xl/comments6.xml><?xml version="1.0" encoding="utf-8"?>
<comments xmlns="http://schemas.openxmlformats.org/spreadsheetml/2006/main">
  <authors>
    <author>Matt Vadeboncoeur</author>
  </authors>
  <commentList>
    <comment ref="G1" authorId="0">
      <text>
        <r>
          <rPr>
            <b/>
            <sz val="8"/>
            <rFont val="Tahoma"/>
            <family val="0"/>
          </rPr>
          <t>This column is a flag.  1 = a normal sample.  0 = a sample with concentration below detection.  In this case, content is calculated based on the detection limit, and then the total is bracketed using 0 as well as the detection limit.</t>
        </r>
      </text>
    </comment>
  </commentList>
</comments>
</file>

<file path=xl/comments7.xml><?xml version="1.0" encoding="utf-8"?>
<comments xmlns="http://schemas.openxmlformats.org/spreadsheetml/2006/main">
  <authors>
    <author>Matt Vadeboncoeur</author>
  </authors>
  <commentList>
    <comment ref="G1" authorId="0">
      <text>
        <r>
          <rPr>
            <b/>
            <sz val="8"/>
            <rFont val="Tahoma"/>
            <family val="0"/>
          </rPr>
          <t>This column is a flag.  1 = a normal sample.  0 = a sample with concentration below detection.  In this case, content is calculated based on the detection limit, and then the total is bracketed using 0 as well as the detection limit.</t>
        </r>
      </text>
    </comment>
  </commentList>
</comments>
</file>

<file path=xl/comments8.xml><?xml version="1.0" encoding="utf-8"?>
<comments xmlns="http://schemas.openxmlformats.org/spreadsheetml/2006/main">
  <authors>
    <author>Matt Vadeboncoeur</author>
  </authors>
  <commentList>
    <comment ref="G1" authorId="0">
      <text>
        <r>
          <rPr>
            <b/>
            <sz val="8"/>
            <rFont val="Tahoma"/>
            <family val="0"/>
          </rPr>
          <t>This column is a flag.  1 = a normal sample.  0 = a sample with concentration below detection.  In this case, content is calculated based on the detection limit, and then the total is bracketed using 0 as well as the detection limit.</t>
        </r>
      </text>
    </comment>
  </commentList>
</comments>
</file>

<file path=xl/sharedStrings.xml><?xml version="1.0" encoding="utf-8"?>
<sst xmlns="http://schemas.openxmlformats.org/spreadsheetml/2006/main" count="2612" uniqueCount="262">
  <si>
    <t>Sample ID</t>
  </si>
  <si>
    <t>Det. Limit</t>
  </si>
  <si>
    <t>Date</t>
  </si>
  <si>
    <t>Site</t>
  </si>
  <si>
    <t>Layer</t>
  </si>
  <si>
    <t>H2</t>
  </si>
  <si>
    <t>B</t>
  </si>
  <si>
    <t>&lt;2mm</t>
  </si>
  <si>
    <t>C</t>
  </si>
  <si>
    <t>E</t>
  </si>
  <si>
    <t>Oa</t>
  </si>
  <si>
    <t>&lt;6mm</t>
  </si>
  <si>
    <t>H5</t>
  </si>
  <si>
    <t>E2</t>
  </si>
  <si>
    <t>E1</t>
  </si>
  <si>
    <t>B1</t>
  </si>
  <si>
    <t>B2</t>
  </si>
  <si>
    <t>M4</t>
  </si>
  <si>
    <t>A</t>
  </si>
  <si>
    <t>CC2</t>
  </si>
  <si>
    <t>M3</t>
  </si>
  <si>
    <t>H3</t>
  </si>
  <si>
    <t>T20</t>
  </si>
  <si>
    <t>Size Fraction</t>
  </si>
  <si>
    <t>Al (mg/g)</t>
  </si>
  <si>
    <t>Ba (mg/g)</t>
  </si>
  <si>
    <t>Ca (mg/g)</t>
  </si>
  <si>
    <t>Fe (mg/g)</t>
  </si>
  <si>
    <t>K (mg/g)</t>
  </si>
  <si>
    <t>Mg (mg/g)</t>
  </si>
  <si>
    <t>Mn (mg/g)</t>
  </si>
  <si>
    <t>Na (mg/g)</t>
  </si>
  <si>
    <t>P (mg/g)</t>
  </si>
  <si>
    <t>Rb (mg/g)</t>
  </si>
  <si>
    <t>Si (mg/g)</t>
  </si>
  <si>
    <t>Sr (mg/g)</t>
  </si>
  <si>
    <t>Ti (mg/g)</t>
  </si>
  <si>
    <t>cells in light gray are below detection.</t>
  </si>
  <si>
    <t>layer</t>
  </si>
  <si>
    <t>Depth To Top of Layer (m)</t>
  </si>
  <si>
    <t>Depth to Bottom of Layer (m)</t>
  </si>
  <si>
    <t>Thickness of Layer (m)</t>
  </si>
  <si>
    <t>Comments</t>
  </si>
  <si>
    <t>Oie</t>
  </si>
  <si>
    <t>No E or A layers present</t>
  </si>
  <si>
    <t>C layer is very rocky (large and small)…not much soil present in the rock matrix, very difficult to sample.</t>
  </si>
  <si>
    <t>&lt;0.13</t>
  </si>
  <si>
    <t>&lt;0.04</t>
  </si>
  <si>
    <t>only present in small patches under E</t>
  </si>
  <si>
    <t>twigs have been separated</t>
  </si>
  <si>
    <t>Thickness, not depths were measured</t>
  </si>
  <si>
    <t>Layer order is O, E, B1, B2, C</t>
  </si>
  <si>
    <t>Pit location is 6m down L2 from the side near the trail and 5m to a side.</t>
  </si>
  <si>
    <t>Layer order is O, E1, B1, E2 B2, C</t>
  </si>
  <si>
    <t>Pit location is near M3/L2/LF1</t>
  </si>
  <si>
    <t>&lt;0.2</t>
  </si>
  <si>
    <t>E layer has variable thickness always &lt;20cm thick.</t>
  </si>
  <si>
    <t>Pit location is near M4/L4/LF1</t>
  </si>
  <si>
    <t>E layer is not continuous around pit</t>
  </si>
  <si>
    <t>Pit location is 2m south from the north end of L3 and 5m east</t>
  </si>
  <si>
    <t>Horizon</t>
  </si>
  <si>
    <t>This is what I thought each horizon was.</t>
  </si>
  <si>
    <t>Surface horizon with fresh organic fragments</t>
  </si>
  <si>
    <t>Immediately subsurface.  Organic with smaller fragments mixed into black oily soil</t>
  </si>
  <si>
    <t xml:space="preserve">White/grey, leached mineral layer that tended to be of variable depth/presence within a single pit. </t>
  </si>
  <si>
    <t>Red, iron-rich mineral layer below organic layer, often directly beneath an E horizon</t>
  </si>
  <si>
    <t>Brownish mineral horizon sitting above the C horizon.  The B tended to be the thickest horizon</t>
  </si>
  <si>
    <t xml:space="preserve">Lighter color than B horizon with a slightly different odor.  Once hitting the C horizon, I would dig a few more centimeters, clean it up and then grab a sample of each horizon. </t>
  </si>
  <si>
    <t>DOCUMENTATION FROM MARTY:</t>
  </si>
  <si>
    <t>Tag</t>
  </si>
  <si>
    <t>SAMPLE ID</t>
  </si>
  <si>
    <t>orange highlights indicate the layers we're going to use to create mean B layer conc and mass estimates</t>
  </si>
  <si>
    <t>thickness number to use (cm)</t>
  </si>
  <si>
    <t>Estimated mass of layer (g/m2)</t>
  </si>
  <si>
    <t>precent of total "B" layer mass</t>
  </si>
  <si>
    <t>Al (g/m2)</t>
  </si>
  <si>
    <t>Ba (g/m2)</t>
  </si>
  <si>
    <t>Ca (g/m2)</t>
  </si>
  <si>
    <t>Fe (g/m2)</t>
  </si>
  <si>
    <t>K (g/m2)</t>
  </si>
  <si>
    <t>Mg (g/m2)</t>
  </si>
  <si>
    <t>Mn (g/m2)</t>
  </si>
  <si>
    <t>Na (g/m2)</t>
  </si>
  <si>
    <t>P (g/m2)</t>
  </si>
  <si>
    <t>Rb (g/m2)</t>
  </si>
  <si>
    <t>Si (g/m2)</t>
  </si>
  <si>
    <t>Sr (g/m2)</t>
  </si>
  <si>
    <t>Ti (g/m2)</t>
  </si>
  <si>
    <t>Horizon depth is relative to the top of the forest floor.</t>
  </si>
  <si>
    <t xml:space="preserve">In some pits, depth to each horizon was recorded; in others, horizon thickness was recorded.  Both are presented here where available.  </t>
  </si>
  <si>
    <t>Neither thickness, nor depth was measured for most of the O horizons.</t>
  </si>
  <si>
    <t xml:space="preserve">I greyed out the boxes that for data intentionally not recorded (even if it was recorded for some reason), which was the thickness or O and C horizons.  </t>
  </si>
  <si>
    <t>2004.qual.001</t>
  </si>
  <si>
    <t>2004.qual.002</t>
  </si>
  <si>
    <t>2004.qual.003</t>
  </si>
  <si>
    <t>2004.qual.004</t>
  </si>
  <si>
    <t>2004.qual.005</t>
  </si>
  <si>
    <t>2004.qual.006</t>
  </si>
  <si>
    <t>2004.qual.007</t>
  </si>
  <si>
    <t>2004.qual.008</t>
  </si>
  <si>
    <t>2004.qual.009</t>
  </si>
  <si>
    <t>2004.qual.010</t>
  </si>
  <si>
    <t>2004.qual.011</t>
  </si>
  <si>
    <t>2004.qual.012</t>
  </si>
  <si>
    <t>2004.qual.013</t>
  </si>
  <si>
    <t>2004.qual.014</t>
  </si>
  <si>
    <t>2004.qual.015</t>
  </si>
  <si>
    <t>2004.qual.016</t>
  </si>
  <si>
    <t>2004.qual.017</t>
  </si>
  <si>
    <t>2004.qual.018</t>
  </si>
  <si>
    <t>2004.qual.019</t>
  </si>
  <si>
    <t>2004.qual.020</t>
  </si>
  <si>
    <t>2004.qual.021</t>
  </si>
  <si>
    <t>2004.qual.022</t>
  </si>
  <si>
    <t>2004.qual.023</t>
  </si>
  <si>
    <t>2004.qual.024</t>
  </si>
  <si>
    <t>2004.qual.025</t>
  </si>
  <si>
    <t>2004.qual.026</t>
  </si>
  <si>
    <t>2004.qual.027</t>
  </si>
  <si>
    <t>2004.qual.028</t>
  </si>
  <si>
    <t>2004.qual.029</t>
  </si>
  <si>
    <t>2004.qual.030</t>
  </si>
  <si>
    <t>2004.qual.031</t>
  </si>
  <si>
    <t>2004.qual.032</t>
  </si>
  <si>
    <t>2004.qual.033</t>
  </si>
  <si>
    <t>2004.qual.034</t>
  </si>
  <si>
    <t>2004.qual.035</t>
  </si>
  <si>
    <t>2004.qual.036</t>
  </si>
  <si>
    <t>2004.qual.037</t>
  </si>
  <si>
    <t>2004.qual.038</t>
  </si>
  <si>
    <t>2004.qual.039</t>
  </si>
  <si>
    <t>2004.qual.040</t>
  </si>
  <si>
    <t>2004.qual.041</t>
  </si>
  <si>
    <t>2004.qual.042</t>
  </si>
  <si>
    <t>2004.qual.043</t>
  </si>
  <si>
    <t>2004.qual.044</t>
  </si>
  <si>
    <t>2004.qual.045</t>
  </si>
  <si>
    <t>B LAYER TOTAL</t>
  </si>
  <si>
    <t>MEAN CONCS IN B LAYERS, FOR COMPARISON WITH QUANTITATIVE PITS</t>
  </si>
  <si>
    <t>NOTES ON HOW DEPTHS WERE TAKEN</t>
  </si>
  <si>
    <t>Masses of all mineral layers with thickness measurements (labeled E, A, and B in this spreadsheet)</t>
  </si>
  <si>
    <t>were estimated based on the relationship between depth and oven-dry soil mass observed in the quantitative</t>
  </si>
  <si>
    <t>pits excavated in 2003-4.  The best model for soil mass (in g/m2 per cm depth) was a step function:</t>
  </si>
  <si>
    <t xml:space="preserve">the top 10cm was estimated using the mean value of 5146 g/m2/cm depth, and the remainder of the </t>
  </si>
  <si>
    <t>mineral soil down to the top of the C layer was estimated using the mean value of 7004 g/m2/cm depth</t>
  </si>
  <si>
    <t>the qualitative pits.  These contents were then used to calculate a mass-weighted mean B layer concentration</t>
  </si>
  <si>
    <t xml:space="preserve">These masses were used to estimate the total content of each analyte in each digestion within each horizon sampled in </t>
  </si>
  <si>
    <t>SHEET DISCRIPTIONS:</t>
  </si>
  <si>
    <t>Horizon Thickness</t>
  </si>
  <si>
    <t>thickness measurements from Marty, and Matt's calculationsof estimated layer mass.  All content calculations are dynamically linked to this sheet.</t>
  </si>
  <si>
    <t>NH4Cl leach</t>
  </si>
  <si>
    <t>Concentration data for all Joel's ICP analytes, after a neutral-salt extraction (NH4Cl).  Common name for this data set is "exchangeable"</t>
  </si>
  <si>
    <t>Concentration data for all Joel's ICP analytes, after a cold nitric acid extraction.  This is intended to dissolve apatite with farily high specificity.  Probably also dissolves organics</t>
  </si>
  <si>
    <t>Concentration data for all Joel's ICP analytes, a hot nitric acid extraction.  This will dissolve softer silicates like biotite, etc …</t>
  </si>
  <si>
    <t>Cold HNO3 leach</t>
  </si>
  <si>
    <t>Hot HNO3 leach</t>
  </si>
  <si>
    <t>NH4Cl est Content</t>
  </si>
  <si>
    <t>Cold HNO3 est Content</t>
  </si>
  <si>
    <t>Hot HNO3 est Content</t>
  </si>
  <si>
    <t>Content estimates for the NH4Cl leach for layers with mass estimates.  Summary data (at bottom) include total B-layer content, and B-layer weighted mean concs.</t>
  </si>
  <si>
    <t>Content estimates for the Cold HNO3 leach for layers with mass estimates.  Summary data (at bottom) include total B-layer content, and B-layer weighted mean concs.</t>
  </si>
  <si>
    <t>Content estimates for the Hot HNO3 leach for layers with mass estimates.  Summary data (at bottom) include total B-layer content, and B-layer weighted mean concs.</t>
  </si>
  <si>
    <t>Stdev of mass estimate</t>
  </si>
  <si>
    <t>Alternative method</t>
  </si>
  <si>
    <t>Assuming that the whole soil is equal in density (7.004 kg soil per m2 per cm depth)</t>
  </si>
  <si>
    <t>results in on average a 4% increase in total layer mass.</t>
  </si>
  <si>
    <t>CV of mass estimate</t>
  </si>
  <si>
    <t>Al stdev</t>
  </si>
  <si>
    <t>Ba stdev</t>
  </si>
  <si>
    <t>Ca stdev</t>
  </si>
  <si>
    <t>Fe stdev</t>
  </si>
  <si>
    <t>K stdev</t>
  </si>
  <si>
    <t>Mg stdev</t>
  </si>
  <si>
    <t>Mn stdev</t>
  </si>
  <si>
    <t>Na stdev</t>
  </si>
  <si>
    <t>Ti stdev</t>
  </si>
  <si>
    <t>Sr stdev</t>
  </si>
  <si>
    <t>Si stdev</t>
  </si>
  <si>
    <t>Rb stdev</t>
  </si>
  <si>
    <t>P stdev</t>
  </si>
  <si>
    <t xml:space="preserve"> </t>
  </si>
  <si>
    <t>conc. detection limits (mg/g)</t>
  </si>
  <si>
    <t>MAXIMUM NECESSARY CONTENT CORRECTION FOR SAMPLES WITH CONCS BELOW DETECTION (OTHERWISE ASSUMED TO BE 0)</t>
  </si>
  <si>
    <t>clear cells are ok - we have</t>
  </si>
  <si>
    <t>all data necessary to calc</t>
  </si>
  <si>
    <t>peach cells have none of the necessary data</t>
  </si>
  <si>
    <t>all are below detection</t>
  </si>
  <si>
    <t>green cells have some layers</t>
  </si>
  <si>
    <t>below detection</t>
  </si>
  <si>
    <t>TOTAL CONTENT IN B LAYERS, FOR COMPARISON WITH QUANTITATIVE PITS assuming all values below detection are 0</t>
  </si>
  <si>
    <t>MAXIMUM VALUE OF CONTENT IN B LAYERS, ASSUMING ALL CONC VALUES BELOW DETECTION ARE EQUAL TO THE DETECTION LIMIT.</t>
  </si>
  <si>
    <t>Dummy data for example graph</t>
  </si>
  <si>
    <t>MEAN CONCS IN B LAYERS, FOR COMPARISON WITH QUANTITATIVE PITS  (LOW ESTIMATE ASSUMING BELOW-DETECTION CONCS ARE 0)</t>
  </si>
  <si>
    <t>MEAN CONCS IN B LAYERS, FOR COMPARISON WITH QUANTITATIVE PITS (HIGH ESTIMATE ASSUMING BELOW-DETECTION CONCS ARE AT DETECTION LIMIT)</t>
  </si>
  <si>
    <t>Al err</t>
  </si>
  <si>
    <t>Ba err</t>
  </si>
  <si>
    <t>Ca err</t>
  </si>
  <si>
    <t>Fe err</t>
  </si>
  <si>
    <t>K err</t>
  </si>
  <si>
    <t>Mg err</t>
  </si>
  <si>
    <t>Mn err</t>
  </si>
  <si>
    <t>Na err</t>
  </si>
  <si>
    <t>P err</t>
  </si>
  <si>
    <t>Rb err</t>
  </si>
  <si>
    <t>Si err</t>
  </si>
  <si>
    <t>Sr err</t>
  </si>
  <si>
    <t>Ti err</t>
  </si>
  <si>
    <t>MAX</t>
  </si>
  <si>
    <t>MIN</t>
  </si>
  <si>
    <t>mean of some var</t>
  </si>
  <si>
    <t>error of some var</t>
  </si>
  <si>
    <t>Pit</t>
  </si>
  <si>
    <t>mass g/m2</t>
  </si>
  <si>
    <t>C1</t>
  </si>
  <si>
    <t>ALL</t>
  </si>
  <si>
    <t>B TOTAL</t>
  </si>
  <si>
    <t>C2</t>
  </si>
  <si>
    <t>C4</t>
  </si>
  <si>
    <t>C6</t>
  </si>
  <si>
    <t>C8</t>
  </si>
  <si>
    <t>C9</t>
  </si>
  <si>
    <t>H6</t>
  </si>
  <si>
    <t>M6</t>
  </si>
  <si>
    <t>M5</t>
  </si>
  <si>
    <t>T30</t>
  </si>
  <si>
    <t>H1</t>
  </si>
  <si>
    <t>H4</t>
  </si>
  <si>
    <t>BW</t>
  </si>
  <si>
    <t>CONTENT OF EACH ANALYTE FOR B-LAYERS IN QUANTITATIVE PITS; MEAN BY SITE</t>
  </si>
  <si>
    <t>CONTENT (g/m2) IN NH4Cl LEACH (EXCHANGEABLE)</t>
  </si>
  <si>
    <t>CONTENT (g/m2) IN HOT HNO3 LEACH (SILICATE)</t>
  </si>
  <si>
    <t>CONTENT (g/m2) IN H2O2 (ORGANIC) + COLD HNO3 LEACH (APATITE)</t>
  </si>
  <si>
    <t xml:space="preserve">QUAL </t>
  </si>
  <si>
    <t>CONCENTRATION OF EACH ANALYTE FOR B-LAYERS IN QUANTITATIVE PITS; MEAN BY SITE</t>
  </si>
  <si>
    <t>CONCENTRATION (mg/g) IN NH4Cl LEACH (EXCHANGEABLE)</t>
  </si>
  <si>
    <t>CONCENTRATION (mg/g) IN H2O2 (ORGANIC) + COLD HNO3 LEACH (APATITE)</t>
  </si>
  <si>
    <t>CONCENTRATION (mg/g) IN HOT HNO3 LEACH (SILICATE)</t>
  </si>
  <si>
    <t xml:space="preserve">for each analyte in each digestion. </t>
  </si>
  <si>
    <t>Mass-weighted mean concentrations from each B layer sample were calculated two ways: 1) we included layers with analyte concentrations below detection as 0</t>
  </si>
  <si>
    <t>2) we included these layers, assuming the analyte concentration was equal to the detection limit.  The mean of these was taken, and half the difference was added</t>
  </si>
  <si>
    <t>to the error estimate.</t>
  </si>
  <si>
    <t>Error estimates for each calculated content and concentration value were based ONLY on the uncertainty in the soil mass model.</t>
  </si>
  <si>
    <t>No analytic ICP error estimates were included, though we assume the soil mass model to be the dominant source of error.</t>
  </si>
  <si>
    <t>We propagated an error of +/- 2 standard deviations in our soil mass estimate to approximate a 95% confidence interval in the estimate of each individual soil layer.</t>
  </si>
  <si>
    <t>NOTES ON THE CALCULATION OF COMPARABLE DATA FROM QUANTITATIVE SOIL PITS  (Matt V, March 19-21, 2007)</t>
  </si>
  <si>
    <t>NOTES ON THE ESTIMATION OF LAYER MASSES  (Matt V, March 9-21, 2007)</t>
  </si>
  <si>
    <t>ALL DATA - CONC</t>
  </si>
  <si>
    <t>ALL DATA - CONTENT</t>
  </si>
  <si>
    <t>Mean B-layer contents (g/m2) and associated errors for all pits (quantitative + qualitative), all digests, and all analytes, with associated error estimates as described above.</t>
  </si>
  <si>
    <t>Mean B-layer concentrations (mg/g) and associated errors for all pits (quantitative + qualitative), all digests, and all analytes, with associated error estimates as described above.</t>
  </si>
  <si>
    <t>The error estimates are in many cases relatively large, as the CV in soil mass estimates varies from 28-38%.  However, the range of values is sufficient in most cases (see</t>
  </si>
  <si>
    <t>example graph at the bottom of sheet "NH4Cl est content", that there should still be plenty to work with in a regression model.</t>
  </si>
  <si>
    <t>Masses and concentrations of each analyte for each leach were calculated for each quantitative pit using all mineral soil layers down to the top of the C horizon.</t>
  </si>
  <si>
    <t>Note that in analyzing the quantitiative pits, Joel ran four sequential leaches rather than the three that were run on the qualitatie pits samples.  Leaches 2&amp;3 from the quantitiave</t>
  </si>
  <si>
    <t>pits (peroxide and cold nitric acid) are summed to yeild a number comparable to the cold nitric leach in the qualitative pits.</t>
  </si>
  <si>
    <t>Error was calculated differently in the quantititve pits, because we had actual soil mass measurements, and replication at each site.  C</t>
  </si>
  <si>
    <t>Total B-layer content for each pit was calculated, and then site-mean content was calculated with 95% confidence intervals (= 1.96*stdev / sqrt(3))</t>
  </si>
  <si>
    <t>Mean B-layer concentration for each pit was also calculated, using each pit's individual mass.  Mean values and error estimates for concentrations at each site were then</t>
  </si>
  <si>
    <t xml:space="preserve">calculated directly from these.  Therefore, the mean concentration values and error estimates are NOT MASS WEIGHTED for the whole site, but rather express the </t>
  </si>
  <si>
    <t>expected value of mean B-layer concentration you would find when digging one pit at a random location within a given site.</t>
  </si>
  <si>
    <t>TOTAL B LAYER CONTENT TO USE, WITH TOTAL ERROR ESTIMATE (SEE METADATA FOR INTERPRETATION) - these data have been copied to the sheet "ALL DATA CONTENT" for ease of use</t>
  </si>
  <si>
    <t>TOTAL B LAYER CONC TO USE, WITH TOTAL ERROR ESTIMATE (SEE METADATA FOR INTERPRETATION) - these data have been copied to the sheet "ALL DATA CONC" for ease of 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</si>
</sst>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sz val="10"/>
      <name val="Arial"/>
      <family val="2"/>
    </font>
    <font>
      <sz val="10"/>
      <name val="Helvetica"/>
      <family val="0"/>
    </font>
    <font>
      <b/>
      <i/>
      <sz val="10"/>
      <name val="Helvetica"/>
      <family val="0"/>
    </font>
    <font>
      <sz val="8"/>
      <name val="Arial"/>
      <family val="0"/>
    </font>
    <font>
      <b/>
      <sz val="8"/>
      <name val="Tahoma"/>
      <family val="0"/>
    </font>
    <font>
      <b/>
      <sz val="2"/>
      <name val="Arial"/>
      <family val="0"/>
    </font>
    <font>
      <b/>
      <sz val="1.75"/>
      <name val="Arial"/>
      <family val="2"/>
    </font>
    <font>
      <sz val="2"/>
      <name val="Arial"/>
      <family val="0"/>
    </font>
    <font>
      <sz val="1.75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 style="medium"/>
      <top style="medium"/>
      <bottom>
        <color indexed="24"/>
      </bottom>
    </border>
    <border>
      <left>
        <color indexed="24"/>
      </left>
      <right style="medium"/>
      <top>
        <color indexed="24"/>
      </top>
      <bottom>
        <color indexed="24"/>
      </bottom>
    </border>
    <border>
      <left>
        <color indexed="24"/>
      </left>
      <right style="medium"/>
      <top>
        <color indexed="24"/>
      </top>
      <bottom style="medium"/>
    </border>
    <border>
      <left style="medium"/>
      <right>
        <color indexed="24"/>
      </right>
      <top style="medium"/>
      <bottom>
        <color indexed="2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24"/>
      </bottom>
    </border>
    <border>
      <left>
        <color indexed="63"/>
      </left>
      <right style="medium"/>
      <top>
        <color indexed="24"/>
      </top>
      <bottom>
        <color indexed="24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24"/>
      </right>
      <top>
        <color indexed="24"/>
      </top>
      <bottom>
        <color indexed="24"/>
      </bottom>
    </border>
    <border>
      <left>
        <color indexed="24"/>
      </left>
      <right style="thin"/>
      <top>
        <color indexed="24"/>
      </top>
      <bottom>
        <color indexed="2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24"/>
      </left>
      <right>
        <color indexed="63"/>
      </right>
      <top style="thin"/>
      <bottom>
        <color indexed="24"/>
      </bottom>
    </border>
    <border>
      <left style="thin"/>
      <right>
        <color indexed="24"/>
      </right>
      <top style="thin"/>
      <bottom>
        <color indexed="24"/>
      </bottom>
    </border>
    <border>
      <left>
        <color indexed="24"/>
      </left>
      <right style="thin"/>
      <top style="thin"/>
      <bottom>
        <color indexed="24"/>
      </bottom>
    </border>
    <border>
      <left>
        <color indexed="63"/>
      </left>
      <right>
        <color indexed="24"/>
      </right>
      <top style="thin"/>
      <bottom>
        <color indexed="24"/>
      </bottom>
    </border>
    <border>
      <left>
        <color indexed="24"/>
      </left>
      <right style="medium"/>
      <top style="thin"/>
      <bottom>
        <color indexed="24"/>
      </bottom>
    </border>
    <border>
      <left>
        <color indexed="24"/>
      </left>
      <right>
        <color indexed="24"/>
      </right>
      <top style="thin"/>
      <bottom>
        <color indexed="2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24"/>
      </left>
      <right>
        <color indexed="63"/>
      </right>
      <top>
        <color indexed="24"/>
      </top>
      <bottom style="thin"/>
    </border>
    <border>
      <left style="thin"/>
      <right>
        <color indexed="24"/>
      </right>
      <top>
        <color indexed="24"/>
      </top>
      <bottom style="thin"/>
    </border>
    <border>
      <left>
        <color indexed="24"/>
      </left>
      <right style="thin"/>
      <top>
        <color indexed="24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24"/>
      </left>
      <right style="medium"/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 style="medium"/>
      <right>
        <color indexed="24"/>
      </right>
      <top>
        <color indexed="24"/>
      </top>
      <bottom>
        <color indexed="24"/>
      </bottom>
    </border>
    <border>
      <left style="medium"/>
      <right>
        <color indexed="24"/>
      </right>
      <top>
        <color indexed="24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49" fontId="6" fillId="0" borderId="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2" borderId="0" xfId="0" applyNumberFormat="1" applyFont="1" applyFill="1" applyAlignment="1">
      <alignment horizontal="right"/>
    </xf>
    <xf numFmtId="167" fontId="7" fillId="0" borderId="0" xfId="0" applyNumberFormat="1" applyFont="1" applyAlignment="1">
      <alignment horizontal="right"/>
    </xf>
    <xf numFmtId="166" fontId="7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left"/>
    </xf>
    <xf numFmtId="166" fontId="6" fillId="0" borderId="0" xfId="0" applyNumberFormat="1" applyFont="1" applyAlignment="1">
      <alignment horizontal="right"/>
    </xf>
    <xf numFmtId="166" fontId="6" fillId="2" borderId="0" xfId="0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6" fillId="0" borderId="2" xfId="0" applyNumberFormat="1" applyFont="1" applyBorder="1" applyAlignment="1">
      <alignment/>
    </xf>
    <xf numFmtId="14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3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8" fontId="6" fillId="0" borderId="0" xfId="0" applyNumberFormat="1" applyFont="1" applyBorder="1" applyAlignment="1">
      <alignment/>
    </xf>
    <xf numFmtId="168" fontId="6" fillId="2" borderId="3" xfId="0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/>
    </xf>
    <xf numFmtId="168" fontId="6" fillId="2" borderId="2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66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/>
    </xf>
    <xf numFmtId="0" fontId="6" fillId="4" borderId="0" xfId="0" applyFont="1" applyFill="1" applyAlignment="1">
      <alignment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right" wrapText="1"/>
    </xf>
    <xf numFmtId="0" fontId="6" fillId="0" borderId="8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0" fontId="6" fillId="4" borderId="10" xfId="0" applyNumberFormat="1" applyFont="1" applyFill="1" applyBorder="1" applyAlignment="1">
      <alignment/>
    </xf>
    <xf numFmtId="0" fontId="6" fillId="4" borderId="11" xfId="0" applyNumberFormat="1" applyFont="1" applyFill="1" applyBorder="1" applyAlignment="1">
      <alignment/>
    </xf>
    <xf numFmtId="166" fontId="6" fillId="4" borderId="10" xfId="0" applyNumberFormat="1" applyFont="1" applyFill="1" applyBorder="1" applyAlignment="1">
      <alignment horizontal="right"/>
    </xf>
    <xf numFmtId="166" fontId="6" fillId="4" borderId="11" xfId="0" applyNumberFormat="1" applyFont="1" applyFill="1" applyBorder="1" applyAlignment="1">
      <alignment horizontal="right"/>
    </xf>
    <xf numFmtId="166" fontId="6" fillId="2" borderId="11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166" fontId="6" fillId="0" borderId="11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2" fontId="6" fillId="4" borderId="11" xfId="0" applyNumberFormat="1" applyFont="1" applyFill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4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4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4" borderId="0" xfId="0" applyNumberFormat="1" applyFont="1" applyFill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/>
    </xf>
    <xf numFmtId="1" fontId="6" fillId="4" borderId="10" xfId="0" applyNumberFormat="1" applyFont="1" applyFill="1" applyBorder="1" applyAlignment="1">
      <alignment horizontal="right"/>
    </xf>
    <xf numFmtId="1" fontId="6" fillId="2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2" fontId="6" fillId="4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2" borderId="11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1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64" fontId="6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5" borderId="0" xfId="0" applyNumberFormat="1" applyFont="1" applyFill="1" applyBorder="1" applyAlignment="1">
      <alignment/>
    </xf>
    <xf numFmtId="1" fontId="6" fillId="5" borderId="11" xfId="0" applyNumberFormat="1" applyFont="1" applyFill="1" applyBorder="1" applyAlignment="1">
      <alignment/>
    </xf>
    <xf numFmtId="165" fontId="6" fillId="6" borderId="0" xfId="0" applyNumberFormat="1" applyFont="1" applyFill="1" applyBorder="1" applyAlignment="1">
      <alignment/>
    </xf>
    <xf numFmtId="165" fontId="6" fillId="6" borderId="11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6" fillId="6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 horizontal="right"/>
    </xf>
    <xf numFmtId="0" fontId="6" fillId="2" borderId="1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164" fontId="6" fillId="2" borderId="10" xfId="0" applyNumberFormat="1" applyFont="1" applyFill="1" applyBorder="1" applyAlignment="1">
      <alignment horizontal="right"/>
    </xf>
    <xf numFmtId="0" fontId="6" fillId="2" borderId="0" xfId="0" applyNumberFormat="1" applyFont="1" applyFill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/>
    </xf>
    <xf numFmtId="0" fontId="6" fillId="2" borderId="11" xfId="0" applyNumberFormat="1" applyFont="1" applyFill="1" applyBorder="1" applyAlignment="1">
      <alignment/>
    </xf>
    <xf numFmtId="0" fontId="6" fillId="6" borderId="10" xfId="0" applyNumberFormat="1" applyFont="1" applyFill="1" applyBorder="1" applyAlignment="1">
      <alignment/>
    </xf>
    <xf numFmtId="0" fontId="6" fillId="6" borderId="11" xfId="0" applyNumberFormat="1" applyFont="1" applyFill="1" applyBorder="1" applyAlignment="1">
      <alignment/>
    </xf>
    <xf numFmtId="0" fontId="6" fillId="5" borderId="10" xfId="0" applyNumberFormat="1" applyFont="1" applyFill="1" applyBorder="1" applyAlignment="1">
      <alignment/>
    </xf>
    <xf numFmtId="0" fontId="6" fillId="5" borderId="11" xfId="0" applyNumberFormat="1" applyFont="1" applyFill="1" applyBorder="1" applyAlignment="1">
      <alignment/>
    </xf>
    <xf numFmtId="0" fontId="6" fillId="5" borderId="12" xfId="0" applyNumberFormat="1" applyFont="1" applyFill="1" applyBorder="1" applyAlignment="1">
      <alignment/>
    </xf>
    <xf numFmtId="0" fontId="6" fillId="5" borderId="13" xfId="0" applyNumberFormat="1" applyFont="1" applyFill="1" applyBorder="1" applyAlignment="1">
      <alignment/>
    </xf>
    <xf numFmtId="167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2" fontId="6" fillId="6" borderId="0" xfId="0" applyNumberFormat="1" applyFont="1" applyFill="1" applyBorder="1" applyAlignment="1">
      <alignment/>
    </xf>
    <xf numFmtId="164" fontId="6" fillId="6" borderId="0" xfId="0" applyNumberFormat="1" applyFont="1" applyFill="1" applyBorder="1" applyAlignment="1">
      <alignment/>
    </xf>
    <xf numFmtId="2" fontId="6" fillId="5" borderId="0" xfId="0" applyNumberFormat="1" applyFont="1" applyFill="1" applyBorder="1" applyAlignment="1">
      <alignment/>
    </xf>
    <xf numFmtId="2" fontId="6" fillId="5" borderId="11" xfId="0" applyNumberFormat="1" applyFont="1" applyFill="1" applyBorder="1" applyAlignment="1">
      <alignment/>
    </xf>
    <xf numFmtId="165" fontId="6" fillId="5" borderId="0" xfId="0" applyNumberFormat="1" applyFont="1" applyFill="1" applyBorder="1" applyAlignment="1">
      <alignment/>
    </xf>
    <xf numFmtId="165" fontId="6" fillId="5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166" fontId="6" fillId="5" borderId="0" xfId="0" applyNumberFormat="1" applyFont="1" applyFill="1" applyBorder="1" applyAlignment="1">
      <alignment/>
    </xf>
    <xf numFmtId="166" fontId="6" fillId="5" borderId="11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7" borderId="0" xfId="0" applyNumberFormat="1" applyFont="1" applyFill="1" applyBorder="1" applyAlignment="1">
      <alignment/>
    </xf>
    <xf numFmtId="0" fontId="6" fillId="7" borderId="0" xfId="0" applyNumberFormat="1" applyFont="1" applyFill="1" applyBorder="1" applyAlignment="1">
      <alignment horizontal="right"/>
    </xf>
    <xf numFmtId="0" fontId="6" fillId="7" borderId="10" xfId="0" applyNumberFormat="1" applyFont="1" applyFill="1" applyBorder="1" applyAlignment="1">
      <alignment/>
    </xf>
    <xf numFmtId="0" fontId="6" fillId="7" borderId="11" xfId="0" applyNumberFormat="1" applyFont="1" applyFill="1" applyBorder="1" applyAlignment="1">
      <alignment/>
    </xf>
    <xf numFmtId="166" fontId="6" fillId="7" borderId="10" xfId="0" applyNumberFormat="1" applyFont="1" applyFill="1" applyBorder="1" applyAlignment="1">
      <alignment/>
    </xf>
    <xf numFmtId="0" fontId="6" fillId="7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2" fontId="6" fillId="6" borderId="11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66" fontId="6" fillId="0" borderId="1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167" fontId="7" fillId="4" borderId="0" xfId="0" applyNumberFormat="1" applyFont="1" applyFill="1" applyAlignment="1">
      <alignment horizontal="right"/>
    </xf>
    <xf numFmtId="167" fontId="6" fillId="2" borderId="0" xfId="0" applyNumberFormat="1" applyFont="1" applyFill="1" applyAlignment="1">
      <alignment horizontal="right"/>
    </xf>
    <xf numFmtId="167" fontId="6" fillId="2" borderId="0" xfId="0" applyNumberFormat="1" applyFont="1" applyFill="1" applyBorder="1" applyAlignment="1">
      <alignment/>
    </xf>
    <xf numFmtId="16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164" fontId="6" fillId="0" borderId="11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8" borderId="0" xfId="0" applyNumberFormat="1" applyFont="1" applyFill="1" applyBorder="1" applyAlignment="1">
      <alignment/>
    </xf>
    <xf numFmtId="0" fontId="6" fillId="8" borderId="10" xfId="0" applyNumberFormat="1" applyFont="1" applyFill="1" applyBorder="1" applyAlignment="1">
      <alignment/>
    </xf>
    <xf numFmtId="166" fontId="1" fillId="8" borderId="0" xfId="0" applyNumberFormat="1" applyFont="1" applyFill="1" applyBorder="1" applyAlignment="1">
      <alignment/>
    </xf>
    <xf numFmtId="0" fontId="6" fillId="8" borderId="0" xfId="0" applyNumberFormat="1" applyFont="1" applyFill="1" applyAlignment="1">
      <alignment/>
    </xf>
    <xf numFmtId="0" fontId="6" fillId="8" borderId="0" xfId="0" applyNumberFormat="1" applyFont="1" applyFill="1" applyBorder="1" applyAlignment="1">
      <alignment horizontal="right"/>
    </xf>
    <xf numFmtId="0" fontId="6" fillId="8" borderId="11" xfId="0" applyNumberFormat="1" applyFont="1" applyFill="1" applyBorder="1" applyAlignment="1">
      <alignment/>
    </xf>
    <xf numFmtId="0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67" fontId="6" fillId="5" borderId="0" xfId="0" applyNumberFormat="1" applyFont="1" applyFill="1" applyBorder="1" applyAlignment="1">
      <alignment/>
    </xf>
    <xf numFmtId="0" fontId="6" fillId="8" borderId="17" xfId="0" applyNumberFormat="1" applyFont="1" applyFill="1" applyBorder="1" applyAlignment="1">
      <alignment/>
    </xf>
    <xf numFmtId="0" fontId="6" fillId="8" borderId="17" xfId="0" applyFont="1" applyFill="1" applyBorder="1" applyAlignment="1">
      <alignment horizontal="right"/>
    </xf>
    <xf numFmtId="0" fontId="6" fillId="8" borderId="18" xfId="0" applyNumberFormat="1" applyFont="1" applyFill="1" applyBorder="1" applyAlignment="1">
      <alignment/>
    </xf>
    <xf numFmtId="166" fontId="1" fillId="8" borderId="17" xfId="0" applyNumberFormat="1" applyFont="1" applyFill="1" applyBorder="1" applyAlignment="1">
      <alignment/>
    </xf>
    <xf numFmtId="166" fontId="6" fillId="8" borderId="17" xfId="0" applyNumberFormat="1" applyFont="1" applyFill="1" applyBorder="1" applyAlignment="1">
      <alignment/>
    </xf>
    <xf numFmtId="166" fontId="6" fillId="8" borderId="18" xfId="0" applyNumberFormat="1" applyFont="1" applyFill="1" applyBorder="1" applyAlignment="1">
      <alignment/>
    </xf>
    <xf numFmtId="164" fontId="6" fillId="8" borderId="17" xfId="0" applyNumberFormat="1" applyFont="1" applyFill="1" applyBorder="1" applyAlignment="1">
      <alignment/>
    </xf>
    <xf numFmtId="166" fontId="6" fillId="8" borderId="19" xfId="0" applyNumberFormat="1" applyFont="1" applyFill="1" applyBorder="1" applyAlignment="1">
      <alignment/>
    </xf>
    <xf numFmtId="0" fontId="1" fillId="0" borderId="1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65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165" fontId="6" fillId="0" borderId="23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165" fontId="6" fillId="2" borderId="23" xfId="0" applyNumberFormat="1" applyFont="1" applyFill="1" applyBorder="1" applyAlignment="1">
      <alignment horizontal="right"/>
    </xf>
    <xf numFmtId="165" fontId="6" fillId="2" borderId="22" xfId="0" applyNumberFormat="1" applyFont="1" applyFill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165" fontId="6" fillId="0" borderId="11" xfId="0" applyNumberFormat="1" applyFont="1" applyBorder="1" applyAlignment="1">
      <alignment horizontal="right"/>
    </xf>
    <xf numFmtId="165" fontId="6" fillId="2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1" fontId="1" fillId="0" borderId="3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29" xfId="0" applyFont="1" applyBorder="1" applyAlignment="1">
      <alignment horizontal="right" wrapText="1"/>
    </xf>
    <xf numFmtId="0" fontId="1" fillId="0" borderId="12" xfId="0" applyNumberFormat="1" applyFont="1" applyBorder="1" applyAlignment="1">
      <alignment wrapText="1"/>
    </xf>
    <xf numFmtId="0" fontId="1" fillId="0" borderId="30" xfId="0" applyNumberFormat="1" applyFont="1" applyBorder="1" applyAlignment="1">
      <alignment wrapText="1"/>
    </xf>
    <xf numFmtId="0" fontId="1" fillId="0" borderId="31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23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5" fontId="6" fillId="0" borderId="32" xfId="0" applyNumberFormat="1" applyFont="1" applyBorder="1" applyAlignment="1">
      <alignment horizontal="right"/>
    </xf>
    <xf numFmtId="165" fontId="6" fillId="0" borderId="33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165" fontId="6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1" fontId="6" fillId="2" borderId="34" xfId="0" applyNumberFormat="1" applyFont="1" applyFill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right"/>
    </xf>
    <xf numFmtId="165" fontId="6" fillId="0" borderId="20" xfId="0" applyNumberFormat="1" applyFont="1" applyBorder="1" applyAlignment="1">
      <alignment horizontal="right"/>
    </xf>
    <xf numFmtId="165" fontId="6" fillId="2" borderId="20" xfId="0" applyNumberFormat="1" applyFont="1" applyFill="1" applyBorder="1" applyAlignment="1">
      <alignment horizontal="right"/>
    </xf>
    <xf numFmtId="165" fontId="6" fillId="2" borderId="21" xfId="0" applyNumberFormat="1" applyFont="1" applyFill="1" applyBorder="1" applyAlignment="1">
      <alignment horizontal="right"/>
    </xf>
    <xf numFmtId="165" fontId="6" fillId="2" borderId="36" xfId="0" applyNumberFormat="1" applyFont="1" applyFill="1" applyBorder="1" applyAlignment="1">
      <alignment horizontal="right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165" fontId="6" fillId="0" borderId="20" xfId="0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right"/>
    </xf>
    <xf numFmtId="165" fontId="6" fillId="0" borderId="34" xfId="0" applyNumberFormat="1" applyFont="1" applyBorder="1" applyAlignment="1">
      <alignment horizontal="right"/>
    </xf>
    <xf numFmtId="165" fontId="6" fillId="0" borderId="37" xfId="0" applyNumberFormat="1" applyFont="1" applyBorder="1" applyAlignment="1">
      <alignment horizontal="right"/>
    </xf>
    <xf numFmtId="165" fontId="6" fillId="0" borderId="38" xfId="0" applyNumberFormat="1" applyFont="1" applyBorder="1" applyAlignment="1">
      <alignment horizontal="right"/>
    </xf>
    <xf numFmtId="165" fontId="6" fillId="0" borderId="39" xfId="0" applyNumberFormat="1" applyFont="1" applyBorder="1" applyAlignment="1">
      <alignment horizontal="right"/>
    </xf>
    <xf numFmtId="165" fontId="6" fillId="0" borderId="40" xfId="0" applyNumberFormat="1" applyFont="1" applyBorder="1" applyAlignment="1">
      <alignment horizontal="right"/>
    </xf>
    <xf numFmtId="165" fontId="6" fillId="0" borderId="41" xfId="0" applyNumberFormat="1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2" fontId="6" fillId="0" borderId="44" xfId="0" applyNumberFormat="1" applyFont="1" applyBorder="1" applyAlignment="1">
      <alignment horizontal="right"/>
    </xf>
    <xf numFmtId="165" fontId="6" fillId="0" borderId="45" xfId="0" applyNumberFormat="1" applyFont="1" applyBorder="1" applyAlignment="1">
      <alignment horizontal="right"/>
    </xf>
    <xf numFmtId="165" fontId="6" fillId="0" borderId="43" xfId="0" applyNumberFormat="1" applyFont="1" applyBorder="1" applyAlignment="1">
      <alignment horizontal="right"/>
    </xf>
    <xf numFmtId="165" fontId="6" fillId="2" borderId="43" xfId="0" applyNumberFormat="1" applyFont="1" applyFill="1" applyBorder="1" applyAlignment="1">
      <alignment horizontal="right"/>
    </xf>
    <xf numFmtId="165" fontId="6" fillId="2" borderId="45" xfId="0" applyNumberFormat="1" applyFont="1" applyFill="1" applyBorder="1" applyAlignment="1">
      <alignment horizontal="right"/>
    </xf>
    <xf numFmtId="165" fontId="6" fillId="2" borderId="46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44" xfId="0" applyNumberFormat="1" applyFont="1" applyBorder="1" applyAlignment="1">
      <alignment horizontal="right"/>
    </xf>
    <xf numFmtId="165" fontId="6" fillId="0" borderId="43" xfId="0" applyNumberFormat="1" applyFont="1" applyBorder="1" applyAlignment="1">
      <alignment horizontal="right"/>
    </xf>
    <xf numFmtId="165" fontId="6" fillId="0" borderId="45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47" xfId="0" applyNumberFormat="1" applyFont="1" applyBorder="1" applyAlignment="1">
      <alignment horizontal="right"/>
    </xf>
    <xf numFmtId="165" fontId="6" fillId="0" borderId="48" xfId="0" applyNumberFormat="1" applyFont="1" applyBorder="1" applyAlignment="1">
      <alignment horizontal="right"/>
    </xf>
    <xf numFmtId="165" fontId="6" fillId="0" borderId="49" xfId="0" applyNumberFormat="1" applyFont="1" applyBorder="1" applyAlignment="1">
      <alignment horizontal="right"/>
    </xf>
    <xf numFmtId="165" fontId="6" fillId="0" borderId="50" xfId="0" applyNumberFormat="1" applyFont="1" applyBorder="1" applyAlignment="1">
      <alignment horizontal="right"/>
    </xf>
    <xf numFmtId="165" fontId="6" fillId="0" borderId="51" xfId="0" applyNumberFormat="1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1" fillId="0" borderId="8" xfId="0" applyFont="1" applyBorder="1" applyAlignment="1">
      <alignment/>
    </xf>
    <xf numFmtId="164" fontId="6" fillId="0" borderId="35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2" borderId="20" xfId="0" applyNumberFormat="1" applyFont="1" applyFill="1" applyBorder="1" applyAlignment="1">
      <alignment horizontal="right"/>
    </xf>
    <xf numFmtId="164" fontId="6" fillId="2" borderId="21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2" borderId="23" xfId="0" applyNumberFormat="1" applyFont="1" applyFill="1" applyBorder="1" applyAlignment="1">
      <alignment horizontal="right"/>
    </xf>
    <xf numFmtId="164" fontId="6" fillId="2" borderId="22" xfId="0" applyNumberFormat="1" applyFont="1" applyFill="1" applyBorder="1" applyAlignment="1">
      <alignment horizontal="right"/>
    </xf>
    <xf numFmtId="164" fontId="6" fillId="0" borderId="44" xfId="0" applyNumberFormat="1" applyFont="1" applyBorder="1" applyAlignment="1">
      <alignment horizontal="right"/>
    </xf>
    <xf numFmtId="164" fontId="6" fillId="0" borderId="45" xfId="0" applyNumberFormat="1" applyFont="1" applyBorder="1" applyAlignment="1">
      <alignment horizontal="right"/>
    </xf>
    <xf numFmtId="164" fontId="6" fillId="0" borderId="43" xfId="0" applyNumberFormat="1" applyFont="1" applyBorder="1" applyAlignment="1">
      <alignment horizontal="right"/>
    </xf>
    <xf numFmtId="164" fontId="6" fillId="2" borderId="43" xfId="0" applyNumberFormat="1" applyFont="1" applyFill="1" applyBorder="1" applyAlignment="1">
      <alignment horizontal="right"/>
    </xf>
    <xf numFmtId="164" fontId="6" fillId="2" borderId="45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40" xfId="0" applyNumberFormat="1" applyFont="1" applyBorder="1" applyAlignment="1">
      <alignment horizontal="right"/>
    </xf>
    <xf numFmtId="164" fontId="6" fillId="0" borderId="41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50" xfId="0" applyNumberFormat="1" applyFont="1" applyBorder="1" applyAlignment="1">
      <alignment horizontal="right"/>
    </xf>
    <xf numFmtId="164" fontId="6" fillId="0" borderId="51" xfId="0" applyNumberFormat="1" applyFont="1" applyBorder="1" applyAlignment="1">
      <alignment horizontal="right"/>
    </xf>
    <xf numFmtId="164" fontId="6" fillId="2" borderId="36" xfId="0" applyNumberFormat="1" applyFont="1" applyFill="1" applyBorder="1" applyAlignment="1">
      <alignment horizontal="right"/>
    </xf>
    <xf numFmtId="164" fontId="6" fillId="0" borderId="34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34" xfId="0" applyNumberFormat="1" applyFont="1" applyBorder="1" applyAlignment="1">
      <alignment horizontal="right"/>
    </xf>
    <xf numFmtId="164" fontId="6" fillId="0" borderId="37" xfId="0" applyNumberFormat="1" applyFont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164" fontId="6" fillId="0" borderId="33" xfId="0" applyNumberFormat="1" applyFont="1" applyBorder="1" applyAlignment="1">
      <alignment horizontal="right"/>
    </xf>
    <xf numFmtId="164" fontId="6" fillId="2" borderId="46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43" xfId="0" applyNumberFormat="1" applyFont="1" applyBorder="1" applyAlignment="1">
      <alignment horizontal="right"/>
    </xf>
    <xf numFmtId="164" fontId="6" fillId="0" borderId="45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47" xfId="0" applyNumberFormat="1" applyFont="1" applyBorder="1" applyAlignment="1">
      <alignment horizontal="right"/>
    </xf>
    <xf numFmtId="164" fontId="6" fillId="0" borderId="48" xfId="0" applyNumberFormat="1" applyFont="1" applyBorder="1" applyAlignment="1">
      <alignment horizontal="right"/>
    </xf>
    <xf numFmtId="164" fontId="6" fillId="0" borderId="49" xfId="0" applyNumberFormat="1" applyFont="1" applyBorder="1" applyAlignment="1">
      <alignment horizontal="right"/>
    </xf>
    <xf numFmtId="164" fontId="6" fillId="0" borderId="38" xfId="0" applyNumberFormat="1" applyFont="1" applyFill="1" applyBorder="1" applyAlignment="1">
      <alignment horizontal="right"/>
    </xf>
    <xf numFmtId="164" fontId="6" fillId="0" borderId="3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1" fillId="0" borderId="53" xfId="0" applyFont="1" applyBorder="1" applyAlignment="1">
      <alignment horizontal="right" wrapText="1"/>
    </xf>
    <xf numFmtId="0" fontId="1" fillId="0" borderId="54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Example graph  (error bars are 1SD)</a:t>
            </a:r>
          </a:p>
        </c:rich>
      </c:tx>
      <c:layout>
        <c:manualLayout>
          <c:xMode val="factor"/>
          <c:yMode val="factor"/>
          <c:x val="0.07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"/>
          <c:w val="0.93225"/>
          <c:h val="0.91325"/>
        </c:manualLayout>
      </c:layout>
      <c:scatterChart>
        <c:scatterStyle val="lineMarker"/>
        <c:varyColors val="0"/>
        <c:ser>
          <c:idx val="0"/>
          <c:order val="0"/>
          <c:tx>
            <c:v>Low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'NH4Cl est Content'!$Z$52:$Z$59</c:f>
              <c:numCache/>
            </c:numRef>
          </c:xVal>
          <c:yVal>
            <c:numRef>
              <c:f>'NH4Cl est Content'!$A$142:$A$149</c:f>
              <c:numCache/>
            </c:numRef>
          </c:yVal>
          <c:smooth val="0"/>
        </c:ser>
        <c:ser>
          <c:idx val="1"/>
          <c:order val="1"/>
          <c:tx>
            <c:v>High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'NH4Cl est Content'!$Z$76:$Z$83</c:f>
              <c:numCache/>
            </c:numRef>
          </c:xVal>
          <c:yVal>
            <c:numRef>
              <c:f>'NH4Cl est Content'!$A$142:$A$149</c:f>
              <c:numCache/>
            </c:numRef>
          </c:yVal>
          <c:smooth val="0"/>
        </c:ser>
        <c:axId val="15534466"/>
        <c:axId val="5592467"/>
      </c:scatterChart>
      <c:valAx>
        <c:axId val="1553446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B-layer mean exchangeable Mn (g/m2)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92467"/>
        <c:crosses val="autoZero"/>
        <c:crossBetween val="midCat"/>
        <c:dispUnits/>
        <c:majorUnit val="1"/>
      </c:valAx>
      <c:valAx>
        <c:axId val="559246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Dummy Dependent Variable
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3446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1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Example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Low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'NH4Cl est Content'!$Z$52:$Z$59</c:f>
              <c:numCache/>
            </c:numRef>
          </c:xVal>
          <c:yVal>
            <c:numRef>
              <c:f>'NH4Cl est Content'!$A$142:$A$149</c:f>
              <c:numCache/>
            </c:numRef>
          </c:yVal>
          <c:smooth val="0"/>
        </c:ser>
        <c:ser>
          <c:idx val="1"/>
          <c:order val="1"/>
          <c:tx>
            <c:v>High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'NH4Cl est Content'!$Z$76:$Z$83</c:f>
              <c:numCache/>
            </c:numRef>
          </c:xVal>
          <c:yVal>
            <c:numRef>
              <c:f>'NH4Cl est Content'!$A$142:$A$149</c:f>
              <c:numCache/>
            </c:numRef>
          </c:yVal>
          <c:smooth val="0"/>
        </c:ser>
        <c:axId val="50332204"/>
        <c:axId val="50336653"/>
      </c:scatterChart>
      <c:valAx>
        <c:axId val="5033220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B-layer mean exchangeable Mn (g/m2)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336653"/>
        <c:crosses val="autoZero"/>
        <c:crossBetween val="midCat"/>
        <c:dispUnits/>
        <c:majorUnit val="1"/>
      </c:valAx>
      <c:valAx>
        <c:axId val="5033665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Dummy Dependent Variable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220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Example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Low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'NH4Cl est Content'!$Z$52:$Z$59</c:f>
              <c:numCache/>
            </c:numRef>
          </c:xVal>
          <c:yVal>
            <c:numRef>
              <c:f>'NH4Cl est Content'!$A$142:$A$149</c:f>
              <c:numCache/>
            </c:numRef>
          </c:yVal>
          <c:smooth val="0"/>
        </c:ser>
        <c:ser>
          <c:idx val="1"/>
          <c:order val="1"/>
          <c:tx>
            <c:v>High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'NH4Cl est Content'!$Z$76:$Z$83</c:f>
              <c:numCache/>
            </c:numRef>
          </c:xVal>
          <c:yVal>
            <c:numRef>
              <c:f>'NH4Cl est Content'!$A$142:$A$149</c:f>
              <c:numCache/>
            </c:numRef>
          </c:yVal>
          <c:smooth val="0"/>
        </c:ser>
        <c:axId val="50376694"/>
        <c:axId val="50737063"/>
      </c:scatterChart>
      <c:valAx>
        <c:axId val="5037669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B-layer mean exchangeable Mn (g/m2)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37063"/>
        <c:crosses val="autoZero"/>
        <c:crossBetween val="midCat"/>
        <c:dispUnits/>
        <c:majorUnit val="1"/>
      </c:valAx>
      <c:valAx>
        <c:axId val="5073706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Dummy Dependent Variable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7669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Example graph  
(error bars are approximate 95% CI; see metadata)</a:t>
            </a:r>
          </a:p>
        </c:rich>
      </c:tx>
      <c:layout>
        <c:manualLayout>
          <c:xMode val="factor"/>
          <c:yMode val="factor"/>
          <c:x val="0.07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"/>
          <c:w val="0.93775"/>
          <c:h val="0.9265"/>
        </c:manualLayout>
      </c:layout>
      <c:scatterChart>
        <c:scatterStyle val="lineMarker"/>
        <c:varyColors val="0"/>
        <c:ser>
          <c:idx val="1"/>
          <c:order val="0"/>
          <c:tx>
            <c:v>Final estimate to use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969696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0.39649125736508356</c:v>
                </c:pt>
                <c:pt idx="1">
                  <c:v>1.458195691971345</c:v>
                </c:pt>
                <c:pt idx="2">
                  <c:v>0.5524993160772864</c:v>
                </c:pt>
                <c:pt idx="3">
                  <c:v>0.20740823627008986</c:v>
                </c:pt>
                <c:pt idx="4">
                  <c:v>0.9824661142538889</c:v>
                </c:pt>
                <c:pt idx="5">
                  <c:v>0.16957409658149972</c:v>
                </c:pt>
                <c:pt idx="6">
                  <c:v>0.19872813539243306</c:v>
                </c:pt>
                <c:pt idx="7">
                  <c:v>0.28946798218472464</c:v>
                </c:pt>
              </c:numLit>
            </c:plus>
            <c:minus>
              <c:numLit>
                <c:ptCount val="8"/>
                <c:pt idx="0">
                  <c:v>0.39649125736508356</c:v>
                </c:pt>
                <c:pt idx="1">
                  <c:v>1.458195691971345</c:v>
                </c:pt>
                <c:pt idx="2">
                  <c:v>0.5524993160772864</c:v>
                </c:pt>
                <c:pt idx="3">
                  <c:v>0.20740823627008986</c:v>
                </c:pt>
                <c:pt idx="4">
                  <c:v>0.9824661142538889</c:v>
                </c:pt>
                <c:pt idx="5">
                  <c:v>0.16957409658149972</c:v>
                </c:pt>
                <c:pt idx="6">
                  <c:v>0.19872813539243306</c:v>
                </c:pt>
                <c:pt idx="7">
                  <c:v>0.28946798218472464</c:v>
                </c:pt>
              </c:numLit>
            </c:minus>
            <c:noEndCap val="1"/>
            <c:spPr>
              <a:ln w="12700">
                <a:solidFill>
                  <a:srgbClr val="969696"/>
                </a:solidFill>
              </a:ln>
            </c:spPr>
          </c:errBars>
          <c:xVal>
            <c:numRef>
              <c:f>'NH4Cl est Content'!$Z$112:$Z$119</c:f>
              <c:numCache/>
            </c:numRef>
          </c:xVal>
          <c:yVal>
            <c:numRef>
              <c:f>'NH4Cl est Content'!$A$142:$A$149</c:f>
              <c:numCache/>
            </c:numRef>
          </c:yVal>
          <c:smooth val="0"/>
        </c:ser>
        <c:axId val="53980384"/>
        <c:axId val="16061409"/>
      </c:scatterChart>
      <c:valAx>
        <c:axId val="5398038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B-layer mean exchangeable Mn (g/m2)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61409"/>
        <c:crosses val="autoZero"/>
        <c:crossBetween val="midCat"/>
        <c:dispUnits/>
        <c:majorUnit val="1"/>
      </c:valAx>
      <c:valAx>
        <c:axId val="1606140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Dummy Dependent Variable
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8038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2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Example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Low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'NH4Cl est Content'!$Z$52:$Z$59</c:f>
              <c:numCache>
                <c:ptCount val="8"/>
                <c:pt idx="0">
                  <c:v>0.6738452719307646</c:v>
                </c:pt>
                <c:pt idx="1">
                  <c:v>2.545498736227897</c:v>
                </c:pt>
                <c:pt idx="2">
                  <c:v>0.9401542198974726</c:v>
                </c:pt>
                <c:pt idx="3">
                  <c:v>0.007827605659528138</c:v>
                </c:pt>
                <c:pt idx="4">
                  <c:v>1.5047494190608712</c:v>
                </c:pt>
                <c:pt idx="5">
                  <c:v>0.2931183204832146</c:v>
                </c:pt>
                <c:pt idx="6">
                  <c:v>0.16912639467897736</c:v>
                </c:pt>
                <c:pt idx="7">
                  <c:v>0.4434882487749746</c:v>
                </c:pt>
              </c:numCache>
            </c:numRef>
          </c:xVal>
          <c:yVal>
            <c:numRef>
              <c:f>'NH4Cl est Content'!$A$142:$A$149</c:f>
              <c:numCache>
                <c:ptCount val="8"/>
                <c:pt idx="0">
                  <c:v>1.4</c:v>
                </c:pt>
                <c:pt idx="1">
                  <c:v>0</c:v>
                </c:pt>
                <c:pt idx="2">
                  <c:v>3.5</c:v>
                </c:pt>
                <c:pt idx="3">
                  <c:v>3.2</c:v>
                </c:pt>
                <c:pt idx="4">
                  <c:v>1.2</c:v>
                </c:pt>
                <c:pt idx="5">
                  <c:v>2.3</c:v>
                </c:pt>
                <c:pt idx="6">
                  <c:v>4</c:v>
                </c:pt>
                <c:pt idx="7">
                  <c:v>2.8</c:v>
                </c:pt>
              </c:numCache>
            </c:numRef>
          </c:yVal>
          <c:smooth val="0"/>
        </c:ser>
        <c:ser>
          <c:idx val="1"/>
          <c:order val="1"/>
          <c:tx>
            <c:v>High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'NH4Cl est Content'!$Z$76:$Z$83</c:f>
              <c:numCache>
                <c:ptCount val="8"/>
                <c:pt idx="0">
                  <c:v>0.6738452719307646</c:v>
                </c:pt>
                <c:pt idx="1">
                  <c:v>2.545498736227897</c:v>
                </c:pt>
                <c:pt idx="2">
                  <c:v>0.9471857206804013</c:v>
                </c:pt>
                <c:pt idx="3">
                  <c:v>0.19542493115323797</c:v>
                </c:pt>
                <c:pt idx="4">
                  <c:v>1.5502082219266418</c:v>
                </c:pt>
                <c:pt idx="5">
                  <c:v>0.2931183204832146</c:v>
                </c:pt>
                <c:pt idx="6">
                  <c:v>0.26326734093654425</c:v>
                </c:pt>
                <c:pt idx="7">
                  <c:v>0.4434882487749746</c:v>
                </c:pt>
              </c:numCache>
            </c:numRef>
          </c:xVal>
          <c:yVal>
            <c:numRef>
              <c:f>'NH4Cl est Content'!$A$142:$A$149</c:f>
              <c:numCache>
                <c:ptCount val="8"/>
                <c:pt idx="0">
                  <c:v>1.4</c:v>
                </c:pt>
                <c:pt idx="1">
                  <c:v>0</c:v>
                </c:pt>
                <c:pt idx="2">
                  <c:v>3.5</c:v>
                </c:pt>
                <c:pt idx="3">
                  <c:v>3.2</c:v>
                </c:pt>
                <c:pt idx="4">
                  <c:v>1.2</c:v>
                </c:pt>
                <c:pt idx="5">
                  <c:v>2.3</c:v>
                </c:pt>
                <c:pt idx="6">
                  <c:v>4</c:v>
                </c:pt>
                <c:pt idx="7">
                  <c:v>2.8</c:v>
                </c:pt>
              </c:numCache>
            </c:numRef>
          </c:yVal>
          <c:smooth val="0"/>
        </c:ser>
        <c:axId val="10334954"/>
        <c:axId val="25905723"/>
      </c:scatterChart>
      <c:valAx>
        <c:axId val="1033495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B-layer mean exchangeable Mn (g/m2)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905723"/>
        <c:crosses val="autoZero"/>
        <c:crossBetween val="midCat"/>
        <c:dispUnits/>
        <c:majorUnit val="1"/>
      </c:valAx>
      <c:valAx>
        <c:axId val="2590572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Dummy Dependent Variable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495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Example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Low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'NH4Cl est Content'!$Z$52:$Z$59</c:f>
              <c:numCache>
                <c:ptCount val="8"/>
                <c:pt idx="0">
                  <c:v>0.6738452719307646</c:v>
                </c:pt>
                <c:pt idx="1">
                  <c:v>2.545498736227897</c:v>
                </c:pt>
                <c:pt idx="2">
                  <c:v>0.9401542198974726</c:v>
                </c:pt>
                <c:pt idx="3">
                  <c:v>0.007827605659528138</c:v>
                </c:pt>
                <c:pt idx="4">
                  <c:v>1.5047494190608712</c:v>
                </c:pt>
                <c:pt idx="5">
                  <c:v>0.2931183204832146</c:v>
                </c:pt>
                <c:pt idx="6">
                  <c:v>0.16912639467897736</c:v>
                </c:pt>
                <c:pt idx="7">
                  <c:v>0.4434882487749746</c:v>
                </c:pt>
              </c:numCache>
            </c:numRef>
          </c:xVal>
          <c:yVal>
            <c:numRef>
              <c:f>'NH4Cl est Content'!$A$142:$A$149</c:f>
              <c:numCache>
                <c:ptCount val="8"/>
                <c:pt idx="0">
                  <c:v>1.4</c:v>
                </c:pt>
                <c:pt idx="1">
                  <c:v>0</c:v>
                </c:pt>
                <c:pt idx="2">
                  <c:v>3.5</c:v>
                </c:pt>
                <c:pt idx="3">
                  <c:v>3.2</c:v>
                </c:pt>
                <c:pt idx="4">
                  <c:v>1.2</c:v>
                </c:pt>
                <c:pt idx="5">
                  <c:v>2.3</c:v>
                </c:pt>
                <c:pt idx="6">
                  <c:v>4</c:v>
                </c:pt>
                <c:pt idx="7">
                  <c:v>2.8</c:v>
                </c:pt>
              </c:numCache>
            </c:numRef>
          </c:yVal>
          <c:smooth val="0"/>
        </c:ser>
        <c:ser>
          <c:idx val="1"/>
          <c:order val="1"/>
          <c:tx>
            <c:v>High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'NH4Cl est Content'!$Z$76:$Z$83</c:f>
              <c:numCache>
                <c:ptCount val="8"/>
                <c:pt idx="0">
                  <c:v>0.6738452719307646</c:v>
                </c:pt>
                <c:pt idx="1">
                  <c:v>2.545498736227897</c:v>
                </c:pt>
                <c:pt idx="2">
                  <c:v>0.9471857206804013</c:v>
                </c:pt>
                <c:pt idx="3">
                  <c:v>0.19542493115323797</c:v>
                </c:pt>
                <c:pt idx="4">
                  <c:v>1.5502082219266418</c:v>
                </c:pt>
                <c:pt idx="5">
                  <c:v>0.2931183204832146</c:v>
                </c:pt>
                <c:pt idx="6">
                  <c:v>0.26326734093654425</c:v>
                </c:pt>
                <c:pt idx="7">
                  <c:v>0.4434882487749746</c:v>
                </c:pt>
              </c:numCache>
            </c:numRef>
          </c:xVal>
          <c:yVal>
            <c:numRef>
              <c:f>'NH4Cl est Content'!$A$142:$A$149</c:f>
              <c:numCache>
                <c:ptCount val="8"/>
                <c:pt idx="0">
                  <c:v>1.4</c:v>
                </c:pt>
                <c:pt idx="1">
                  <c:v>0</c:v>
                </c:pt>
                <c:pt idx="2">
                  <c:v>3.5</c:v>
                </c:pt>
                <c:pt idx="3">
                  <c:v>3.2</c:v>
                </c:pt>
                <c:pt idx="4">
                  <c:v>1.2</c:v>
                </c:pt>
                <c:pt idx="5">
                  <c:v>2.3</c:v>
                </c:pt>
                <c:pt idx="6">
                  <c:v>4</c:v>
                </c:pt>
                <c:pt idx="7">
                  <c:v>2.8</c:v>
                </c:pt>
              </c:numCache>
            </c:numRef>
          </c:yVal>
          <c:smooth val="0"/>
        </c:ser>
        <c:axId val="31824916"/>
        <c:axId val="17988789"/>
      </c:scatterChart>
      <c:valAx>
        <c:axId val="3182491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B-layer mean exchangeable Mn (g/m2)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988789"/>
        <c:crosses val="autoZero"/>
        <c:crossBetween val="midCat"/>
        <c:dispUnits/>
        <c:majorUnit val="1"/>
      </c:valAx>
      <c:valAx>
        <c:axId val="1798878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Dummy Dependent Variable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491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Example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Low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'NH4Cl est Content'!$Z$52:$Z$59</c:f>
              <c:numCache>
                <c:ptCount val="8"/>
                <c:pt idx="0">
                  <c:v>0.6738452719307646</c:v>
                </c:pt>
                <c:pt idx="1">
                  <c:v>2.545498736227897</c:v>
                </c:pt>
                <c:pt idx="2">
                  <c:v>0.9401542198974726</c:v>
                </c:pt>
                <c:pt idx="3">
                  <c:v>0.007827605659528138</c:v>
                </c:pt>
                <c:pt idx="4">
                  <c:v>1.5047494190608712</c:v>
                </c:pt>
                <c:pt idx="5">
                  <c:v>0.2931183204832146</c:v>
                </c:pt>
                <c:pt idx="6">
                  <c:v>0.16912639467897736</c:v>
                </c:pt>
                <c:pt idx="7">
                  <c:v>0.4434882487749746</c:v>
                </c:pt>
              </c:numCache>
            </c:numRef>
          </c:xVal>
          <c:yVal>
            <c:numRef>
              <c:f>'NH4Cl est Content'!$A$142:$A$149</c:f>
              <c:numCache>
                <c:ptCount val="8"/>
                <c:pt idx="0">
                  <c:v>1.4</c:v>
                </c:pt>
                <c:pt idx="1">
                  <c:v>0</c:v>
                </c:pt>
                <c:pt idx="2">
                  <c:v>3.5</c:v>
                </c:pt>
                <c:pt idx="3">
                  <c:v>3.2</c:v>
                </c:pt>
                <c:pt idx="4">
                  <c:v>1.2</c:v>
                </c:pt>
                <c:pt idx="5">
                  <c:v>2.3</c:v>
                </c:pt>
                <c:pt idx="6">
                  <c:v>4</c:v>
                </c:pt>
                <c:pt idx="7">
                  <c:v>2.8</c:v>
                </c:pt>
              </c:numCache>
            </c:numRef>
          </c:yVal>
          <c:smooth val="0"/>
        </c:ser>
        <c:ser>
          <c:idx val="1"/>
          <c:order val="1"/>
          <c:tx>
            <c:v>High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plus>
            <c:minus>
              <c:numRef>
                <c:f>'NH4Cl est Content'!$B$142:$B$149</c:f>
                <c:numCache>
                  <c:ptCount val="8"/>
                  <c:pt idx="0">
                    <c:v>0.27999999999999997</c:v>
                  </c:pt>
                  <c:pt idx="1">
                    <c:v>0</c:v>
                  </c:pt>
                  <c:pt idx="2">
                    <c:v>0.7000000000000001</c:v>
                  </c:pt>
                  <c:pt idx="3">
                    <c:v>0.6400000000000001</c:v>
                  </c:pt>
                  <c:pt idx="4">
                    <c:v>0.24</c:v>
                  </c:pt>
                  <c:pt idx="5">
                    <c:v>0.45999999999999996</c:v>
                  </c:pt>
                  <c:pt idx="6">
                    <c:v>0.8</c:v>
                  </c:pt>
                  <c:pt idx="7">
                    <c:v>0.5599999999999999</c:v>
                  </c:pt>
                </c:numCache>
              </c:numRef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plus>
            <c:minus>
              <c:numLit>
                <c:ptCount val="8"/>
                <c:pt idx="0">
                  <c:v>0.19824562868254178</c:v>
                </c:pt>
                <c:pt idx="1">
                  <c:v>0.7290978459856725</c:v>
                </c:pt>
                <c:pt idx="2">
                  <c:v>0.27449178284291104</c:v>
                </c:pt>
                <c:pt idx="3">
                  <c:v>0.05680478676161748</c:v>
                </c:pt>
                <c:pt idx="4">
                  <c:v>0.4798683564105018</c:v>
                </c:pt>
                <c:pt idx="5">
                  <c:v>0.08478704829074986</c:v>
                </c:pt>
                <c:pt idx="6">
                  <c:v>0.0758288311318248</c:v>
                </c:pt>
                <c:pt idx="7">
                  <c:v>0.14473399109236232</c:v>
                </c:pt>
              </c:numLit>
            </c:minus>
            <c:noEndCap val="1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'NH4Cl est Content'!$Z$76:$Z$83</c:f>
              <c:numCache>
                <c:ptCount val="8"/>
                <c:pt idx="0">
                  <c:v>0.6738452719307646</c:v>
                </c:pt>
                <c:pt idx="1">
                  <c:v>2.545498736227897</c:v>
                </c:pt>
                <c:pt idx="2">
                  <c:v>0.9471857206804013</c:v>
                </c:pt>
                <c:pt idx="3">
                  <c:v>0.19542493115323797</c:v>
                </c:pt>
                <c:pt idx="4">
                  <c:v>1.5502082219266418</c:v>
                </c:pt>
                <c:pt idx="5">
                  <c:v>0.2931183204832146</c:v>
                </c:pt>
                <c:pt idx="6">
                  <c:v>0.26326734093654425</c:v>
                </c:pt>
                <c:pt idx="7">
                  <c:v>0.4434882487749746</c:v>
                </c:pt>
              </c:numCache>
            </c:numRef>
          </c:xVal>
          <c:yVal>
            <c:numRef>
              <c:f>'NH4Cl est Content'!$A$142:$A$149</c:f>
              <c:numCache>
                <c:ptCount val="8"/>
                <c:pt idx="0">
                  <c:v>1.4</c:v>
                </c:pt>
                <c:pt idx="1">
                  <c:v>0</c:v>
                </c:pt>
                <c:pt idx="2">
                  <c:v>3.5</c:v>
                </c:pt>
                <c:pt idx="3">
                  <c:v>3.2</c:v>
                </c:pt>
                <c:pt idx="4">
                  <c:v>1.2</c:v>
                </c:pt>
                <c:pt idx="5">
                  <c:v>2.3</c:v>
                </c:pt>
                <c:pt idx="6">
                  <c:v>4</c:v>
                </c:pt>
                <c:pt idx="7">
                  <c:v>2.8</c:v>
                </c:pt>
              </c:numCache>
            </c:numRef>
          </c:yVal>
          <c:smooth val="0"/>
        </c:ser>
        <c:axId val="27681374"/>
        <c:axId val="47805775"/>
      </c:scatterChart>
      <c:valAx>
        <c:axId val="2768137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B-layer mean exchangeable Mn (g/m2)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805775"/>
        <c:crosses val="autoZero"/>
        <c:crossBetween val="midCat"/>
        <c:dispUnits/>
        <c:majorUnit val="1"/>
      </c:valAx>
      <c:valAx>
        <c:axId val="4780577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Dummy Dependent Variable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8137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139</xdr:row>
      <xdr:rowOff>0</xdr:rowOff>
    </xdr:from>
    <xdr:to>
      <xdr:col>16</xdr:col>
      <xdr:colOff>66675</xdr:colOff>
      <xdr:row>162</xdr:row>
      <xdr:rowOff>104775</xdr:rowOff>
    </xdr:to>
    <xdr:graphicFrame>
      <xdr:nvGraphicFramePr>
        <xdr:cNvPr id="1" name="Chart 5"/>
        <xdr:cNvGraphicFramePr/>
      </xdr:nvGraphicFramePr>
      <xdr:xfrm>
        <a:off x="2276475" y="22679025"/>
        <a:ext cx="5848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109</xdr:row>
      <xdr:rowOff>0</xdr:rowOff>
    </xdr:from>
    <xdr:to>
      <xdr:col>16</xdr:col>
      <xdr:colOff>66675</xdr:colOff>
      <xdr:row>109</xdr:row>
      <xdr:rowOff>0</xdr:rowOff>
    </xdr:to>
    <xdr:graphicFrame>
      <xdr:nvGraphicFramePr>
        <xdr:cNvPr id="2" name="Chart 6"/>
        <xdr:cNvGraphicFramePr/>
      </xdr:nvGraphicFramePr>
      <xdr:xfrm>
        <a:off x="2276475" y="177641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109</xdr:row>
      <xdr:rowOff>0</xdr:rowOff>
    </xdr:from>
    <xdr:to>
      <xdr:col>16</xdr:col>
      <xdr:colOff>66675</xdr:colOff>
      <xdr:row>109</xdr:row>
      <xdr:rowOff>0</xdr:rowOff>
    </xdr:to>
    <xdr:graphicFrame>
      <xdr:nvGraphicFramePr>
        <xdr:cNvPr id="3" name="Chart 7"/>
        <xdr:cNvGraphicFramePr/>
      </xdr:nvGraphicFramePr>
      <xdr:xfrm>
        <a:off x="2276475" y="17764125"/>
        <a:ext cx="5848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139</xdr:row>
      <xdr:rowOff>0</xdr:rowOff>
    </xdr:from>
    <xdr:to>
      <xdr:col>29</xdr:col>
      <xdr:colOff>447675</xdr:colOff>
      <xdr:row>162</xdr:row>
      <xdr:rowOff>114300</xdr:rowOff>
    </xdr:to>
    <xdr:graphicFrame>
      <xdr:nvGraphicFramePr>
        <xdr:cNvPr id="4" name="Chart 8"/>
        <xdr:cNvGraphicFramePr/>
      </xdr:nvGraphicFramePr>
      <xdr:xfrm>
        <a:off x="8629650" y="22679025"/>
        <a:ext cx="58578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109</xdr:row>
      <xdr:rowOff>0</xdr:rowOff>
    </xdr:from>
    <xdr:to>
      <xdr:col>16</xdr:col>
      <xdr:colOff>66675</xdr:colOff>
      <xdr:row>109</xdr:row>
      <xdr:rowOff>0</xdr:rowOff>
    </xdr:to>
    <xdr:graphicFrame>
      <xdr:nvGraphicFramePr>
        <xdr:cNvPr id="1" name="Chart 1"/>
        <xdr:cNvGraphicFramePr/>
      </xdr:nvGraphicFramePr>
      <xdr:xfrm>
        <a:off x="2276475" y="17764125"/>
        <a:ext cx="584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109</xdr:row>
      <xdr:rowOff>0</xdr:rowOff>
    </xdr:from>
    <xdr:to>
      <xdr:col>16</xdr:col>
      <xdr:colOff>66675</xdr:colOff>
      <xdr:row>109</xdr:row>
      <xdr:rowOff>0</xdr:rowOff>
    </xdr:to>
    <xdr:graphicFrame>
      <xdr:nvGraphicFramePr>
        <xdr:cNvPr id="2" name="Chart 3"/>
        <xdr:cNvGraphicFramePr/>
      </xdr:nvGraphicFramePr>
      <xdr:xfrm>
        <a:off x="2276475" y="177641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109</xdr:row>
      <xdr:rowOff>0</xdr:rowOff>
    </xdr:from>
    <xdr:to>
      <xdr:col>16</xdr:col>
      <xdr:colOff>66675</xdr:colOff>
      <xdr:row>109</xdr:row>
      <xdr:rowOff>0</xdr:rowOff>
    </xdr:to>
    <xdr:graphicFrame>
      <xdr:nvGraphicFramePr>
        <xdr:cNvPr id="1" name="Chart 1"/>
        <xdr:cNvGraphicFramePr/>
      </xdr:nvGraphicFramePr>
      <xdr:xfrm>
        <a:off x="2276475" y="17764125"/>
        <a:ext cx="584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61"/>
  <sheetViews>
    <sheetView tabSelected="1" workbookViewId="0" topLeftCell="A1">
      <selection activeCell="A1" sqref="A1"/>
    </sheetView>
  </sheetViews>
  <sheetFormatPr defaultColWidth="8.88671875" defaultRowHeight="15"/>
  <cols>
    <col min="1" max="1" width="17.88671875" style="6" customWidth="1"/>
    <col min="2" max="2" width="113.6640625" style="6" customWidth="1"/>
    <col min="3" max="16384" width="8.88671875" style="6" customWidth="1"/>
  </cols>
  <sheetData>
    <row r="1" spans="1:2" ht="13.5" thickBot="1">
      <c r="A1" s="59" t="s">
        <v>68</v>
      </c>
      <c r="B1" s="59"/>
    </row>
    <row r="2" spans="1:3" ht="27.75" customHeight="1">
      <c r="A2" s="65" t="s">
        <v>60</v>
      </c>
      <c r="B2" s="61" t="s">
        <v>61</v>
      </c>
      <c r="C2" s="58"/>
    </row>
    <row r="3" spans="1:3" ht="15.75" customHeight="1">
      <c r="A3" s="357" t="s">
        <v>43</v>
      </c>
      <c r="B3" s="62" t="s">
        <v>62</v>
      </c>
      <c r="C3" s="58"/>
    </row>
    <row r="4" spans="1:3" ht="15.75" customHeight="1">
      <c r="A4" s="357" t="s">
        <v>10</v>
      </c>
      <c r="B4" s="62" t="s">
        <v>63</v>
      </c>
      <c r="C4" s="58"/>
    </row>
    <row r="5" spans="1:3" ht="15.75" customHeight="1">
      <c r="A5" s="357" t="s">
        <v>9</v>
      </c>
      <c r="B5" s="62" t="s">
        <v>64</v>
      </c>
      <c r="C5" s="58"/>
    </row>
    <row r="6" spans="1:3" ht="15.75" customHeight="1">
      <c r="A6" s="357" t="s">
        <v>18</v>
      </c>
      <c r="B6" s="62" t="s">
        <v>65</v>
      </c>
      <c r="C6" s="58"/>
    </row>
    <row r="7" spans="1:3" ht="15.75" customHeight="1">
      <c r="A7" s="357" t="s">
        <v>6</v>
      </c>
      <c r="B7" s="62" t="s">
        <v>66</v>
      </c>
      <c r="C7" s="58"/>
    </row>
    <row r="8" spans="1:3" ht="17.25" customHeight="1" thickBot="1">
      <c r="A8" s="358" t="s">
        <v>8</v>
      </c>
      <c r="B8" s="63" t="s">
        <v>67</v>
      </c>
      <c r="C8" s="58"/>
    </row>
    <row r="9" spans="1:2" ht="12.75">
      <c r="A9" s="60"/>
      <c r="B9" s="60"/>
    </row>
    <row r="11" ht="12.75">
      <c r="B11" s="64" t="s">
        <v>139</v>
      </c>
    </row>
    <row r="12" ht="12.75">
      <c r="B12" s="6" t="s">
        <v>89</v>
      </c>
    </row>
    <row r="13" ht="12.75">
      <c r="B13" s="6" t="s">
        <v>88</v>
      </c>
    </row>
    <row r="14" ht="12.75">
      <c r="B14" s="6" t="s">
        <v>90</v>
      </c>
    </row>
    <row r="15" ht="12.75">
      <c r="B15" s="6" t="s">
        <v>91</v>
      </c>
    </row>
    <row r="19" ht="12.75">
      <c r="B19" s="64" t="s">
        <v>245</v>
      </c>
    </row>
    <row r="20" ht="12.75">
      <c r="B20" s="6" t="s">
        <v>140</v>
      </c>
    </row>
    <row r="21" ht="12.75">
      <c r="B21" s="6" t="s">
        <v>141</v>
      </c>
    </row>
    <row r="22" ht="12.75">
      <c r="B22" s="6" t="s">
        <v>142</v>
      </c>
    </row>
    <row r="23" ht="12.75">
      <c r="B23" s="6" t="s">
        <v>143</v>
      </c>
    </row>
    <row r="24" ht="12.75">
      <c r="B24" s="6" t="s">
        <v>144</v>
      </c>
    </row>
    <row r="26" ht="12.75">
      <c r="B26" s="6" t="s">
        <v>146</v>
      </c>
    </row>
    <row r="27" ht="12.75">
      <c r="B27" s="6" t="s">
        <v>145</v>
      </c>
    </row>
    <row r="28" ht="12.75">
      <c r="B28" s="6" t="s">
        <v>237</v>
      </c>
    </row>
    <row r="30" ht="12.75">
      <c r="B30" s="6" t="s">
        <v>241</v>
      </c>
    </row>
    <row r="31" ht="12.75">
      <c r="B31" s="6" t="s">
        <v>243</v>
      </c>
    </row>
    <row r="32" ht="12" customHeight="1">
      <c r="B32" s="6" t="s">
        <v>242</v>
      </c>
    </row>
    <row r="34" ht="12.75">
      <c r="B34" s="6" t="s">
        <v>238</v>
      </c>
    </row>
    <row r="35" ht="12.75">
      <c r="B35" s="6" t="s">
        <v>239</v>
      </c>
    </row>
    <row r="36" ht="12.75">
      <c r="B36" s="6" t="s">
        <v>240</v>
      </c>
    </row>
    <row r="38" ht="12.75">
      <c r="B38" s="6" t="s">
        <v>250</v>
      </c>
    </row>
    <row r="39" ht="12.75">
      <c r="B39" s="6" t="s">
        <v>251</v>
      </c>
    </row>
    <row r="41" ht="12.75">
      <c r="B41" s="64" t="s">
        <v>244</v>
      </c>
    </row>
    <row r="42" ht="12.75">
      <c r="B42" s="6" t="s">
        <v>252</v>
      </c>
    </row>
    <row r="44" ht="12.75">
      <c r="B44" s="6" t="s">
        <v>253</v>
      </c>
    </row>
    <row r="45" ht="12.75">
      <c r="B45" s="6" t="s">
        <v>254</v>
      </c>
    </row>
    <row r="46" ht="12.75">
      <c r="B46" s="6" t="s">
        <v>255</v>
      </c>
    </row>
    <row r="47" ht="12.75">
      <c r="B47" s="6" t="s">
        <v>256</v>
      </c>
    </row>
    <row r="48" ht="12.75">
      <c r="B48" s="6" t="s">
        <v>257</v>
      </c>
    </row>
    <row r="49" ht="12.75">
      <c r="B49" s="6" t="s">
        <v>258</v>
      </c>
    </row>
    <row r="50" ht="12.75">
      <c r="B50" s="6" t="s">
        <v>259</v>
      </c>
    </row>
    <row r="52" ht="12.75">
      <c r="A52" s="64" t="s">
        <v>147</v>
      </c>
    </row>
    <row r="53" spans="1:2" ht="12.75">
      <c r="A53" s="7" t="s">
        <v>148</v>
      </c>
      <c r="B53" s="6" t="s">
        <v>149</v>
      </c>
    </row>
    <row r="54" spans="1:2" ht="12.75">
      <c r="A54" s="6" t="s">
        <v>150</v>
      </c>
      <c r="B54" s="6" t="s">
        <v>151</v>
      </c>
    </row>
    <row r="55" spans="1:2" ht="12.75">
      <c r="A55" s="6" t="s">
        <v>154</v>
      </c>
      <c r="B55" s="6" t="s">
        <v>152</v>
      </c>
    </row>
    <row r="56" spans="1:2" ht="12.75">
      <c r="A56" s="6" t="s">
        <v>155</v>
      </c>
      <c r="B56" s="6" t="s">
        <v>153</v>
      </c>
    </row>
    <row r="57" spans="1:2" ht="12.75">
      <c r="A57" s="6" t="s">
        <v>156</v>
      </c>
      <c r="B57" s="6" t="s">
        <v>159</v>
      </c>
    </row>
    <row r="58" spans="1:2" ht="12.75">
      <c r="A58" s="6" t="s">
        <v>157</v>
      </c>
      <c r="B58" s="6" t="s">
        <v>160</v>
      </c>
    </row>
    <row r="59" spans="1:2" ht="12.75">
      <c r="A59" s="6" t="s">
        <v>158</v>
      </c>
      <c r="B59" s="6" t="s">
        <v>161</v>
      </c>
    </row>
    <row r="60" spans="1:2" ht="12.75">
      <c r="A60" s="6" t="s">
        <v>246</v>
      </c>
      <c r="B60" s="6" t="s">
        <v>249</v>
      </c>
    </row>
    <row r="61" spans="1:2" ht="12.75">
      <c r="A61" s="6" t="s">
        <v>247</v>
      </c>
      <c r="B61" s="6" t="s">
        <v>248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U26"/>
  <sheetViews>
    <sheetView workbookViewId="0" topLeftCell="A1">
      <selection activeCell="A2" sqref="A2"/>
    </sheetView>
  </sheetViews>
  <sheetFormatPr defaultColWidth="8.88671875" defaultRowHeight="15"/>
  <cols>
    <col min="1" max="4" width="8.88671875" style="101" customWidth="1"/>
    <col min="5" max="5" width="5.88671875" style="243" customWidth="1"/>
    <col min="6" max="6" width="5.88671875" style="228" customWidth="1"/>
    <col min="7" max="7" width="5.88671875" style="227" customWidth="1"/>
    <col min="8" max="8" width="5.88671875" style="228" customWidth="1"/>
    <col min="9" max="9" width="5.88671875" style="227" customWidth="1"/>
    <col min="10" max="10" width="5.88671875" style="228" customWidth="1"/>
    <col min="11" max="11" width="5.88671875" style="227" customWidth="1"/>
    <col min="12" max="12" width="5.88671875" style="228" customWidth="1"/>
    <col min="13" max="13" width="5.88671875" style="227" customWidth="1"/>
    <col min="14" max="14" width="5.88671875" style="228" customWidth="1"/>
    <col min="15" max="15" width="5.88671875" style="227" customWidth="1"/>
    <col min="16" max="16" width="5.88671875" style="228" customWidth="1"/>
    <col min="17" max="17" width="5.88671875" style="227" customWidth="1"/>
    <col min="18" max="18" width="5.88671875" style="228" customWidth="1"/>
    <col min="19" max="19" width="5.88671875" style="227" customWidth="1"/>
    <col min="20" max="20" width="5.88671875" style="228" customWidth="1"/>
    <col min="21" max="21" width="5.88671875" style="227" customWidth="1"/>
    <col min="22" max="22" width="5.88671875" style="228" customWidth="1"/>
    <col min="23" max="23" width="5.88671875" style="227" customWidth="1"/>
    <col min="24" max="24" width="5.88671875" style="228" customWidth="1"/>
    <col min="25" max="25" width="5.88671875" style="227" customWidth="1"/>
    <col min="26" max="26" width="5.88671875" style="228" customWidth="1"/>
    <col min="27" max="27" width="5.88671875" style="227" customWidth="1"/>
    <col min="28" max="28" width="5.88671875" style="228" customWidth="1"/>
    <col min="29" max="29" width="5.88671875" style="227" customWidth="1"/>
    <col min="30" max="30" width="5.88671875" style="244" customWidth="1"/>
    <col min="31" max="32" width="5.88671875" style="101" customWidth="1"/>
    <col min="33" max="33" width="5.88671875" style="227" customWidth="1"/>
    <col min="34" max="34" width="5.88671875" style="228" customWidth="1"/>
    <col min="35" max="36" width="5.88671875" style="101" customWidth="1"/>
    <col min="37" max="37" width="5.88671875" style="227" customWidth="1"/>
    <col min="38" max="38" width="5.88671875" style="228" customWidth="1"/>
    <col min="39" max="40" width="5.88671875" style="101" customWidth="1"/>
    <col min="41" max="41" width="5.88671875" style="227" customWidth="1"/>
    <col min="42" max="42" width="5.88671875" style="228" customWidth="1"/>
    <col min="43" max="44" width="5.88671875" style="101" customWidth="1"/>
    <col min="45" max="45" width="5.88671875" style="227" customWidth="1"/>
    <col min="46" max="46" width="5.88671875" style="228" customWidth="1"/>
    <col min="47" max="48" width="5.88671875" style="101" customWidth="1"/>
    <col min="49" max="49" width="5.88671875" style="227" customWidth="1"/>
    <col min="50" max="50" width="5.88671875" style="228" customWidth="1"/>
    <col min="51" max="52" width="5.88671875" style="101" customWidth="1"/>
    <col min="53" max="53" width="5.88671875" style="227" customWidth="1"/>
    <col min="54" max="54" width="5.88671875" style="228" customWidth="1"/>
    <col min="55" max="56" width="5.88671875" style="101" customWidth="1"/>
    <col min="57" max="57" width="5.88671875" style="243" customWidth="1"/>
    <col min="58" max="58" width="5.88671875" style="101" customWidth="1"/>
    <col min="59" max="59" width="5.88671875" style="227" customWidth="1"/>
    <col min="60" max="60" width="5.88671875" style="228" customWidth="1"/>
    <col min="61" max="62" width="5.88671875" style="101" customWidth="1"/>
    <col min="63" max="63" width="5.88671875" style="227" customWidth="1"/>
    <col min="64" max="64" width="5.88671875" style="228" customWidth="1"/>
    <col min="65" max="66" width="5.88671875" style="101" customWidth="1"/>
    <col min="67" max="67" width="5.88671875" style="227" customWidth="1"/>
    <col min="68" max="68" width="5.88671875" style="228" customWidth="1"/>
    <col min="69" max="70" width="5.88671875" style="101" customWidth="1"/>
    <col min="71" max="71" width="5.88671875" style="227" customWidth="1"/>
    <col min="72" max="72" width="5.88671875" style="228" customWidth="1"/>
    <col min="73" max="74" width="5.88671875" style="101" customWidth="1"/>
    <col min="75" max="75" width="5.88671875" style="227" customWidth="1"/>
    <col min="76" max="76" width="5.88671875" style="228" customWidth="1"/>
    <col min="77" max="78" width="5.88671875" style="101" customWidth="1"/>
    <col min="79" max="79" width="5.88671875" style="227" customWidth="1"/>
    <col min="80" max="80" width="5.88671875" style="228" customWidth="1"/>
    <col min="81" max="81" width="5.88671875" style="101" customWidth="1"/>
    <col min="82" max="82" width="5.88671875" style="264" customWidth="1"/>
    <col min="83" max="99" width="8.88671875" style="101" customWidth="1"/>
    <col min="100" max="16384" width="8.88671875" style="42" customWidth="1"/>
  </cols>
  <sheetData>
    <row r="1" spans="1:99" s="246" customFormat="1" ht="12.75">
      <c r="A1" s="312" t="s">
        <v>228</v>
      </c>
      <c r="B1" s="238"/>
      <c r="C1" s="238"/>
      <c r="D1" s="238"/>
      <c r="E1" s="235"/>
      <c r="F1" s="236"/>
      <c r="G1" s="237"/>
      <c r="H1" s="236"/>
      <c r="I1" s="237"/>
      <c r="J1" s="236"/>
      <c r="K1" s="237"/>
      <c r="L1" s="236"/>
      <c r="M1" s="237"/>
      <c r="N1" s="236"/>
      <c r="O1" s="237"/>
      <c r="P1" s="236"/>
      <c r="Q1" s="237"/>
      <c r="R1" s="236"/>
      <c r="S1" s="237"/>
      <c r="T1" s="236"/>
      <c r="U1" s="237"/>
      <c r="V1" s="236"/>
      <c r="W1" s="237"/>
      <c r="X1" s="236"/>
      <c r="Y1" s="237"/>
      <c r="Z1" s="236"/>
      <c r="AA1" s="237"/>
      <c r="AB1" s="236"/>
      <c r="AC1" s="237"/>
      <c r="AD1" s="239"/>
      <c r="AE1" s="238"/>
      <c r="AF1" s="238"/>
      <c r="AG1" s="224"/>
      <c r="AH1" s="225"/>
      <c r="AI1" s="238"/>
      <c r="AJ1" s="238"/>
      <c r="AK1" s="224"/>
      <c r="AL1" s="225"/>
      <c r="AM1" s="238"/>
      <c r="AN1" s="238"/>
      <c r="AO1" s="224"/>
      <c r="AP1" s="225"/>
      <c r="AQ1" s="238"/>
      <c r="AR1" s="238"/>
      <c r="AS1" s="224"/>
      <c r="AT1" s="225"/>
      <c r="AU1" s="238"/>
      <c r="AV1" s="238"/>
      <c r="AW1" s="224"/>
      <c r="AX1" s="225"/>
      <c r="AY1" s="238"/>
      <c r="AZ1" s="238"/>
      <c r="BA1" s="224"/>
      <c r="BB1" s="225"/>
      <c r="BC1" s="238"/>
      <c r="BD1" s="238"/>
      <c r="BE1" s="235"/>
      <c r="BF1" s="238"/>
      <c r="BG1" s="237"/>
      <c r="BH1" s="236"/>
      <c r="BI1" s="238"/>
      <c r="BJ1" s="238"/>
      <c r="BK1" s="237"/>
      <c r="BL1" s="236"/>
      <c r="BM1" s="238"/>
      <c r="BN1" s="238"/>
      <c r="BO1" s="237"/>
      <c r="BP1" s="236"/>
      <c r="BQ1" s="238"/>
      <c r="BR1" s="238"/>
      <c r="BS1" s="237"/>
      <c r="BT1" s="236"/>
      <c r="BU1" s="238"/>
      <c r="BV1" s="238"/>
      <c r="BW1" s="237"/>
      <c r="BX1" s="236"/>
      <c r="BY1" s="238"/>
      <c r="BZ1" s="238"/>
      <c r="CA1" s="237"/>
      <c r="CB1" s="236"/>
      <c r="CC1" s="238"/>
      <c r="CD1" s="263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</row>
    <row r="2" spans="1:99" s="247" customFormat="1" ht="12.75">
      <c r="A2" s="243"/>
      <c r="B2" s="101"/>
      <c r="C2" s="101"/>
      <c r="D2" s="101"/>
      <c r="E2" s="359" t="s">
        <v>229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240"/>
      <c r="AE2" s="360" t="s">
        <v>231</v>
      </c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222"/>
      <c r="BE2" s="359" t="s">
        <v>230</v>
      </c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264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</row>
    <row r="3" spans="1:99" s="250" customFormat="1" ht="26.25" thickBot="1">
      <c r="A3" s="217" t="s">
        <v>3</v>
      </c>
      <c r="B3" s="218" t="s">
        <v>211</v>
      </c>
      <c r="C3" s="218" t="s">
        <v>4</v>
      </c>
      <c r="D3" s="248" t="s">
        <v>212</v>
      </c>
      <c r="E3" s="251" t="s">
        <v>75</v>
      </c>
      <c r="F3" s="252" t="s">
        <v>194</v>
      </c>
      <c r="G3" s="253" t="s">
        <v>76</v>
      </c>
      <c r="H3" s="252" t="s">
        <v>195</v>
      </c>
      <c r="I3" s="253" t="s">
        <v>77</v>
      </c>
      <c r="J3" s="252" t="s">
        <v>196</v>
      </c>
      <c r="K3" s="253" t="s">
        <v>78</v>
      </c>
      <c r="L3" s="252" t="s">
        <v>197</v>
      </c>
      <c r="M3" s="253" t="s">
        <v>79</v>
      </c>
      <c r="N3" s="252" t="s">
        <v>198</v>
      </c>
      <c r="O3" s="253" t="s">
        <v>80</v>
      </c>
      <c r="P3" s="252" t="s">
        <v>199</v>
      </c>
      <c r="Q3" s="253" t="s">
        <v>81</v>
      </c>
      <c r="R3" s="252" t="s">
        <v>200</v>
      </c>
      <c r="S3" s="253" t="s">
        <v>82</v>
      </c>
      <c r="T3" s="252" t="s">
        <v>201</v>
      </c>
      <c r="U3" s="253" t="s">
        <v>83</v>
      </c>
      <c r="V3" s="252" t="s">
        <v>202</v>
      </c>
      <c r="W3" s="253" t="s">
        <v>84</v>
      </c>
      <c r="X3" s="252" t="s">
        <v>203</v>
      </c>
      <c r="Y3" s="253" t="s">
        <v>85</v>
      </c>
      <c r="Z3" s="252" t="s">
        <v>204</v>
      </c>
      <c r="AA3" s="253" t="s">
        <v>86</v>
      </c>
      <c r="AB3" s="252" t="s">
        <v>205</v>
      </c>
      <c r="AC3" s="253" t="s">
        <v>87</v>
      </c>
      <c r="AD3" s="254" t="s">
        <v>206</v>
      </c>
      <c r="AE3" s="255" t="s">
        <v>75</v>
      </c>
      <c r="AF3" s="255" t="s">
        <v>194</v>
      </c>
      <c r="AG3" s="253" t="s">
        <v>76</v>
      </c>
      <c r="AH3" s="252" t="s">
        <v>195</v>
      </c>
      <c r="AI3" s="255" t="s">
        <v>77</v>
      </c>
      <c r="AJ3" s="255" t="s">
        <v>196</v>
      </c>
      <c r="AK3" s="253" t="s">
        <v>78</v>
      </c>
      <c r="AL3" s="252" t="s">
        <v>197</v>
      </c>
      <c r="AM3" s="255" t="s">
        <v>79</v>
      </c>
      <c r="AN3" s="255" t="s">
        <v>198</v>
      </c>
      <c r="AO3" s="253" t="s">
        <v>80</v>
      </c>
      <c r="AP3" s="252" t="s">
        <v>199</v>
      </c>
      <c r="AQ3" s="255" t="s">
        <v>81</v>
      </c>
      <c r="AR3" s="255" t="s">
        <v>200</v>
      </c>
      <c r="AS3" s="253" t="s">
        <v>82</v>
      </c>
      <c r="AT3" s="252" t="s">
        <v>201</v>
      </c>
      <c r="AU3" s="255" t="s">
        <v>83</v>
      </c>
      <c r="AV3" s="255" t="s">
        <v>202</v>
      </c>
      <c r="AW3" s="253" t="s">
        <v>84</v>
      </c>
      <c r="AX3" s="252" t="s">
        <v>203</v>
      </c>
      <c r="AY3" s="255" t="s">
        <v>85</v>
      </c>
      <c r="AZ3" s="255" t="s">
        <v>204</v>
      </c>
      <c r="BA3" s="253" t="s">
        <v>86</v>
      </c>
      <c r="BB3" s="252" t="s">
        <v>205</v>
      </c>
      <c r="BC3" s="255" t="s">
        <v>87</v>
      </c>
      <c r="BD3" s="255" t="s">
        <v>206</v>
      </c>
      <c r="BE3" s="251" t="s">
        <v>75</v>
      </c>
      <c r="BF3" s="255" t="s">
        <v>194</v>
      </c>
      <c r="BG3" s="253" t="s">
        <v>76</v>
      </c>
      <c r="BH3" s="252" t="s">
        <v>195</v>
      </c>
      <c r="BI3" s="255" t="s">
        <v>77</v>
      </c>
      <c r="BJ3" s="255" t="s">
        <v>196</v>
      </c>
      <c r="BK3" s="253" t="s">
        <v>78</v>
      </c>
      <c r="BL3" s="252" t="s">
        <v>197</v>
      </c>
      <c r="BM3" s="255" t="s">
        <v>79</v>
      </c>
      <c r="BN3" s="255" t="s">
        <v>198</v>
      </c>
      <c r="BO3" s="253" t="s">
        <v>80</v>
      </c>
      <c r="BP3" s="252" t="s">
        <v>199</v>
      </c>
      <c r="BQ3" s="255" t="s">
        <v>81</v>
      </c>
      <c r="BR3" s="255" t="s">
        <v>200</v>
      </c>
      <c r="BS3" s="253" t="s">
        <v>82</v>
      </c>
      <c r="BT3" s="252" t="s">
        <v>201</v>
      </c>
      <c r="BU3" s="255" t="s">
        <v>83</v>
      </c>
      <c r="BV3" s="255" t="s">
        <v>202</v>
      </c>
      <c r="BW3" s="253" t="s">
        <v>84</v>
      </c>
      <c r="BX3" s="252" t="s">
        <v>203</v>
      </c>
      <c r="BY3" s="255" t="s">
        <v>85</v>
      </c>
      <c r="BZ3" s="255" t="s">
        <v>204</v>
      </c>
      <c r="CA3" s="253" t="s">
        <v>86</v>
      </c>
      <c r="CB3" s="252" t="s">
        <v>205</v>
      </c>
      <c r="CC3" s="255" t="s">
        <v>87</v>
      </c>
      <c r="CD3" s="254" t="s">
        <v>206</v>
      </c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</row>
    <row r="4" spans="1:99" s="245" customFormat="1" ht="12.75">
      <c r="A4" s="35" t="s">
        <v>213</v>
      </c>
      <c r="B4" s="105" t="s">
        <v>214</v>
      </c>
      <c r="C4" s="105" t="s">
        <v>215</v>
      </c>
      <c r="D4" s="223">
        <v>405509.1464363774</v>
      </c>
      <c r="E4" s="219">
        <v>12.354016146559802</v>
      </c>
      <c r="F4" s="226">
        <v>3.721723159865725</v>
      </c>
      <c r="G4" s="229">
        <v>2.150074590427661</v>
      </c>
      <c r="H4" s="226">
        <v>1.7611893456099432</v>
      </c>
      <c r="I4" s="229">
        <v>11.565501697703402</v>
      </c>
      <c r="J4" s="226">
        <v>7.601836102484995</v>
      </c>
      <c r="K4" s="229">
        <v>2.270073396556961</v>
      </c>
      <c r="L4" s="226">
        <v>1.4537472228778465</v>
      </c>
      <c r="M4" s="229">
        <v>9.069223406401234</v>
      </c>
      <c r="N4" s="226">
        <v>1.0597191169289353</v>
      </c>
      <c r="O4" s="229">
        <v>1.2552341418741833</v>
      </c>
      <c r="P4" s="226">
        <v>0.26258643608147253</v>
      </c>
      <c r="Q4" s="229">
        <v>2.183979149096629</v>
      </c>
      <c r="R4" s="226">
        <v>0.6850777091113186</v>
      </c>
      <c r="S4" s="229">
        <v>2.4158120876835087</v>
      </c>
      <c r="T4" s="226">
        <v>0.9507647126349157</v>
      </c>
      <c r="U4" s="229">
        <v>0</v>
      </c>
      <c r="V4" s="226">
        <v>0</v>
      </c>
      <c r="W4" s="233"/>
      <c r="X4" s="234"/>
      <c r="Y4" s="226">
        <v>5.7920083297892075</v>
      </c>
      <c r="Z4" s="226">
        <v>4.03070135197336</v>
      </c>
      <c r="AA4" s="229">
        <v>0.06900247148740594</v>
      </c>
      <c r="AB4" s="226">
        <v>0.03519948056343376</v>
      </c>
      <c r="AC4" s="229">
        <v>0.03925774178054581</v>
      </c>
      <c r="AD4" s="241">
        <v>0.03974894658217043</v>
      </c>
      <c r="AE4" s="221">
        <v>2519.6658788294217</v>
      </c>
      <c r="AF4" s="226">
        <v>1164.726824041955</v>
      </c>
      <c r="AG4" s="229">
        <v>1.3407718523939385</v>
      </c>
      <c r="AH4" s="226">
        <v>0.6823402092296382</v>
      </c>
      <c r="AI4" s="221">
        <v>24.950320559743016</v>
      </c>
      <c r="AJ4" s="226">
        <v>11.845756112793</v>
      </c>
      <c r="AK4" s="229">
        <v>1017.5139830996872</v>
      </c>
      <c r="AL4" s="226">
        <v>179.2191472209265</v>
      </c>
      <c r="AM4" s="221">
        <v>13.716671841008324</v>
      </c>
      <c r="AN4" s="226">
        <v>6.3247095790021906</v>
      </c>
      <c r="AO4" s="229">
        <v>18.89236105336089</v>
      </c>
      <c r="AP4" s="226">
        <v>9.7272263162128</v>
      </c>
      <c r="AQ4" s="221">
        <v>17.317894792115634</v>
      </c>
      <c r="AR4" s="226">
        <v>4.271909756846776</v>
      </c>
      <c r="AS4" s="229">
        <v>3.5752503478815947</v>
      </c>
      <c r="AT4" s="226">
        <v>2.0902463945736267</v>
      </c>
      <c r="AU4" s="221">
        <v>13.19524096729904</v>
      </c>
      <c r="AV4" s="226">
        <v>6.655773086781945</v>
      </c>
      <c r="AW4" s="233"/>
      <c r="AX4" s="234"/>
      <c r="AY4" s="221">
        <v>757.3587387775935</v>
      </c>
      <c r="AZ4" s="226">
        <v>338.52444052459776</v>
      </c>
      <c r="BA4" s="229">
        <v>0.06940589551228796</v>
      </c>
      <c r="BB4" s="226">
        <v>0.008958518625818717</v>
      </c>
      <c r="BC4" s="221">
        <v>37.891269820273756</v>
      </c>
      <c r="BD4" s="226">
        <v>5.427278686030647</v>
      </c>
      <c r="BE4" s="220">
        <v>1613.2596121348315</v>
      </c>
      <c r="BF4" s="226">
        <v>711.677830440422</v>
      </c>
      <c r="BG4" s="229">
        <v>2.2008601483735024</v>
      </c>
      <c r="BH4" s="226">
        <v>0.3922756332617162</v>
      </c>
      <c r="BI4" s="221">
        <v>23.981673538295695</v>
      </c>
      <c r="BJ4" s="226">
        <v>12.563014439688521</v>
      </c>
      <c r="BK4" s="229">
        <v>3660.1103434055403</v>
      </c>
      <c r="BL4" s="226">
        <v>1128.952580322645</v>
      </c>
      <c r="BM4" s="221">
        <v>106.99423671457573</v>
      </c>
      <c r="BN4" s="226">
        <v>33.408281844130954</v>
      </c>
      <c r="BO4" s="229">
        <v>189.23509158656722</v>
      </c>
      <c r="BP4" s="226">
        <v>104.84171378678406</v>
      </c>
      <c r="BQ4" s="221">
        <v>27.674279165596726</v>
      </c>
      <c r="BR4" s="226">
        <v>6.45344066369864</v>
      </c>
      <c r="BS4" s="229">
        <v>7.1235997427828055</v>
      </c>
      <c r="BT4" s="226">
        <v>3.8210875998042053</v>
      </c>
      <c r="BU4" s="221">
        <v>12.271223911865308</v>
      </c>
      <c r="BV4" s="226">
        <v>5.659486336788267</v>
      </c>
      <c r="BW4" s="229">
        <v>5.069116824208071</v>
      </c>
      <c r="BX4" s="226">
        <v>0.8802185651772605</v>
      </c>
      <c r="BY4" s="221">
        <v>29.447776882622946</v>
      </c>
      <c r="BZ4" s="226">
        <v>4.028888659994969</v>
      </c>
      <c r="CA4" s="229">
        <v>0.15871984912856174</v>
      </c>
      <c r="CB4" s="226">
        <v>0.03483843452106706</v>
      </c>
      <c r="CC4" s="221">
        <v>63.11522592874624</v>
      </c>
      <c r="CD4" s="241">
        <v>22.404972003636118</v>
      </c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</row>
    <row r="5" spans="1:99" s="57" customFormat="1" ht="12.75">
      <c r="A5" s="35" t="s">
        <v>216</v>
      </c>
      <c r="B5" s="105" t="s">
        <v>214</v>
      </c>
      <c r="C5" s="105" t="s">
        <v>215</v>
      </c>
      <c r="D5" s="223">
        <v>428130.1480249976</v>
      </c>
      <c r="E5" s="219">
        <v>20.69016416047664</v>
      </c>
      <c r="F5" s="226">
        <v>1.3251902197282155</v>
      </c>
      <c r="G5" s="229">
        <v>2.3943409814890146</v>
      </c>
      <c r="H5" s="226">
        <v>0.10392691719042377</v>
      </c>
      <c r="I5" s="229">
        <v>19.285212826678315</v>
      </c>
      <c r="J5" s="226">
        <v>22.94334749946627</v>
      </c>
      <c r="K5" s="229">
        <v>4.469623804994149</v>
      </c>
      <c r="L5" s="226">
        <v>1.7170240665444563</v>
      </c>
      <c r="M5" s="229">
        <v>9.377739832651844</v>
      </c>
      <c r="N5" s="226">
        <v>3.269015842553422</v>
      </c>
      <c r="O5" s="229">
        <v>1.7779086760567868</v>
      </c>
      <c r="P5" s="226">
        <v>1.468906740274827</v>
      </c>
      <c r="Q5" s="229">
        <v>1.87127436535486</v>
      </c>
      <c r="R5" s="226">
        <v>1.7123555069761283</v>
      </c>
      <c r="S5" s="229">
        <v>4.569766975770451</v>
      </c>
      <c r="T5" s="226">
        <v>2.0931889824721894</v>
      </c>
      <c r="U5" s="229">
        <v>0.014630437776073599</v>
      </c>
      <c r="V5" s="226">
        <v>0.02867565804110425</v>
      </c>
      <c r="W5" s="233"/>
      <c r="X5" s="234"/>
      <c r="Y5" s="226">
        <v>3.7472802604622397</v>
      </c>
      <c r="Z5" s="226">
        <v>2.744076546600408</v>
      </c>
      <c r="AA5" s="229">
        <v>0.10093765308134821</v>
      </c>
      <c r="AB5" s="226">
        <v>0.11416398405965178</v>
      </c>
      <c r="AC5" s="229">
        <v>0.055627199115448556</v>
      </c>
      <c r="AD5" s="241">
        <v>0.054245580874531706</v>
      </c>
      <c r="AE5" s="221">
        <v>2392.1554536955423</v>
      </c>
      <c r="AF5" s="226">
        <v>1723.888566701601</v>
      </c>
      <c r="AG5" s="229">
        <v>1.2983750664577165</v>
      </c>
      <c r="AH5" s="226">
        <v>1.0373622501764608</v>
      </c>
      <c r="AI5" s="221">
        <v>17.37323128001956</v>
      </c>
      <c r="AJ5" s="226">
        <v>20.94461799409236</v>
      </c>
      <c r="AK5" s="229">
        <v>826.9301087549552</v>
      </c>
      <c r="AL5" s="226">
        <v>187.09218317948205</v>
      </c>
      <c r="AM5" s="221">
        <v>12.168450520314881</v>
      </c>
      <c r="AN5" s="226">
        <v>5.710299463762473</v>
      </c>
      <c r="AO5" s="229">
        <v>4.806743014449672</v>
      </c>
      <c r="AP5" s="226">
        <v>3.7375657780778124</v>
      </c>
      <c r="AQ5" s="221">
        <v>30.94807702473306</v>
      </c>
      <c r="AR5" s="226">
        <v>46.3259995489647</v>
      </c>
      <c r="AS5" s="229">
        <v>3.7957106682577537</v>
      </c>
      <c r="AT5" s="226">
        <v>1.2465388904931183</v>
      </c>
      <c r="AU5" s="221">
        <v>8.47642799705536</v>
      </c>
      <c r="AV5" s="226">
        <v>6.2905026043053</v>
      </c>
      <c r="AW5" s="233"/>
      <c r="AX5" s="234"/>
      <c r="AY5" s="221">
        <v>764.1551210838807</v>
      </c>
      <c r="AZ5" s="226">
        <v>603.9172623396018</v>
      </c>
      <c r="BA5" s="229">
        <v>0.04521652532723403</v>
      </c>
      <c r="BB5" s="226">
        <v>0.04247374449501075</v>
      </c>
      <c r="BC5" s="221">
        <v>21.151714229124973</v>
      </c>
      <c r="BD5" s="226">
        <v>9.256389293181018</v>
      </c>
      <c r="BE5" s="220">
        <v>1517.9063593099793</v>
      </c>
      <c r="BF5" s="226">
        <v>672.9404193400924</v>
      </c>
      <c r="BG5" s="229">
        <v>1.69871410685492</v>
      </c>
      <c r="BH5" s="226">
        <v>0.7097805007765386</v>
      </c>
      <c r="BI5" s="221">
        <v>12.741587483231783</v>
      </c>
      <c r="BJ5" s="226">
        <v>6.602790111788833</v>
      </c>
      <c r="BK5" s="229">
        <v>3673.180482693501</v>
      </c>
      <c r="BL5" s="226">
        <v>1912.5140937808865</v>
      </c>
      <c r="BM5" s="221">
        <v>103.1113433892109</v>
      </c>
      <c r="BN5" s="226">
        <v>50.317477745966066</v>
      </c>
      <c r="BO5" s="229">
        <v>78.13987212441852</v>
      </c>
      <c r="BP5" s="226">
        <v>27.344822718992184</v>
      </c>
      <c r="BQ5" s="221">
        <v>23.770426612589034</v>
      </c>
      <c r="BR5" s="226">
        <v>16.159840945273878</v>
      </c>
      <c r="BS5" s="229">
        <v>7.13001626137743</v>
      </c>
      <c r="BT5" s="226">
        <v>1.829015432150208</v>
      </c>
      <c r="BU5" s="221">
        <v>5.50005738339027</v>
      </c>
      <c r="BV5" s="226">
        <v>1.4813142315626717</v>
      </c>
      <c r="BW5" s="229">
        <v>5.002029129136305</v>
      </c>
      <c r="BX5" s="226">
        <v>2.9115386307123914</v>
      </c>
      <c r="BY5" s="221">
        <v>15.488576226661758</v>
      </c>
      <c r="BZ5" s="226">
        <v>7.583757334422656</v>
      </c>
      <c r="CA5" s="229">
        <v>0.15221985339794308</v>
      </c>
      <c r="CB5" s="226">
        <v>0.06568424615846542</v>
      </c>
      <c r="CC5" s="221">
        <v>28.57751822566261</v>
      </c>
      <c r="CD5" s="241">
        <v>13.857526665780831</v>
      </c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</row>
    <row r="6" spans="1:99" s="57" customFormat="1" ht="12.75">
      <c r="A6" s="35" t="s">
        <v>217</v>
      </c>
      <c r="B6" s="105" t="s">
        <v>214</v>
      </c>
      <c r="C6" s="105" t="s">
        <v>215</v>
      </c>
      <c r="D6" s="223">
        <v>534144.5698751864</v>
      </c>
      <c r="E6" s="219">
        <v>19.03278189534727</v>
      </c>
      <c r="F6" s="226">
        <v>9.638785662154335</v>
      </c>
      <c r="G6" s="229">
        <v>1.4286563947771738</v>
      </c>
      <c r="H6" s="226">
        <v>0.5703638542383318</v>
      </c>
      <c r="I6" s="229">
        <v>9.191903839131948</v>
      </c>
      <c r="J6" s="226">
        <v>4.110915308698838</v>
      </c>
      <c r="K6" s="229">
        <v>2.9781493870210576</v>
      </c>
      <c r="L6" s="226">
        <v>0.7934390133209521</v>
      </c>
      <c r="M6" s="229">
        <v>8.736153686395111</v>
      </c>
      <c r="N6" s="226">
        <v>1.822364278090007</v>
      </c>
      <c r="O6" s="229">
        <v>1.1881662717055637</v>
      </c>
      <c r="P6" s="226">
        <v>0.16714394534743676</v>
      </c>
      <c r="Q6" s="229">
        <v>0.913821854145163</v>
      </c>
      <c r="R6" s="226">
        <v>0.6407461627668731</v>
      </c>
      <c r="S6" s="229">
        <v>5.302884760185919</v>
      </c>
      <c r="T6" s="226">
        <v>2.4947990565314773</v>
      </c>
      <c r="U6" s="229">
        <v>0</v>
      </c>
      <c r="V6" s="226">
        <v>0</v>
      </c>
      <c r="W6" s="233"/>
      <c r="X6" s="234"/>
      <c r="Y6" s="226">
        <v>4.236211136530362</v>
      </c>
      <c r="Z6" s="226">
        <v>0.7088155223052914</v>
      </c>
      <c r="AA6" s="229">
        <v>0.0567335962015692</v>
      </c>
      <c r="AB6" s="226">
        <v>0.02214591619333413</v>
      </c>
      <c r="AC6" s="229">
        <v>0.03256780249886986</v>
      </c>
      <c r="AD6" s="241">
        <v>0.009202433961279408</v>
      </c>
      <c r="AE6" s="221">
        <v>3389.0204870175567</v>
      </c>
      <c r="AF6" s="226">
        <v>598.739771874478</v>
      </c>
      <c r="AG6" s="229">
        <v>0.6416156554465392</v>
      </c>
      <c r="AH6" s="226">
        <v>0.32331571157073447</v>
      </c>
      <c r="AI6" s="221">
        <v>8.251061038363106</v>
      </c>
      <c r="AJ6" s="226">
        <v>5.02684667838485</v>
      </c>
      <c r="AK6" s="229">
        <v>1019.7418572096778</v>
      </c>
      <c r="AL6" s="226">
        <v>255.0525343852558</v>
      </c>
      <c r="AM6" s="221">
        <v>11.222498926734172</v>
      </c>
      <c r="AN6" s="226">
        <v>5.240580662193406</v>
      </c>
      <c r="AO6" s="229">
        <v>4.324176832881738</v>
      </c>
      <c r="AP6" s="226">
        <v>2.5348915240819836</v>
      </c>
      <c r="AQ6" s="221">
        <v>8.759520968459874</v>
      </c>
      <c r="AR6" s="226">
        <v>11.320576433920557</v>
      </c>
      <c r="AS6" s="229">
        <v>4.002458452270433</v>
      </c>
      <c r="AT6" s="226">
        <v>1.6445970577383802</v>
      </c>
      <c r="AU6" s="221">
        <v>8.45385996610609</v>
      </c>
      <c r="AV6" s="226">
        <v>6.762112017955458</v>
      </c>
      <c r="AW6" s="233"/>
      <c r="AX6" s="234"/>
      <c r="AY6" s="221">
        <v>1079.9591508943893</v>
      </c>
      <c r="AZ6" s="226">
        <v>273.0515407966816</v>
      </c>
      <c r="BA6" s="229">
        <v>0.027386849334930186</v>
      </c>
      <c r="BB6" s="226">
        <v>0.01024683280059084</v>
      </c>
      <c r="BC6" s="221">
        <v>28.592010974968794</v>
      </c>
      <c r="BD6" s="226">
        <v>12.183305683412636</v>
      </c>
      <c r="BE6" s="220">
        <v>1247.4248147267617</v>
      </c>
      <c r="BF6" s="226">
        <v>527.3276962439434</v>
      </c>
      <c r="BG6" s="229">
        <v>1.1844268165065877</v>
      </c>
      <c r="BH6" s="226">
        <v>0.6011116899102873</v>
      </c>
      <c r="BI6" s="221">
        <v>13.49887320346763</v>
      </c>
      <c r="BJ6" s="226">
        <v>7.177873863496516</v>
      </c>
      <c r="BK6" s="229">
        <v>2866.6738793889576</v>
      </c>
      <c r="BL6" s="226">
        <v>1274.4864308174926</v>
      </c>
      <c r="BM6" s="221">
        <v>62.35308878844399</v>
      </c>
      <c r="BN6" s="226">
        <v>31.097031066760803</v>
      </c>
      <c r="BO6" s="229">
        <v>71.20826550062665</v>
      </c>
      <c r="BP6" s="226">
        <v>32.957659318644176</v>
      </c>
      <c r="BQ6" s="221">
        <v>16.357313967915687</v>
      </c>
      <c r="BR6" s="226">
        <v>6.900527333973949</v>
      </c>
      <c r="BS6" s="229">
        <v>7.457208021161229</v>
      </c>
      <c r="BT6" s="226">
        <v>3.112097630970852</v>
      </c>
      <c r="BU6" s="221">
        <v>12.946755551497317</v>
      </c>
      <c r="BV6" s="226">
        <v>3.0628680887732456</v>
      </c>
      <c r="BW6" s="229">
        <v>2.539850706563344</v>
      </c>
      <c r="BX6" s="226">
        <v>1.7697019569375492</v>
      </c>
      <c r="BY6" s="221">
        <v>17.668505411215605</v>
      </c>
      <c r="BZ6" s="226">
        <v>8.753796052399128</v>
      </c>
      <c r="CA6" s="229">
        <v>0.13772663278889644</v>
      </c>
      <c r="CB6" s="226">
        <v>0.06427866397568813</v>
      </c>
      <c r="CC6" s="221">
        <v>25.848443794931786</v>
      </c>
      <c r="CD6" s="241">
        <v>13.352982123195906</v>
      </c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</row>
    <row r="7" spans="1:99" s="57" customFormat="1" ht="12.75">
      <c r="A7" s="35" t="s">
        <v>218</v>
      </c>
      <c r="B7" s="105" t="s">
        <v>214</v>
      </c>
      <c r="C7" s="105" t="s">
        <v>215</v>
      </c>
      <c r="D7" s="223">
        <v>251510.47546358485</v>
      </c>
      <c r="E7" s="219">
        <v>32.34268337402753</v>
      </c>
      <c r="F7" s="226">
        <v>2.751419259153886</v>
      </c>
      <c r="G7" s="229">
        <v>1.1532404451888574</v>
      </c>
      <c r="H7" s="226">
        <v>1.0629704149879133</v>
      </c>
      <c r="I7" s="229">
        <v>10.399188905906799</v>
      </c>
      <c r="J7" s="226">
        <v>6.594770060316796</v>
      </c>
      <c r="K7" s="229">
        <v>2.493370430958353</v>
      </c>
      <c r="L7" s="226">
        <v>0.2514540459482002</v>
      </c>
      <c r="M7" s="229">
        <v>5.967738230947707</v>
      </c>
      <c r="N7" s="226">
        <v>4.744482155681225</v>
      </c>
      <c r="O7" s="229">
        <v>1.156874623754938</v>
      </c>
      <c r="P7" s="226">
        <v>0.5767810248656211</v>
      </c>
      <c r="Q7" s="229">
        <v>0.6798089343923815</v>
      </c>
      <c r="R7" s="226">
        <v>0.9631915935431216</v>
      </c>
      <c r="S7" s="229">
        <v>3.2218907896595304</v>
      </c>
      <c r="T7" s="226">
        <v>2.687709253638686</v>
      </c>
      <c r="U7" s="229">
        <v>0</v>
      </c>
      <c r="V7" s="226">
        <v>0</v>
      </c>
      <c r="W7" s="233"/>
      <c r="X7" s="234"/>
      <c r="Y7" s="226">
        <v>1.5044433742171943</v>
      </c>
      <c r="Z7" s="226">
        <v>1.0906677403275873</v>
      </c>
      <c r="AA7" s="229">
        <v>0.0790757992174435</v>
      </c>
      <c r="AB7" s="226">
        <v>0.050845868587262505</v>
      </c>
      <c r="AC7" s="229">
        <v>0.022784799448818033</v>
      </c>
      <c r="AD7" s="241">
        <v>0.013309462485138932</v>
      </c>
      <c r="AE7" s="221">
        <v>1816.5540914694448</v>
      </c>
      <c r="AF7" s="226">
        <v>1482.0267444348103</v>
      </c>
      <c r="AG7" s="229">
        <v>0.5313390739177368</v>
      </c>
      <c r="AH7" s="226">
        <v>0.4891849632671803</v>
      </c>
      <c r="AI7" s="221">
        <v>15.828057033513927</v>
      </c>
      <c r="AJ7" s="226">
        <v>25.143081468112406</v>
      </c>
      <c r="AK7" s="229">
        <v>1114.6145630154406</v>
      </c>
      <c r="AL7" s="226">
        <v>832.1302443499554</v>
      </c>
      <c r="AM7" s="221">
        <v>6.222859241127246</v>
      </c>
      <c r="AN7" s="226">
        <v>5.953800086581605</v>
      </c>
      <c r="AO7" s="229">
        <v>6.726231573973726</v>
      </c>
      <c r="AP7" s="226">
        <v>5.852985621910719</v>
      </c>
      <c r="AQ7" s="221">
        <v>5.2621985100178055</v>
      </c>
      <c r="AR7" s="226">
        <v>9.44843958361091</v>
      </c>
      <c r="AS7" s="229">
        <v>2.455807316355928</v>
      </c>
      <c r="AT7" s="226">
        <v>1.8189343885096272</v>
      </c>
      <c r="AU7" s="221">
        <v>9.387177561203409</v>
      </c>
      <c r="AV7" s="226">
        <v>13.516200715720144</v>
      </c>
      <c r="AW7" s="233"/>
      <c r="AX7" s="234"/>
      <c r="AY7" s="221">
        <v>398.5006731854431</v>
      </c>
      <c r="AZ7" s="226">
        <v>362.6548151187318</v>
      </c>
      <c r="BA7" s="229">
        <v>0.026547215590821176</v>
      </c>
      <c r="BB7" s="226">
        <v>0.01850883980621613</v>
      </c>
      <c r="BC7" s="221">
        <v>27.834164792718674</v>
      </c>
      <c r="BD7" s="226">
        <v>17.18046287521312</v>
      </c>
      <c r="BE7" s="220">
        <v>950.716890042449</v>
      </c>
      <c r="BF7" s="226">
        <v>1118.260958064924</v>
      </c>
      <c r="BG7" s="229">
        <v>1.0896644718410828</v>
      </c>
      <c r="BH7" s="226">
        <v>1.3863518267190644</v>
      </c>
      <c r="BI7" s="221">
        <v>9.11717873422828</v>
      </c>
      <c r="BJ7" s="226">
        <v>10.422796813303409</v>
      </c>
      <c r="BK7" s="229">
        <v>3440.322604635397</v>
      </c>
      <c r="BL7" s="226">
        <v>4901.982041268317</v>
      </c>
      <c r="BM7" s="221">
        <v>89.26498833205999</v>
      </c>
      <c r="BN7" s="226">
        <v>133.23153931319177</v>
      </c>
      <c r="BO7" s="229">
        <v>111.56282413364063</v>
      </c>
      <c r="BP7" s="226">
        <v>126.40497553506671</v>
      </c>
      <c r="BQ7" s="221">
        <v>35.96585799523549</v>
      </c>
      <c r="BR7" s="226">
        <v>59.42170269366731</v>
      </c>
      <c r="BS7" s="229">
        <v>4.366549558040747</v>
      </c>
      <c r="BT7" s="226">
        <v>3.992627250564614</v>
      </c>
      <c r="BU7" s="221">
        <v>19.112256061881585</v>
      </c>
      <c r="BV7" s="226">
        <v>26.705022483980663</v>
      </c>
      <c r="BW7" s="229">
        <v>5.998527370453903</v>
      </c>
      <c r="BX7" s="226">
        <v>10.213470382246948</v>
      </c>
      <c r="BY7" s="221">
        <v>15.049209065469853</v>
      </c>
      <c r="BZ7" s="226">
        <v>14.291048799225939</v>
      </c>
      <c r="CA7" s="229">
        <v>0.1009225718507729</v>
      </c>
      <c r="CB7" s="226">
        <v>0.08579518166311904</v>
      </c>
      <c r="CC7" s="221">
        <v>43.48169309254846</v>
      </c>
      <c r="CD7" s="241">
        <v>58.13355830112028</v>
      </c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</row>
    <row r="8" spans="1:99" s="57" customFormat="1" ht="12.75">
      <c r="A8" s="35" t="s">
        <v>219</v>
      </c>
      <c r="B8" s="105" t="s">
        <v>214</v>
      </c>
      <c r="C8" s="105" t="s">
        <v>215</v>
      </c>
      <c r="D8" s="223">
        <v>436379.56150115194</v>
      </c>
      <c r="E8" s="219">
        <v>11.145775664788337</v>
      </c>
      <c r="F8" s="226">
        <v>5.61879766867473</v>
      </c>
      <c r="G8" s="229">
        <v>2.048423874820219</v>
      </c>
      <c r="H8" s="226">
        <v>0.5839259465942664</v>
      </c>
      <c r="I8" s="229">
        <v>28.390625295853713</v>
      </c>
      <c r="J8" s="226">
        <v>28.885782853729346</v>
      </c>
      <c r="K8" s="229">
        <v>2.519128398073461</v>
      </c>
      <c r="L8" s="226">
        <v>2.4014368755811484</v>
      </c>
      <c r="M8" s="229">
        <v>7.027190665396617</v>
      </c>
      <c r="N8" s="226">
        <v>1.858721026565837</v>
      </c>
      <c r="O8" s="229">
        <v>1.5755656239734728</v>
      </c>
      <c r="P8" s="226">
        <v>0.5564645759674871</v>
      </c>
      <c r="Q8" s="229">
        <v>1.5988389298698253</v>
      </c>
      <c r="R8" s="226">
        <v>0.7507204083787248</v>
      </c>
      <c r="S8" s="229">
        <v>5.350426985779355</v>
      </c>
      <c r="T8" s="226">
        <v>2.5685514256450173</v>
      </c>
      <c r="U8" s="229">
        <v>0.14127587550832985</v>
      </c>
      <c r="V8" s="226">
        <v>0.27690071599632654</v>
      </c>
      <c r="W8" s="233"/>
      <c r="X8" s="234"/>
      <c r="Y8" s="226">
        <v>1.7022420264138038</v>
      </c>
      <c r="Z8" s="226">
        <v>2.0267478478384144</v>
      </c>
      <c r="AA8" s="229">
        <v>0.23737311292285093</v>
      </c>
      <c r="AB8" s="226">
        <v>0.24926468051541173</v>
      </c>
      <c r="AC8" s="229">
        <v>0.08677848740671873</v>
      </c>
      <c r="AD8" s="241">
        <v>0.12371654888053177</v>
      </c>
      <c r="AE8" s="221">
        <v>1739.7651039426473</v>
      </c>
      <c r="AF8" s="226">
        <v>1379.8671956447859</v>
      </c>
      <c r="AG8" s="229">
        <v>1.1237990540540541</v>
      </c>
      <c r="AH8" s="226">
        <v>0.5918214408279339</v>
      </c>
      <c r="AI8" s="221">
        <v>66.36859043959431</v>
      </c>
      <c r="AJ8" s="226">
        <v>55.11577668517536</v>
      </c>
      <c r="AK8" s="229">
        <v>1617.2753255540902</v>
      </c>
      <c r="AL8" s="226">
        <v>501.2846209962685</v>
      </c>
      <c r="AM8" s="221">
        <v>11.010242583106125</v>
      </c>
      <c r="AN8" s="226">
        <v>4.435985274203034</v>
      </c>
      <c r="AO8" s="229">
        <v>18.424535407436117</v>
      </c>
      <c r="AP8" s="226">
        <v>19.738792062123824</v>
      </c>
      <c r="AQ8" s="221">
        <v>23.556419561296025</v>
      </c>
      <c r="AR8" s="226">
        <v>21.652847176271784</v>
      </c>
      <c r="AS8" s="229">
        <v>4.929470165228928</v>
      </c>
      <c r="AT8" s="226">
        <v>1.942993731049579</v>
      </c>
      <c r="AU8" s="221">
        <v>41.7180614515948</v>
      </c>
      <c r="AV8" s="226">
        <v>43.16960137954834</v>
      </c>
      <c r="AW8" s="233"/>
      <c r="AX8" s="234"/>
      <c r="AY8" s="221">
        <v>304.9034249990313</v>
      </c>
      <c r="AZ8" s="226">
        <v>223.7143429091227</v>
      </c>
      <c r="BA8" s="229">
        <v>0.1335250096280869</v>
      </c>
      <c r="BB8" s="226">
        <v>0.07387520876652527</v>
      </c>
      <c r="BC8" s="221">
        <v>62.82324473203582</v>
      </c>
      <c r="BD8" s="226">
        <v>29.78375309173254</v>
      </c>
      <c r="BE8" s="220">
        <v>1255.9446830109578</v>
      </c>
      <c r="BF8" s="226">
        <v>636.7741923950068</v>
      </c>
      <c r="BG8" s="229">
        <v>1.8841686193497427</v>
      </c>
      <c r="BH8" s="226">
        <v>1.2597918465300175</v>
      </c>
      <c r="BI8" s="221">
        <v>20.473537070756993</v>
      </c>
      <c r="BJ8" s="226">
        <v>12.033221929498596</v>
      </c>
      <c r="BK8" s="229">
        <v>3537.190904838015</v>
      </c>
      <c r="BL8" s="226">
        <v>1488.7651298319574</v>
      </c>
      <c r="BM8" s="221">
        <v>99.87138714152279</v>
      </c>
      <c r="BN8" s="226">
        <v>72.63564982650024</v>
      </c>
      <c r="BO8" s="229">
        <v>198.10604592702393</v>
      </c>
      <c r="BP8" s="226">
        <v>145.49709381967705</v>
      </c>
      <c r="BQ8" s="221">
        <v>28.44525867354005</v>
      </c>
      <c r="BR8" s="226">
        <v>21.00657033301161</v>
      </c>
      <c r="BS8" s="229">
        <v>8.299918683882643</v>
      </c>
      <c r="BT8" s="226">
        <v>3.7089192579209196</v>
      </c>
      <c r="BU8" s="221">
        <v>23.32967566468946</v>
      </c>
      <c r="BV8" s="226">
        <v>13.08174039835748</v>
      </c>
      <c r="BW8" s="229">
        <v>4.587379549611257</v>
      </c>
      <c r="BX8" s="226">
        <v>1.9960656637419605</v>
      </c>
      <c r="BY8" s="221">
        <v>23.585659483549204</v>
      </c>
      <c r="BZ8" s="226">
        <v>13.754693210292832</v>
      </c>
      <c r="CA8" s="229">
        <v>0.24081071377970723</v>
      </c>
      <c r="CB8" s="226">
        <v>0.11960643315566095</v>
      </c>
      <c r="CC8" s="221">
        <v>66.82609937829282</v>
      </c>
      <c r="CD8" s="241">
        <v>31.71125600887998</v>
      </c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</row>
    <row r="9" spans="1:99" s="57" customFormat="1" ht="12.75">
      <c r="A9" s="35" t="s">
        <v>220</v>
      </c>
      <c r="B9" s="105" t="s">
        <v>214</v>
      </c>
      <c r="C9" s="105" t="s">
        <v>215</v>
      </c>
      <c r="D9" s="223">
        <v>404956.1206563472</v>
      </c>
      <c r="E9" s="219">
        <v>18.823757280662246</v>
      </c>
      <c r="F9" s="226">
        <v>6.812236369776232</v>
      </c>
      <c r="G9" s="229">
        <v>1.4131406360069663</v>
      </c>
      <c r="H9" s="226">
        <v>1.0318881931696295</v>
      </c>
      <c r="I9" s="229">
        <v>12.711632458005814</v>
      </c>
      <c r="J9" s="226">
        <v>5.5490378505331215</v>
      </c>
      <c r="K9" s="229">
        <v>4.619086940732365</v>
      </c>
      <c r="L9" s="226">
        <v>0.6071967488320914</v>
      </c>
      <c r="M9" s="229">
        <v>6.740775484887718</v>
      </c>
      <c r="N9" s="226">
        <v>3.0305027684073185</v>
      </c>
      <c r="O9" s="229">
        <v>1.2837853524216747</v>
      </c>
      <c r="P9" s="226">
        <v>0.41416083293132216</v>
      </c>
      <c r="Q9" s="229">
        <v>6.39547307950627</v>
      </c>
      <c r="R9" s="226">
        <v>5.645146320891123</v>
      </c>
      <c r="S9" s="229">
        <v>5.700079881569917</v>
      </c>
      <c r="T9" s="226">
        <v>1.818001217381273</v>
      </c>
      <c r="U9" s="229">
        <v>0.7219953377287617</v>
      </c>
      <c r="V9" s="226">
        <v>0.4178542990865439</v>
      </c>
      <c r="W9" s="233"/>
      <c r="X9" s="234"/>
      <c r="Y9" s="226">
        <v>2.1675867480296884</v>
      </c>
      <c r="Z9" s="226">
        <v>0.8954424986189078</v>
      </c>
      <c r="AA9" s="229">
        <v>0.07125666349363609</v>
      </c>
      <c r="AB9" s="226">
        <v>0.0303547234434331</v>
      </c>
      <c r="AC9" s="229">
        <v>0.14259810975362605</v>
      </c>
      <c r="AD9" s="241">
        <v>0.07310342242896717</v>
      </c>
      <c r="AE9" s="221">
        <v>2009.5226859642366</v>
      </c>
      <c r="AF9" s="226">
        <v>1179.077558024767</v>
      </c>
      <c r="AG9" s="229">
        <v>1.7536343106638266</v>
      </c>
      <c r="AH9" s="226">
        <v>2.030263438917098</v>
      </c>
      <c r="AI9" s="221">
        <v>109.1853663541309</v>
      </c>
      <c r="AJ9" s="226">
        <v>100.28026456384244</v>
      </c>
      <c r="AK9" s="229">
        <v>1849.3425431613152</v>
      </c>
      <c r="AL9" s="226">
        <v>885.6326066744593</v>
      </c>
      <c r="AM9" s="221">
        <v>15.130895769825058</v>
      </c>
      <c r="AN9" s="226">
        <v>12.666420454714899</v>
      </c>
      <c r="AO9" s="229">
        <v>26.905239785834432</v>
      </c>
      <c r="AP9" s="226">
        <v>26.15839252486098</v>
      </c>
      <c r="AQ9" s="221">
        <v>148.045235230142</v>
      </c>
      <c r="AR9" s="226">
        <v>203.7568177322378</v>
      </c>
      <c r="AS9" s="229">
        <v>4.214451601099895</v>
      </c>
      <c r="AT9" s="226">
        <v>1.4589918582833086</v>
      </c>
      <c r="AU9" s="221">
        <v>76.32395721620925</v>
      </c>
      <c r="AV9" s="226">
        <v>63.01638384235205</v>
      </c>
      <c r="AW9" s="233"/>
      <c r="AX9" s="234"/>
      <c r="AY9" s="221">
        <v>172.45129099235885</v>
      </c>
      <c r="AZ9" s="226">
        <v>84.99574799672253</v>
      </c>
      <c r="BA9" s="229">
        <v>0.1463288691838499</v>
      </c>
      <c r="BB9" s="226">
        <v>0.12009979012007087</v>
      </c>
      <c r="BC9" s="221">
        <v>60.058914354094455</v>
      </c>
      <c r="BD9" s="226">
        <v>27.53824366562419</v>
      </c>
      <c r="BE9" s="220">
        <v>920.2950788133649</v>
      </c>
      <c r="BF9" s="226">
        <v>644.7183940901491</v>
      </c>
      <c r="BG9" s="229">
        <v>1.7058316933896567</v>
      </c>
      <c r="BH9" s="226">
        <v>1.4301711787390778</v>
      </c>
      <c r="BI9" s="221">
        <v>18.70757833705409</v>
      </c>
      <c r="BJ9" s="226">
        <v>12.612116525353544</v>
      </c>
      <c r="BK9" s="229">
        <v>2780.5281855336066</v>
      </c>
      <c r="BL9" s="226">
        <v>1962.3528259048023</v>
      </c>
      <c r="BM9" s="221">
        <v>118.90998591750632</v>
      </c>
      <c r="BN9" s="226">
        <v>108.68251246668939</v>
      </c>
      <c r="BO9" s="229">
        <v>182.83706558612133</v>
      </c>
      <c r="BP9" s="226">
        <v>153.5401465819416</v>
      </c>
      <c r="BQ9" s="221">
        <v>33.85466508752574</v>
      </c>
      <c r="BR9" s="226">
        <v>29.01783228464602</v>
      </c>
      <c r="BS9" s="229">
        <v>6.496598188810406</v>
      </c>
      <c r="BT9" s="226">
        <v>2.889678267195143</v>
      </c>
      <c r="BU9" s="221">
        <v>16.102229995731157</v>
      </c>
      <c r="BV9" s="226">
        <v>8.34215654921537</v>
      </c>
      <c r="BW9" s="229">
        <v>4.973200378189303</v>
      </c>
      <c r="BX9" s="226">
        <v>4.193608618209992</v>
      </c>
      <c r="BY9" s="221">
        <v>21.166476436569262</v>
      </c>
      <c r="BZ9" s="226">
        <v>10.539576006195606</v>
      </c>
      <c r="CA9" s="229">
        <v>0.1850944792701242</v>
      </c>
      <c r="CB9" s="226">
        <v>0.11559573135653721</v>
      </c>
      <c r="CC9" s="221">
        <v>56.81159549439392</v>
      </c>
      <c r="CD9" s="241">
        <v>48.97322357718503</v>
      </c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</row>
    <row r="10" spans="1:99" s="57" customFormat="1" ht="12.75">
      <c r="A10" s="35" t="s">
        <v>221</v>
      </c>
      <c r="B10" s="105" t="s">
        <v>214</v>
      </c>
      <c r="C10" s="105" t="s">
        <v>215</v>
      </c>
      <c r="D10" s="223">
        <v>533086.5909478407</v>
      </c>
      <c r="E10" s="219">
        <v>24.759236127447988</v>
      </c>
      <c r="F10" s="226">
        <v>19.808337363453024</v>
      </c>
      <c r="G10" s="229">
        <v>2.0973764623567774</v>
      </c>
      <c r="H10" s="226">
        <v>1.4042222260947734</v>
      </c>
      <c r="I10" s="229">
        <v>33.17739776540403</v>
      </c>
      <c r="J10" s="226">
        <v>5.2251308331244966</v>
      </c>
      <c r="K10" s="229">
        <v>6.647902369377025</v>
      </c>
      <c r="L10" s="226">
        <v>3.4520782922365436</v>
      </c>
      <c r="M10" s="229">
        <v>11.637746776788326</v>
      </c>
      <c r="N10" s="226">
        <v>7.905238980715109</v>
      </c>
      <c r="O10" s="229">
        <v>1.967886938905209</v>
      </c>
      <c r="P10" s="226">
        <v>0.5323629992267984</v>
      </c>
      <c r="Q10" s="229">
        <v>1.2696806158716332</v>
      </c>
      <c r="R10" s="226">
        <v>1.297342849786423</v>
      </c>
      <c r="S10" s="229">
        <v>4.7256845089953705</v>
      </c>
      <c r="T10" s="226">
        <v>3.412657825225384</v>
      </c>
      <c r="U10" s="229">
        <v>1.1239150308762633</v>
      </c>
      <c r="V10" s="226">
        <v>0.6972172497065163</v>
      </c>
      <c r="W10" s="229">
        <v>0.466942031379252</v>
      </c>
      <c r="X10" s="226">
        <v>0.26840145276405397</v>
      </c>
      <c r="Y10" s="226">
        <v>5.163229990853547</v>
      </c>
      <c r="Z10" s="226">
        <v>4.0524598901912565</v>
      </c>
      <c r="AA10" s="229">
        <v>0.2627133476771144</v>
      </c>
      <c r="AB10" s="226">
        <v>0.10293241883393689</v>
      </c>
      <c r="AC10" s="229">
        <v>0.08998890187480736</v>
      </c>
      <c r="AD10" s="241">
        <v>0.04670230471504468</v>
      </c>
      <c r="AE10" s="221">
        <v>2366.0477328614543</v>
      </c>
      <c r="AF10" s="226">
        <v>3038.720461506811</v>
      </c>
      <c r="AG10" s="229">
        <v>1.4790425727951295</v>
      </c>
      <c r="AH10" s="226">
        <v>1.0775954476757892</v>
      </c>
      <c r="AI10" s="221">
        <v>68.4212798270001</v>
      </c>
      <c r="AJ10" s="226">
        <v>48.126393287347774</v>
      </c>
      <c r="AK10" s="229">
        <v>1811.6559564984182</v>
      </c>
      <c r="AL10" s="226">
        <v>1052.5282874382433</v>
      </c>
      <c r="AM10" s="221">
        <v>24.535056361133556</v>
      </c>
      <c r="AN10" s="226">
        <v>22.62006778139393</v>
      </c>
      <c r="AO10" s="229">
        <v>31.722735987752376</v>
      </c>
      <c r="AP10" s="226">
        <v>35.25405896953679</v>
      </c>
      <c r="AQ10" s="221">
        <v>28.416421858460165</v>
      </c>
      <c r="AR10" s="226">
        <v>27.60462405679572</v>
      </c>
      <c r="AS10" s="229">
        <v>5.684916321055091</v>
      </c>
      <c r="AT10" s="226">
        <v>3.6997814249413277</v>
      </c>
      <c r="AU10" s="221">
        <v>52.27689476847412</v>
      </c>
      <c r="AV10" s="226">
        <v>31.62876901327423</v>
      </c>
      <c r="AW10" s="229">
        <v>0.817674695467212</v>
      </c>
      <c r="AX10" s="226">
        <v>0.5501767583885953</v>
      </c>
      <c r="AY10" s="221">
        <v>762.4688366123235</v>
      </c>
      <c r="AZ10" s="226">
        <v>793.1530761213752</v>
      </c>
      <c r="BA10" s="229">
        <v>0.12473200631016608</v>
      </c>
      <c r="BB10" s="226">
        <v>0.05418045865747686</v>
      </c>
      <c r="BC10" s="221">
        <v>63.38308709396697</v>
      </c>
      <c r="BD10" s="226">
        <v>35.240850474637206</v>
      </c>
      <c r="BE10" s="220">
        <v>971.3092055135177</v>
      </c>
      <c r="BF10" s="226">
        <v>600.8868570038062</v>
      </c>
      <c r="BG10" s="229">
        <v>1.6867720517865994</v>
      </c>
      <c r="BH10" s="226">
        <v>1.1331759398182546</v>
      </c>
      <c r="BI10" s="221">
        <v>14.284409695127868</v>
      </c>
      <c r="BJ10" s="226">
        <v>8.704121743684011</v>
      </c>
      <c r="BK10" s="229">
        <v>3234.3308837495774</v>
      </c>
      <c r="BL10" s="226">
        <v>2280.70365951445</v>
      </c>
      <c r="BM10" s="221">
        <v>130.27663667193673</v>
      </c>
      <c r="BN10" s="226">
        <v>95.62680878705396</v>
      </c>
      <c r="BO10" s="229">
        <v>129.84343180586345</v>
      </c>
      <c r="BP10" s="226">
        <v>59.3039692414965</v>
      </c>
      <c r="BQ10" s="221">
        <v>35.40946500715162</v>
      </c>
      <c r="BR10" s="226">
        <v>29.561743048875023</v>
      </c>
      <c r="BS10" s="229">
        <v>7.335190190016711</v>
      </c>
      <c r="BT10" s="226">
        <v>4.381282278837196</v>
      </c>
      <c r="BU10" s="221">
        <v>27.141419089315335</v>
      </c>
      <c r="BV10" s="226">
        <v>27.59950624735975</v>
      </c>
      <c r="BW10" s="229">
        <v>5.157306766301741</v>
      </c>
      <c r="BX10" s="226">
        <v>2.9421009729185186</v>
      </c>
      <c r="BY10" s="221">
        <v>22.953540886632805</v>
      </c>
      <c r="BZ10" s="226">
        <v>18.90574969592805</v>
      </c>
      <c r="CA10" s="229">
        <v>0.2002162172656735</v>
      </c>
      <c r="CB10" s="226">
        <v>0.07640394160697306</v>
      </c>
      <c r="CC10" s="221">
        <v>36.6169919839703</v>
      </c>
      <c r="CD10" s="241">
        <v>20.871587243249685</v>
      </c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</row>
    <row r="11" spans="1:99" s="57" customFormat="1" ht="12.75">
      <c r="A11" s="35" t="s">
        <v>222</v>
      </c>
      <c r="B11" s="105" t="s">
        <v>214</v>
      </c>
      <c r="C11" s="105" t="s">
        <v>215</v>
      </c>
      <c r="D11" s="223">
        <v>370674.0107746914</v>
      </c>
      <c r="E11" s="219">
        <v>46.05484158989592</v>
      </c>
      <c r="F11" s="226">
        <v>19.582739697432565</v>
      </c>
      <c r="G11" s="229">
        <v>1.8417041563714367</v>
      </c>
      <c r="H11" s="226">
        <v>1.4448149498626222</v>
      </c>
      <c r="I11" s="229">
        <v>22.57263545124397</v>
      </c>
      <c r="J11" s="226">
        <v>13.9603524750751</v>
      </c>
      <c r="K11" s="229">
        <v>7.190013777091647</v>
      </c>
      <c r="L11" s="226">
        <v>2.5464807147387885</v>
      </c>
      <c r="M11" s="229">
        <v>8.352779482381406</v>
      </c>
      <c r="N11" s="226">
        <v>5.121562791855206</v>
      </c>
      <c r="O11" s="229">
        <v>1.5826375775951658</v>
      </c>
      <c r="P11" s="226">
        <v>0.6375569756135792</v>
      </c>
      <c r="Q11" s="229">
        <v>1.5198034177798185</v>
      </c>
      <c r="R11" s="226">
        <v>2.194896652974823</v>
      </c>
      <c r="S11" s="229">
        <v>5.157033026487665</v>
      </c>
      <c r="T11" s="226">
        <v>2.5528216703025217</v>
      </c>
      <c r="U11" s="229">
        <v>0.8238644577996732</v>
      </c>
      <c r="V11" s="226">
        <v>0.23697194798644866</v>
      </c>
      <c r="W11" s="229">
        <v>0.36007812077772616</v>
      </c>
      <c r="X11" s="226">
        <v>0.22153378785648792</v>
      </c>
      <c r="Y11" s="226">
        <v>6.346787973190306</v>
      </c>
      <c r="Z11" s="226">
        <v>4.987152059168961</v>
      </c>
      <c r="AA11" s="229">
        <v>0.1185152118740115</v>
      </c>
      <c r="AB11" s="226">
        <v>0.07124211020115881</v>
      </c>
      <c r="AC11" s="229">
        <v>0.038584966507418765</v>
      </c>
      <c r="AD11" s="241">
        <v>0.016581839969389892</v>
      </c>
      <c r="AE11" s="221">
        <v>3028.8416281293594</v>
      </c>
      <c r="AF11" s="226">
        <v>1865.9718788093573</v>
      </c>
      <c r="AG11" s="229">
        <v>0.7622397282373437</v>
      </c>
      <c r="AH11" s="226">
        <v>0.5362692853072659</v>
      </c>
      <c r="AI11" s="221">
        <v>10.405755183882846</v>
      </c>
      <c r="AJ11" s="226">
        <v>4.388102496520611</v>
      </c>
      <c r="AK11" s="229">
        <v>1108.7628214106694</v>
      </c>
      <c r="AL11" s="226">
        <v>508.37035418833153</v>
      </c>
      <c r="AM11" s="221">
        <v>11.68811470571998</v>
      </c>
      <c r="AN11" s="226">
        <v>9.159287239054457</v>
      </c>
      <c r="AO11" s="229">
        <v>4.424024337850735</v>
      </c>
      <c r="AP11" s="226">
        <v>2.9609119710093466</v>
      </c>
      <c r="AQ11" s="221">
        <v>6.138172693316001</v>
      </c>
      <c r="AR11" s="226">
        <v>6.585939575728941</v>
      </c>
      <c r="AS11" s="229">
        <v>3.3121274627069486</v>
      </c>
      <c r="AT11" s="226">
        <v>1.931935253646401</v>
      </c>
      <c r="AU11" s="221">
        <v>14.23188466830479</v>
      </c>
      <c r="AV11" s="226">
        <v>7.553093686981656</v>
      </c>
      <c r="AW11" s="229">
        <v>0.5782019989149231</v>
      </c>
      <c r="AX11" s="226">
        <v>0.22299991029174054</v>
      </c>
      <c r="AY11" s="221">
        <v>703.771114226458</v>
      </c>
      <c r="AZ11" s="226">
        <v>557.7319437705925</v>
      </c>
      <c r="BA11" s="229">
        <v>0.04137402786959153</v>
      </c>
      <c r="BB11" s="226">
        <v>0.013977800237224296</v>
      </c>
      <c r="BC11" s="221">
        <v>21.84721478241639</v>
      </c>
      <c r="BD11" s="226">
        <v>5.192076788404348</v>
      </c>
      <c r="BE11" s="220">
        <v>1522.603025752409</v>
      </c>
      <c r="BF11" s="226">
        <v>1253.858602852581</v>
      </c>
      <c r="BG11" s="229">
        <v>1.3542929983748906</v>
      </c>
      <c r="BH11" s="226">
        <v>1.003716853972555</v>
      </c>
      <c r="BI11" s="221">
        <v>6.901228731076916</v>
      </c>
      <c r="BJ11" s="226">
        <v>4.29514400103286</v>
      </c>
      <c r="BK11" s="229">
        <v>2930.274290232493</v>
      </c>
      <c r="BL11" s="226">
        <v>1978.2466571349964</v>
      </c>
      <c r="BM11" s="221">
        <v>102.95816038996843</v>
      </c>
      <c r="BN11" s="226">
        <v>72.40891840438863</v>
      </c>
      <c r="BO11" s="229">
        <v>140.40857461842444</v>
      </c>
      <c r="BP11" s="226">
        <v>115.29436237483291</v>
      </c>
      <c r="BQ11" s="221">
        <v>20.60388125281909</v>
      </c>
      <c r="BR11" s="226">
        <v>16.360199567174515</v>
      </c>
      <c r="BS11" s="229">
        <v>5.520796108751725</v>
      </c>
      <c r="BT11" s="226">
        <v>4.108497203516115</v>
      </c>
      <c r="BU11" s="221">
        <v>25.484490215869954</v>
      </c>
      <c r="BV11" s="226">
        <v>14.476875807585253</v>
      </c>
      <c r="BW11" s="229">
        <v>5.41311344998408</v>
      </c>
      <c r="BX11" s="226">
        <v>1.9068387776045959</v>
      </c>
      <c r="BY11" s="221">
        <v>9.887908026420053</v>
      </c>
      <c r="BZ11" s="226">
        <v>6.953076105123408</v>
      </c>
      <c r="CA11" s="229">
        <v>0.1251553224164685</v>
      </c>
      <c r="CB11" s="226">
        <v>0.07624908341911707</v>
      </c>
      <c r="CC11" s="221">
        <v>13.308627534654208</v>
      </c>
      <c r="CD11" s="241">
        <v>4.762082726684764</v>
      </c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</row>
    <row r="12" spans="1:99" s="57" customFormat="1" ht="12.75">
      <c r="A12" s="35" t="s">
        <v>223</v>
      </c>
      <c r="B12" s="105" t="s">
        <v>214</v>
      </c>
      <c r="C12" s="105" t="s">
        <v>215</v>
      </c>
      <c r="D12" s="223">
        <v>370674.0107746914</v>
      </c>
      <c r="E12" s="219">
        <v>46.05484158989592</v>
      </c>
      <c r="F12" s="226">
        <v>19.582739697432565</v>
      </c>
      <c r="G12" s="229">
        <v>1.8417041563714367</v>
      </c>
      <c r="H12" s="226">
        <v>1.4448149498626222</v>
      </c>
      <c r="I12" s="229">
        <v>22.57263545124397</v>
      </c>
      <c r="J12" s="226">
        <v>13.9603524750751</v>
      </c>
      <c r="K12" s="229">
        <v>7.190013777091647</v>
      </c>
      <c r="L12" s="226">
        <v>2.5464807147387885</v>
      </c>
      <c r="M12" s="229">
        <v>8.352779482381406</v>
      </c>
      <c r="N12" s="226">
        <v>5.121562791855206</v>
      </c>
      <c r="O12" s="229">
        <v>1.5826375775951658</v>
      </c>
      <c r="P12" s="226">
        <v>0.6375569756135792</v>
      </c>
      <c r="Q12" s="229">
        <v>1.5198034177798185</v>
      </c>
      <c r="R12" s="226">
        <v>2.194896652974823</v>
      </c>
      <c r="S12" s="229">
        <v>5.157033026487665</v>
      </c>
      <c r="T12" s="226">
        <v>2.5528216703025217</v>
      </c>
      <c r="U12" s="229">
        <v>0.8238644577996732</v>
      </c>
      <c r="V12" s="226">
        <v>0.23697194798644866</v>
      </c>
      <c r="W12" s="229">
        <v>0.36007812077772616</v>
      </c>
      <c r="X12" s="226">
        <v>0.22153378785648792</v>
      </c>
      <c r="Y12" s="226">
        <v>6.346787973190306</v>
      </c>
      <c r="Z12" s="226">
        <v>4.987152059168961</v>
      </c>
      <c r="AA12" s="229">
        <v>0.1185152118740115</v>
      </c>
      <c r="AB12" s="226">
        <v>0.07124211020115881</v>
      </c>
      <c r="AC12" s="229">
        <v>0.038584966507418765</v>
      </c>
      <c r="AD12" s="241">
        <v>0.016581839969389892</v>
      </c>
      <c r="AE12" s="221">
        <v>3028.8416281293594</v>
      </c>
      <c r="AF12" s="226">
        <v>1865.9718788093573</v>
      </c>
      <c r="AG12" s="229">
        <v>0.7622397282373437</v>
      </c>
      <c r="AH12" s="226">
        <v>0.5362692853072659</v>
      </c>
      <c r="AI12" s="221">
        <v>10.405755183882846</v>
      </c>
      <c r="AJ12" s="226">
        <v>4.388102496520611</v>
      </c>
      <c r="AK12" s="229">
        <v>1108.7628214106694</v>
      </c>
      <c r="AL12" s="226">
        <v>508.37035418833153</v>
      </c>
      <c r="AM12" s="221">
        <v>11.68811470571998</v>
      </c>
      <c r="AN12" s="226">
        <v>9.159287239054457</v>
      </c>
      <c r="AO12" s="229">
        <v>4.424024337850735</v>
      </c>
      <c r="AP12" s="226">
        <v>2.9609119710093466</v>
      </c>
      <c r="AQ12" s="221">
        <v>6.138172693316001</v>
      </c>
      <c r="AR12" s="226">
        <v>6.585939575728941</v>
      </c>
      <c r="AS12" s="229">
        <v>3.3121274627069486</v>
      </c>
      <c r="AT12" s="226">
        <v>1.931935253646401</v>
      </c>
      <c r="AU12" s="221">
        <v>14.23188466830479</v>
      </c>
      <c r="AV12" s="226">
        <v>7.553093686981656</v>
      </c>
      <c r="AW12" s="229">
        <v>0.5782019989149231</v>
      </c>
      <c r="AX12" s="226">
        <v>0.22299991029174054</v>
      </c>
      <c r="AY12" s="221">
        <v>703.771114226458</v>
      </c>
      <c r="AZ12" s="226">
        <v>557.7319437705925</v>
      </c>
      <c r="BA12" s="229">
        <v>0.04137402786959153</v>
      </c>
      <c r="BB12" s="226">
        <v>0.013977800237224296</v>
      </c>
      <c r="BC12" s="221">
        <v>21.84721478241639</v>
      </c>
      <c r="BD12" s="226">
        <v>5.192076788404348</v>
      </c>
      <c r="BE12" s="220">
        <v>1522.603025752409</v>
      </c>
      <c r="BF12" s="226">
        <v>1253.858602852581</v>
      </c>
      <c r="BG12" s="229">
        <v>1.3542929983748906</v>
      </c>
      <c r="BH12" s="226">
        <v>1.003716853972555</v>
      </c>
      <c r="BI12" s="221">
        <v>6.901228731076916</v>
      </c>
      <c r="BJ12" s="226">
        <v>4.29514400103286</v>
      </c>
      <c r="BK12" s="229">
        <v>2930.274290232493</v>
      </c>
      <c r="BL12" s="226">
        <v>1978.2466571349964</v>
      </c>
      <c r="BM12" s="221">
        <v>102.95816038996843</v>
      </c>
      <c r="BN12" s="226">
        <v>72.40891840438863</v>
      </c>
      <c r="BO12" s="229">
        <v>140.40857461842444</v>
      </c>
      <c r="BP12" s="226">
        <v>115.29436237483291</v>
      </c>
      <c r="BQ12" s="221">
        <v>20.60388125281909</v>
      </c>
      <c r="BR12" s="226">
        <v>16.360199567174515</v>
      </c>
      <c r="BS12" s="229">
        <v>5.520796108751725</v>
      </c>
      <c r="BT12" s="226">
        <v>4.108497203516115</v>
      </c>
      <c r="BU12" s="221">
        <v>25.484490215869954</v>
      </c>
      <c r="BV12" s="226">
        <v>14.476875807585253</v>
      </c>
      <c r="BW12" s="229">
        <v>5.41311344998408</v>
      </c>
      <c r="BX12" s="226">
        <v>1.9068387776045959</v>
      </c>
      <c r="BY12" s="221">
        <v>9.887908026420053</v>
      </c>
      <c r="BZ12" s="226">
        <v>6.953076105123408</v>
      </c>
      <c r="CA12" s="229">
        <v>0.1251553224164685</v>
      </c>
      <c r="CB12" s="226">
        <v>0.07624908341911707</v>
      </c>
      <c r="CC12" s="221">
        <v>13.308627534654208</v>
      </c>
      <c r="CD12" s="241">
        <v>4.762082726684764</v>
      </c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</row>
    <row r="13" spans="1:99" s="57" customFormat="1" ht="12.75">
      <c r="A13" s="35" t="s">
        <v>224</v>
      </c>
      <c r="B13" s="105" t="s">
        <v>214</v>
      </c>
      <c r="C13" s="105" t="s">
        <v>215</v>
      </c>
      <c r="D13" s="223">
        <v>309370.3915760103</v>
      </c>
      <c r="E13" s="219">
        <v>21.391279872209964</v>
      </c>
      <c r="F13" s="226">
        <v>12.691843836925864</v>
      </c>
      <c r="G13" s="229">
        <v>2.930205166755748</v>
      </c>
      <c r="H13" s="226">
        <v>1.4903964390164268</v>
      </c>
      <c r="I13" s="229">
        <v>27.120237041733855</v>
      </c>
      <c r="J13" s="226">
        <v>31.691138482916386</v>
      </c>
      <c r="K13" s="229">
        <v>3.0695940495706338</v>
      </c>
      <c r="L13" s="226">
        <v>3.329613318044618</v>
      </c>
      <c r="M13" s="229">
        <v>10.825075998895967</v>
      </c>
      <c r="N13" s="226">
        <v>4.324961517087303</v>
      </c>
      <c r="O13" s="229">
        <v>1.6881600019271221</v>
      </c>
      <c r="P13" s="226">
        <v>0.7598506622412793</v>
      </c>
      <c r="Q13" s="229">
        <v>2.8055499761821707</v>
      </c>
      <c r="R13" s="226">
        <v>2.8455793597739465</v>
      </c>
      <c r="S13" s="229">
        <v>4.159438667501287</v>
      </c>
      <c r="T13" s="226">
        <v>2.358160525517231</v>
      </c>
      <c r="U13" s="229">
        <v>0.7305500958794812</v>
      </c>
      <c r="V13" s="226">
        <v>0.43630108386101596</v>
      </c>
      <c r="W13" s="229">
        <v>0.32675091074995893</v>
      </c>
      <c r="X13" s="226">
        <v>0.13894782660706775</v>
      </c>
      <c r="Y13" s="226">
        <v>3.5767103791338286</v>
      </c>
      <c r="Z13" s="226">
        <v>1.6323653617248812</v>
      </c>
      <c r="AA13" s="229">
        <v>0.39329697092658494</v>
      </c>
      <c r="AB13" s="226">
        <v>0.5092529443512914</v>
      </c>
      <c r="AC13" s="229">
        <v>0.03682408467360963</v>
      </c>
      <c r="AD13" s="241">
        <v>0.021831375196899632</v>
      </c>
      <c r="AE13" s="221">
        <v>1951.799584070982</v>
      </c>
      <c r="AF13" s="226">
        <v>869.6405664352227</v>
      </c>
      <c r="AG13" s="229">
        <v>1.6074055714508215</v>
      </c>
      <c r="AH13" s="226">
        <v>0.9898968430135605</v>
      </c>
      <c r="AI13" s="221">
        <v>61.30543029806582</v>
      </c>
      <c r="AJ13" s="226">
        <v>40.007502321544074</v>
      </c>
      <c r="AK13" s="229">
        <v>1440.5516567979032</v>
      </c>
      <c r="AL13" s="226">
        <v>985.1687281216085</v>
      </c>
      <c r="AM13" s="221">
        <v>18.281145672637177</v>
      </c>
      <c r="AN13" s="226">
        <v>8.262407024966334</v>
      </c>
      <c r="AO13" s="229">
        <v>30.61757050542437</v>
      </c>
      <c r="AP13" s="226">
        <v>9.032230766490773</v>
      </c>
      <c r="AQ13" s="221">
        <v>15.73654211040616</v>
      </c>
      <c r="AR13" s="226">
        <v>7.7848489280289295</v>
      </c>
      <c r="AS13" s="229">
        <v>2.7408853997803413</v>
      </c>
      <c r="AT13" s="226">
        <v>1.5543920747916977</v>
      </c>
      <c r="AU13" s="221">
        <v>63.35292538426616</v>
      </c>
      <c r="AV13" s="226">
        <v>35.9313269773262</v>
      </c>
      <c r="AW13" s="229">
        <v>0.4760224578905208</v>
      </c>
      <c r="AX13" s="226">
        <v>0.24522156854379723</v>
      </c>
      <c r="AY13" s="221">
        <v>397.22490475524535</v>
      </c>
      <c r="AZ13" s="226">
        <v>183.44991992136676</v>
      </c>
      <c r="BA13" s="229">
        <v>0.21047520429825411</v>
      </c>
      <c r="BB13" s="226">
        <v>0.17801723332371308</v>
      </c>
      <c r="BC13" s="221">
        <v>44.3317740280306</v>
      </c>
      <c r="BD13" s="226">
        <v>31.952831263460276</v>
      </c>
      <c r="BE13" s="220">
        <v>1903.3813180766583</v>
      </c>
      <c r="BF13" s="226">
        <v>554.9641230925206</v>
      </c>
      <c r="BG13" s="229">
        <v>5.1657604423305274</v>
      </c>
      <c r="BH13" s="226">
        <v>1.4192575270473589</v>
      </c>
      <c r="BI13" s="221">
        <v>14.03167894746875</v>
      </c>
      <c r="BJ13" s="226">
        <v>7.7299022379645494</v>
      </c>
      <c r="BK13" s="229">
        <v>3862.618370281672</v>
      </c>
      <c r="BL13" s="226">
        <v>1254.4070278310292</v>
      </c>
      <c r="BM13" s="221">
        <v>292.08504181251516</v>
      </c>
      <c r="BN13" s="226">
        <v>61.49648307100114</v>
      </c>
      <c r="BO13" s="229">
        <v>575.8809831247771</v>
      </c>
      <c r="BP13" s="226">
        <v>162.53063864091257</v>
      </c>
      <c r="BQ13" s="221">
        <v>27.069880262528617</v>
      </c>
      <c r="BR13" s="226">
        <v>9.677014146852416</v>
      </c>
      <c r="BS13" s="229">
        <v>6.079500496011227</v>
      </c>
      <c r="BT13" s="226">
        <v>1.236718596268096</v>
      </c>
      <c r="BU13" s="221">
        <v>69.88049669177498</v>
      </c>
      <c r="BV13" s="226">
        <v>28.018345461043808</v>
      </c>
      <c r="BW13" s="229">
        <v>5.351403410212284</v>
      </c>
      <c r="BX13" s="226">
        <v>1.1171294725943473</v>
      </c>
      <c r="BY13" s="221">
        <v>22.548191212038944</v>
      </c>
      <c r="BZ13" s="226">
        <v>8.942429849197213</v>
      </c>
      <c r="CA13" s="229">
        <v>0.4421119552625139</v>
      </c>
      <c r="CB13" s="226">
        <v>0.14555693402268916</v>
      </c>
      <c r="CC13" s="221">
        <v>45.5597573510095</v>
      </c>
      <c r="CD13" s="241">
        <v>14.842728269031669</v>
      </c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</row>
    <row r="14" spans="1:99" s="57" customFormat="1" ht="12.75">
      <c r="A14" s="35" t="s">
        <v>225</v>
      </c>
      <c r="B14" s="105" t="s">
        <v>214</v>
      </c>
      <c r="C14" s="105" t="s">
        <v>215</v>
      </c>
      <c r="D14" s="223">
        <v>591048.9850587241</v>
      </c>
      <c r="E14" s="219">
        <v>31.58148788532024</v>
      </c>
      <c r="F14" s="226">
        <v>16.758735765354658</v>
      </c>
      <c r="G14" s="229">
        <v>2.86281882503822</v>
      </c>
      <c r="H14" s="226">
        <v>1.5712737778450654</v>
      </c>
      <c r="I14" s="229">
        <v>14.61663537289329</v>
      </c>
      <c r="J14" s="226">
        <v>5.0730693645629055</v>
      </c>
      <c r="K14" s="229">
        <v>6.812274688241005</v>
      </c>
      <c r="L14" s="226">
        <v>1.9014186226934386</v>
      </c>
      <c r="M14" s="229">
        <v>10.940480838481788</v>
      </c>
      <c r="N14" s="226">
        <v>5.0617855983508075</v>
      </c>
      <c r="O14" s="229">
        <v>1.2792994206471346</v>
      </c>
      <c r="P14" s="226">
        <v>0.2278237636374663</v>
      </c>
      <c r="Q14" s="229">
        <v>0.7843417024740832</v>
      </c>
      <c r="R14" s="226">
        <v>0.4307936285883613</v>
      </c>
      <c r="S14" s="229">
        <v>3.424987400212243</v>
      </c>
      <c r="T14" s="226">
        <v>1.3506697839730768</v>
      </c>
      <c r="U14" s="229">
        <v>1.2990190135613269</v>
      </c>
      <c r="V14" s="226">
        <v>0.6925959710607018</v>
      </c>
      <c r="W14" s="229">
        <v>0.563396623132368</v>
      </c>
      <c r="X14" s="226">
        <v>0.28330871056137313</v>
      </c>
      <c r="Y14" s="226">
        <v>11.286579720907989</v>
      </c>
      <c r="Z14" s="226">
        <v>5.725046515433296</v>
      </c>
      <c r="AA14" s="229">
        <v>0.16118210166837252</v>
      </c>
      <c r="AB14" s="226">
        <v>0.03744024606050077</v>
      </c>
      <c r="AC14" s="229">
        <v>0.11178843291635404</v>
      </c>
      <c r="AD14" s="241">
        <v>0.06244764554583405</v>
      </c>
      <c r="AE14" s="221">
        <v>3940.238636066557</v>
      </c>
      <c r="AF14" s="226">
        <v>1835.8151189301884</v>
      </c>
      <c r="AG14" s="229">
        <v>1.2294846767978114</v>
      </c>
      <c r="AH14" s="226">
        <v>0.6893165434262438</v>
      </c>
      <c r="AI14" s="221">
        <v>21.61355516234385</v>
      </c>
      <c r="AJ14" s="226">
        <v>15.45215146812947</v>
      </c>
      <c r="AK14" s="229">
        <v>1322.809988532278</v>
      </c>
      <c r="AL14" s="226">
        <v>423.24496184973754</v>
      </c>
      <c r="AM14" s="221">
        <v>17.98885788259324</v>
      </c>
      <c r="AN14" s="226">
        <v>9.384817456266607</v>
      </c>
      <c r="AO14" s="229">
        <v>8.835944182477691</v>
      </c>
      <c r="AP14" s="226">
        <v>4.924191253470324</v>
      </c>
      <c r="AQ14" s="221">
        <v>8.29664516778037</v>
      </c>
      <c r="AR14" s="226">
        <v>8.860135384819396</v>
      </c>
      <c r="AS14" s="229">
        <v>5.17208163361296</v>
      </c>
      <c r="AT14" s="226">
        <v>2.771706492351015</v>
      </c>
      <c r="AU14" s="221">
        <v>18.852651172668363</v>
      </c>
      <c r="AV14" s="226">
        <v>6.52499416389297</v>
      </c>
      <c r="AW14" s="229">
        <v>0.9885421733973312</v>
      </c>
      <c r="AX14" s="226">
        <v>0.5407255030913557</v>
      </c>
      <c r="AY14" s="221">
        <v>1289.2209290519882</v>
      </c>
      <c r="AZ14" s="226">
        <v>553.0075270826885</v>
      </c>
      <c r="BA14" s="229">
        <v>0.08258334359227593</v>
      </c>
      <c r="BB14" s="226">
        <v>0.04422156333160777</v>
      </c>
      <c r="BC14" s="221">
        <v>34.52217014598105</v>
      </c>
      <c r="BD14" s="226">
        <v>11.277203688148571</v>
      </c>
      <c r="BE14" s="220">
        <v>1896.3406319887329</v>
      </c>
      <c r="BF14" s="226">
        <v>1395.173495715917</v>
      </c>
      <c r="BG14" s="229">
        <v>2.0331870900630293</v>
      </c>
      <c r="BH14" s="226">
        <v>1.428854803029665</v>
      </c>
      <c r="BI14" s="221">
        <v>15.036993739129644</v>
      </c>
      <c r="BJ14" s="226">
        <v>11.23045278451193</v>
      </c>
      <c r="BK14" s="229">
        <v>3763.91036983015</v>
      </c>
      <c r="BL14" s="226">
        <v>2548.3041785908363</v>
      </c>
      <c r="BM14" s="221">
        <v>135.0394449226272</v>
      </c>
      <c r="BN14" s="226">
        <v>85.69169371031583</v>
      </c>
      <c r="BO14" s="229">
        <v>136.14759268303987</v>
      </c>
      <c r="BP14" s="226">
        <v>95.87346170258428</v>
      </c>
      <c r="BQ14" s="221">
        <v>29.751465709155394</v>
      </c>
      <c r="BR14" s="226">
        <v>21.468989778871325</v>
      </c>
      <c r="BS14" s="229">
        <v>8.908775641422288</v>
      </c>
      <c r="BT14" s="226">
        <v>5.735058423132189</v>
      </c>
      <c r="BU14" s="221">
        <v>33.218001230155785</v>
      </c>
      <c r="BV14" s="226">
        <v>22.6300639302737</v>
      </c>
      <c r="BW14" s="229">
        <v>6.99719858570197</v>
      </c>
      <c r="BX14" s="226">
        <v>4.118854784499671</v>
      </c>
      <c r="BY14" s="221">
        <v>23.570497795950956</v>
      </c>
      <c r="BZ14" s="226">
        <v>18.93477569006635</v>
      </c>
      <c r="CA14" s="229">
        <v>0.19927306010870036</v>
      </c>
      <c r="CB14" s="226">
        <v>0.13866192943631647</v>
      </c>
      <c r="CC14" s="221">
        <v>47.6447901749784</v>
      </c>
      <c r="CD14" s="241">
        <v>28.278217660997953</v>
      </c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</row>
    <row r="15" spans="1:99" s="57" customFormat="1" ht="12.75">
      <c r="A15" s="35" t="s">
        <v>226</v>
      </c>
      <c r="B15" s="105" t="s">
        <v>214</v>
      </c>
      <c r="C15" s="105" t="s">
        <v>215</v>
      </c>
      <c r="D15" s="223">
        <v>524131.6276157725</v>
      </c>
      <c r="E15" s="219">
        <v>21.843546413787877</v>
      </c>
      <c r="F15" s="226">
        <v>15.402854061384852</v>
      </c>
      <c r="G15" s="229">
        <v>1.7973836336470435</v>
      </c>
      <c r="H15" s="226">
        <v>0.45961060603315346</v>
      </c>
      <c r="I15" s="229">
        <v>20.637359588583113</v>
      </c>
      <c r="J15" s="226">
        <v>9.027481409072742</v>
      </c>
      <c r="K15" s="229">
        <v>3.4641810110823705</v>
      </c>
      <c r="L15" s="226">
        <v>2.812448756957581</v>
      </c>
      <c r="M15" s="229">
        <v>10.854421397699374</v>
      </c>
      <c r="N15" s="226">
        <v>5.598702116516292</v>
      </c>
      <c r="O15" s="229">
        <v>1.8415104490358687</v>
      </c>
      <c r="P15" s="226">
        <v>1.0134399862958396</v>
      </c>
      <c r="Q15" s="229">
        <v>2.0005510642632167</v>
      </c>
      <c r="R15" s="226">
        <v>2.113084790807645</v>
      </c>
      <c r="S15" s="229">
        <v>5.370798975393515</v>
      </c>
      <c r="T15" s="226">
        <v>3.4963134397856055</v>
      </c>
      <c r="U15" s="229">
        <v>1.084516998517586</v>
      </c>
      <c r="V15" s="226">
        <v>0.27004759121401956</v>
      </c>
      <c r="W15" s="229">
        <v>0.5050442457225501</v>
      </c>
      <c r="X15" s="226">
        <v>0.028448812186601526</v>
      </c>
      <c r="Y15" s="226">
        <v>5.7942501065650935</v>
      </c>
      <c r="Z15" s="226">
        <v>2.8375784234351302</v>
      </c>
      <c r="AA15" s="229">
        <v>0.13468327336238306</v>
      </c>
      <c r="AB15" s="226">
        <v>0.05765366318593717</v>
      </c>
      <c r="AC15" s="229">
        <v>0.0758643940629229</v>
      </c>
      <c r="AD15" s="241">
        <v>0.04241689114606448</v>
      </c>
      <c r="AE15" s="221">
        <v>2827.342425804522</v>
      </c>
      <c r="AF15" s="226">
        <v>1311.2951433136816</v>
      </c>
      <c r="AG15" s="229">
        <v>1.2756740033594225</v>
      </c>
      <c r="AH15" s="226">
        <v>0.22186770273905673</v>
      </c>
      <c r="AI15" s="221">
        <v>46.92652631393393</v>
      </c>
      <c r="AJ15" s="226">
        <v>9.899135063043824</v>
      </c>
      <c r="AK15" s="229">
        <v>1932.0797300982565</v>
      </c>
      <c r="AL15" s="226">
        <v>1162.6699771023468</v>
      </c>
      <c r="AM15" s="221">
        <v>15.479341327886317</v>
      </c>
      <c r="AN15" s="226">
        <v>4.95290152406035</v>
      </c>
      <c r="AO15" s="229">
        <v>24.112095342589644</v>
      </c>
      <c r="AP15" s="226">
        <v>9.733497581820243</v>
      </c>
      <c r="AQ15" s="221">
        <v>28.005368059102135</v>
      </c>
      <c r="AR15" s="226">
        <v>30.383054693471056</v>
      </c>
      <c r="AS15" s="229">
        <v>4.991278566155789</v>
      </c>
      <c r="AT15" s="226">
        <v>1.2270326064848454</v>
      </c>
      <c r="AU15" s="221">
        <v>39.30255687182615</v>
      </c>
      <c r="AV15" s="226">
        <v>13.715468630131951</v>
      </c>
      <c r="AW15" s="229">
        <v>0.7943549094811255</v>
      </c>
      <c r="AX15" s="226">
        <v>0.23788799933006302</v>
      </c>
      <c r="AY15" s="221">
        <v>714.2303276735861</v>
      </c>
      <c r="AZ15" s="226">
        <v>283.9490839855025</v>
      </c>
      <c r="BA15" s="229">
        <v>0.11931166550803116</v>
      </c>
      <c r="BB15" s="226">
        <v>0.05007616192575495</v>
      </c>
      <c r="BC15" s="221">
        <v>60.339751656715016</v>
      </c>
      <c r="BD15" s="226">
        <v>29.934566205829444</v>
      </c>
      <c r="BE15" s="220">
        <v>1349.3453782183183</v>
      </c>
      <c r="BF15" s="226">
        <v>359.0920053532509</v>
      </c>
      <c r="BG15" s="229">
        <v>1.9389413875939587</v>
      </c>
      <c r="BH15" s="226">
        <v>0.4541931132203573</v>
      </c>
      <c r="BI15" s="221">
        <v>17.032574467752543</v>
      </c>
      <c r="BJ15" s="226">
        <v>9.050914744514024</v>
      </c>
      <c r="BK15" s="229">
        <v>3823.8231149791013</v>
      </c>
      <c r="BL15" s="226">
        <v>970.7361459144222</v>
      </c>
      <c r="BM15" s="221">
        <v>124.81271557850874</v>
      </c>
      <c r="BN15" s="226">
        <v>46.88621086328088</v>
      </c>
      <c r="BO15" s="229">
        <v>220.90474323015306</v>
      </c>
      <c r="BP15" s="226">
        <v>89.5536250732984</v>
      </c>
      <c r="BQ15" s="221">
        <v>38.8184945544455</v>
      </c>
      <c r="BR15" s="226">
        <v>7.4775916837622765</v>
      </c>
      <c r="BS15" s="229">
        <v>7.219724770078734</v>
      </c>
      <c r="BT15" s="226">
        <v>2.0756950720628984</v>
      </c>
      <c r="BU15" s="221">
        <v>48.541720840564004</v>
      </c>
      <c r="BV15" s="226">
        <v>14.386646858841413</v>
      </c>
      <c r="BW15" s="229">
        <v>5.280153116714854</v>
      </c>
      <c r="BX15" s="226">
        <v>2.1984069680060014</v>
      </c>
      <c r="BY15" s="221">
        <v>20.05504719909496</v>
      </c>
      <c r="BZ15" s="226">
        <v>4.734450862548227</v>
      </c>
      <c r="CA15" s="229">
        <v>0.2620673876707127</v>
      </c>
      <c r="CB15" s="226">
        <v>0.06963497113301871</v>
      </c>
      <c r="CC15" s="221">
        <v>59.653191257238255</v>
      </c>
      <c r="CD15" s="241">
        <v>15.12433435581695</v>
      </c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</row>
    <row r="16" spans="1:99" s="57" customFormat="1" ht="12.75">
      <c r="A16" s="35" t="s">
        <v>15</v>
      </c>
      <c r="B16" s="105" t="s">
        <v>214</v>
      </c>
      <c r="C16" s="105" t="s">
        <v>215</v>
      </c>
      <c r="D16" s="223">
        <v>224481.0614188784</v>
      </c>
      <c r="E16" s="219">
        <v>50.94115387539557</v>
      </c>
      <c r="F16" s="226">
        <v>7.3386100618665076</v>
      </c>
      <c r="G16" s="229">
        <v>2.3387637837567716</v>
      </c>
      <c r="H16" s="226">
        <v>0.6432548027094797</v>
      </c>
      <c r="I16" s="229">
        <v>21.339346398352152</v>
      </c>
      <c r="J16" s="226">
        <v>10.660414228141263</v>
      </c>
      <c r="K16" s="229">
        <v>41.440368706734056</v>
      </c>
      <c r="L16" s="226">
        <v>5.66150580041045</v>
      </c>
      <c r="M16" s="229">
        <v>8.144010844816131</v>
      </c>
      <c r="N16" s="226">
        <v>2.839436378723707</v>
      </c>
      <c r="O16" s="229">
        <v>4.692527526697247</v>
      </c>
      <c r="P16" s="226">
        <v>2.528708869291772</v>
      </c>
      <c r="Q16" s="229">
        <v>0.5038369642992864</v>
      </c>
      <c r="R16" s="226">
        <v>0.19607496587425055</v>
      </c>
      <c r="S16" s="229">
        <v>2.4679982406750565</v>
      </c>
      <c r="T16" s="226">
        <v>0.07532789394461895</v>
      </c>
      <c r="U16" s="229">
        <v>1.1056710659277211</v>
      </c>
      <c r="V16" s="226">
        <v>0.15321246140857123</v>
      </c>
      <c r="W16" s="229">
        <v>0.28302317556218304</v>
      </c>
      <c r="X16" s="226">
        <v>0.04587097086122568</v>
      </c>
      <c r="Y16" s="226">
        <v>6.578844086918428</v>
      </c>
      <c r="Z16" s="226">
        <v>4.766587167509052</v>
      </c>
      <c r="AA16" s="229">
        <v>0.41352392724025644</v>
      </c>
      <c r="AB16" s="226">
        <v>0.168399579500136</v>
      </c>
      <c r="AC16" s="229">
        <v>1.6685846881231956</v>
      </c>
      <c r="AD16" s="241">
        <v>0.544920499465758</v>
      </c>
      <c r="AE16" s="221">
        <v>1217.6072465690604</v>
      </c>
      <c r="AF16" s="226">
        <v>595.377301101833</v>
      </c>
      <c r="AG16" s="229">
        <v>1.644537163932643</v>
      </c>
      <c r="AH16" s="226">
        <v>0.2830747595818483</v>
      </c>
      <c r="AI16" s="221">
        <v>117.23595086505571</v>
      </c>
      <c r="AJ16" s="226">
        <v>54.16655046257396</v>
      </c>
      <c r="AK16" s="229">
        <v>1683.9223404365064</v>
      </c>
      <c r="AL16" s="226">
        <v>369.5829195064181</v>
      </c>
      <c r="AM16" s="221">
        <v>14.40996270564012</v>
      </c>
      <c r="AN16" s="226">
        <v>5.238623948074743</v>
      </c>
      <c r="AO16" s="229">
        <v>68.44698707780893</v>
      </c>
      <c r="AP16" s="226">
        <v>20.117978140986995</v>
      </c>
      <c r="AQ16" s="221">
        <v>5.178671785617839</v>
      </c>
      <c r="AR16" s="226">
        <v>1.4052918289230758</v>
      </c>
      <c r="AS16" s="229">
        <v>3.1899928686506023</v>
      </c>
      <c r="AT16" s="226">
        <v>1.020735537799265</v>
      </c>
      <c r="AU16" s="221">
        <v>74.90668865092883</v>
      </c>
      <c r="AV16" s="226">
        <v>21.87559875136044</v>
      </c>
      <c r="AW16" s="229">
        <v>0.7286477288232951</v>
      </c>
      <c r="AX16" s="226">
        <v>0.16215892548519467</v>
      </c>
      <c r="AY16" s="221">
        <v>294.3485970289098</v>
      </c>
      <c r="AZ16" s="226">
        <v>57.06452538307407</v>
      </c>
      <c r="BA16" s="229">
        <v>0.37519288406443174</v>
      </c>
      <c r="BB16" s="226">
        <v>0.13732548210480752</v>
      </c>
      <c r="BC16" s="221">
        <v>76.95590452966255</v>
      </c>
      <c r="BD16" s="226">
        <v>8.746800806356086</v>
      </c>
      <c r="BE16" s="220">
        <v>663.0192879606781</v>
      </c>
      <c r="BF16" s="226">
        <v>40.48910245682204</v>
      </c>
      <c r="BG16" s="229">
        <v>2.8351728991262526</v>
      </c>
      <c r="BH16" s="226">
        <v>0.511785776240753</v>
      </c>
      <c r="BI16" s="221">
        <v>13.32365215899645</v>
      </c>
      <c r="BJ16" s="226">
        <v>2.4992867191306094</v>
      </c>
      <c r="BK16" s="229">
        <v>1236.3765636575715</v>
      </c>
      <c r="BL16" s="226">
        <v>188.88826165143658</v>
      </c>
      <c r="BM16" s="221">
        <v>114.93660943061916</v>
      </c>
      <c r="BN16" s="226">
        <v>35.705933175241285</v>
      </c>
      <c r="BO16" s="229">
        <v>195.44574739736026</v>
      </c>
      <c r="BP16" s="226">
        <v>28.738956024727674</v>
      </c>
      <c r="BQ16" s="221">
        <v>10.260120466586569</v>
      </c>
      <c r="BR16" s="226">
        <v>1.3760536938149512</v>
      </c>
      <c r="BS16" s="229">
        <v>3.3998073064802816</v>
      </c>
      <c r="BT16" s="226">
        <v>0.629817930215449</v>
      </c>
      <c r="BU16" s="221">
        <v>21.186553989884633</v>
      </c>
      <c r="BV16" s="226">
        <v>9.58375264451852</v>
      </c>
      <c r="BW16" s="229">
        <v>1.878260249069756</v>
      </c>
      <c r="BX16" s="226">
        <v>0.5907833509368824</v>
      </c>
      <c r="BY16" s="221">
        <v>14.586623633418114</v>
      </c>
      <c r="BZ16" s="226">
        <v>9.875738116762069</v>
      </c>
      <c r="CA16" s="229">
        <v>0.14053312026538475</v>
      </c>
      <c r="CB16" s="226">
        <v>0.019213049659344318</v>
      </c>
      <c r="CC16" s="221">
        <v>39.31102521862864</v>
      </c>
      <c r="CD16" s="241">
        <v>2.335937281129132</v>
      </c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</row>
    <row r="17" spans="1:99" s="266" customFormat="1" ht="12.75">
      <c r="A17" s="35" t="s">
        <v>227</v>
      </c>
      <c r="B17" s="105" t="s">
        <v>214</v>
      </c>
      <c r="C17" s="105" t="s">
        <v>215</v>
      </c>
      <c r="D17" s="223">
        <v>628031.8852991484</v>
      </c>
      <c r="E17" s="219">
        <v>32.503928437881704</v>
      </c>
      <c r="F17" s="226">
        <v>25.18952591372538</v>
      </c>
      <c r="G17" s="229">
        <v>10.696707200043365</v>
      </c>
      <c r="H17" s="226">
        <v>12.137146954907418</v>
      </c>
      <c r="I17" s="229">
        <v>116.06130650212286</v>
      </c>
      <c r="J17" s="226">
        <v>137.5557796232429</v>
      </c>
      <c r="K17" s="229">
        <v>29.78628648968886</v>
      </c>
      <c r="L17" s="226">
        <v>43.87749348241602</v>
      </c>
      <c r="M17" s="229">
        <v>21.126209436149235</v>
      </c>
      <c r="N17" s="226">
        <v>19.45443102095222</v>
      </c>
      <c r="O17" s="229">
        <v>22.95832293050056</v>
      </c>
      <c r="P17" s="226">
        <v>34.44479389546936</v>
      </c>
      <c r="Q17" s="229">
        <v>1.5852608273630995</v>
      </c>
      <c r="R17" s="226">
        <v>1.8386384598766943</v>
      </c>
      <c r="S17" s="229">
        <v>5.756301376640159</v>
      </c>
      <c r="T17" s="226">
        <v>3.853412404881316</v>
      </c>
      <c r="U17" s="229">
        <v>2.8449422705753427</v>
      </c>
      <c r="V17" s="226">
        <v>3.1022141804456305</v>
      </c>
      <c r="W17" s="229">
        <v>0.4650337612467355</v>
      </c>
      <c r="X17" s="226">
        <v>0.2608057296554322</v>
      </c>
      <c r="Y17" s="226">
        <v>25.141551158488966</v>
      </c>
      <c r="Z17" s="226">
        <v>29.060439516719295</v>
      </c>
      <c r="AA17" s="229">
        <v>1.642088506996391</v>
      </c>
      <c r="AB17" s="226">
        <v>2.0138237886933945</v>
      </c>
      <c r="AC17" s="229">
        <v>1.1459974634723087</v>
      </c>
      <c r="AD17" s="241">
        <v>1.7870811521178438</v>
      </c>
      <c r="AE17" s="221">
        <v>2544.6049179573474</v>
      </c>
      <c r="AF17" s="226">
        <v>2947.079458183734</v>
      </c>
      <c r="AG17" s="229">
        <v>3.596151279006434</v>
      </c>
      <c r="AH17" s="226">
        <v>3.885723812804381</v>
      </c>
      <c r="AI17" s="221">
        <v>406.35660417732555</v>
      </c>
      <c r="AJ17" s="226">
        <v>719.6231758704197</v>
      </c>
      <c r="AK17" s="229">
        <v>1555.5968566808974</v>
      </c>
      <c r="AL17" s="226">
        <v>1128.2588782648504</v>
      </c>
      <c r="AM17" s="221">
        <v>75.14359265584709</v>
      </c>
      <c r="AN17" s="226">
        <v>111.41185211388405</v>
      </c>
      <c r="AO17" s="229">
        <v>150.22199883240052</v>
      </c>
      <c r="AP17" s="226">
        <v>240.60559999011807</v>
      </c>
      <c r="AQ17" s="221">
        <v>40.527449087914164</v>
      </c>
      <c r="AR17" s="226">
        <v>70.50708096122823</v>
      </c>
      <c r="AS17" s="229">
        <v>9.160464821802108</v>
      </c>
      <c r="AT17" s="226">
        <v>8.71300728854355</v>
      </c>
      <c r="AU17" s="221">
        <v>169.51120779364135</v>
      </c>
      <c r="AV17" s="226">
        <v>276.1177835318559</v>
      </c>
      <c r="AW17" s="229">
        <v>1.5134376159482064</v>
      </c>
      <c r="AX17" s="226">
        <v>1.2106949731628014</v>
      </c>
      <c r="AY17" s="221">
        <v>1051.8619704169935</v>
      </c>
      <c r="AZ17" s="226">
        <v>902.8351005154135</v>
      </c>
      <c r="BA17" s="229">
        <v>0.6883865305329103</v>
      </c>
      <c r="BB17" s="226">
        <v>1.008406474162255</v>
      </c>
      <c r="BC17" s="221">
        <v>69.68604036949749</v>
      </c>
      <c r="BD17" s="226">
        <v>46.34403675708409</v>
      </c>
      <c r="BE17" s="220">
        <v>2820.627261692236</v>
      </c>
      <c r="BF17" s="226">
        <v>2073.443583966707</v>
      </c>
      <c r="BG17" s="229">
        <v>8.77637102843789</v>
      </c>
      <c r="BH17" s="226">
        <v>11.344157283196296</v>
      </c>
      <c r="BI17" s="221">
        <v>49.4911977373877</v>
      </c>
      <c r="BJ17" s="226">
        <v>62.82555849005601</v>
      </c>
      <c r="BK17" s="229">
        <v>4878.050008248334</v>
      </c>
      <c r="BL17" s="226">
        <v>3551.482185767198</v>
      </c>
      <c r="BM17" s="221">
        <v>547.0154328614923</v>
      </c>
      <c r="BN17" s="226">
        <v>751.3751818113637</v>
      </c>
      <c r="BO17" s="229">
        <v>714.693575102811</v>
      </c>
      <c r="BP17" s="226">
        <v>954.9970105337496</v>
      </c>
      <c r="BQ17" s="221">
        <v>40.310916904248835</v>
      </c>
      <c r="BR17" s="226">
        <v>33.335299142870475</v>
      </c>
      <c r="BS17" s="229">
        <v>15.679944798812235</v>
      </c>
      <c r="BT17" s="226">
        <v>14.95995707613303</v>
      </c>
      <c r="BU17" s="221">
        <v>43.086792931068395</v>
      </c>
      <c r="BV17" s="226">
        <v>31.656571464627195</v>
      </c>
      <c r="BW17" s="229">
        <v>8.188475753406456</v>
      </c>
      <c r="BX17" s="226">
        <v>5.960554081043757</v>
      </c>
      <c r="BY17" s="221">
        <v>37.792934806893435</v>
      </c>
      <c r="BZ17" s="226">
        <v>30.45466094775062</v>
      </c>
      <c r="CA17" s="229">
        <v>0.38306470367378886</v>
      </c>
      <c r="CB17" s="226">
        <v>0.32490670150431517</v>
      </c>
      <c r="CC17" s="221">
        <v>118.11336178955685</v>
      </c>
      <c r="CD17" s="241">
        <v>127.15030400059827</v>
      </c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</row>
    <row r="18" spans="1:83" s="288" customFormat="1" ht="12.75">
      <c r="A18" s="268">
        <v>101</v>
      </c>
      <c r="B18" s="269" t="s">
        <v>232</v>
      </c>
      <c r="C18" s="269" t="s">
        <v>215</v>
      </c>
      <c r="D18" s="270"/>
      <c r="E18" s="271">
        <v>32.429293403937436</v>
      </c>
      <c r="F18" s="272">
        <v>19.081429896134193</v>
      </c>
      <c r="G18" s="273">
        <v>2.1180843939606606</v>
      </c>
      <c r="H18" s="272">
        <v>1.2462830556939937</v>
      </c>
      <c r="I18" s="273">
        <v>5.157432021980078</v>
      </c>
      <c r="J18" s="272">
        <v>3.034638354455845</v>
      </c>
      <c r="K18" s="273">
        <v>12.913328373918446</v>
      </c>
      <c r="L18" s="272">
        <v>7.598215817516637</v>
      </c>
      <c r="M18" s="273">
        <v>11.249890170427538</v>
      </c>
      <c r="N18" s="272">
        <v>6.6194470521568185</v>
      </c>
      <c r="O18" s="273">
        <v>2.169088187311788</v>
      </c>
      <c r="P18" s="272">
        <v>1.2762937406368944</v>
      </c>
      <c r="Q18" s="273">
        <v>0.6738452719307646</v>
      </c>
      <c r="R18" s="272">
        <v>0.39649125736508356</v>
      </c>
      <c r="S18" s="273">
        <v>1.4937398666971289</v>
      </c>
      <c r="T18" s="272">
        <v>0.8789180878662443</v>
      </c>
      <c r="U18" s="274"/>
      <c r="V18" s="275"/>
      <c r="W18" s="273">
        <v>2.0146695378284716</v>
      </c>
      <c r="X18" s="272">
        <v>1.1854336470150622</v>
      </c>
      <c r="Y18" s="273">
        <v>15.288853647181414</v>
      </c>
      <c r="Z18" s="272">
        <v>8.995977353781216</v>
      </c>
      <c r="AA18" s="273">
        <v>0.006740730598978604</v>
      </c>
      <c r="AB18" s="272">
        <v>0.014673236359805327</v>
      </c>
      <c r="AC18" s="274"/>
      <c r="AD18" s="276"/>
      <c r="AE18" s="277">
        <v>2755.1545414795346</v>
      </c>
      <c r="AF18" s="277">
        <v>1621.1357916874736</v>
      </c>
      <c r="AG18" s="273">
        <v>0.6866785490862233</v>
      </c>
      <c r="AH18" s="272">
        <v>1.4947632910113753</v>
      </c>
      <c r="AI18" s="277">
        <v>48.97975880461428</v>
      </c>
      <c r="AJ18" s="277">
        <v>28.81974091505592</v>
      </c>
      <c r="AK18" s="273">
        <v>914.6683898470955</v>
      </c>
      <c r="AL18" s="272">
        <v>538.1918298891519</v>
      </c>
      <c r="AM18" s="277">
        <v>7.454576898405875</v>
      </c>
      <c r="AN18" s="277">
        <v>4.386280783873091</v>
      </c>
      <c r="AO18" s="273">
        <v>17.943396004672103</v>
      </c>
      <c r="AP18" s="272">
        <v>10.557912831987698</v>
      </c>
      <c r="AQ18" s="277">
        <v>4.924704629807918</v>
      </c>
      <c r="AR18" s="277">
        <v>2.8977013153619238</v>
      </c>
      <c r="AS18" s="273">
        <v>2.331170031701557</v>
      </c>
      <c r="AT18" s="272">
        <v>1.3716628660950518</v>
      </c>
      <c r="AU18" s="277">
        <v>1.1444642484770386</v>
      </c>
      <c r="AV18" s="277">
        <v>2.4912721516856253</v>
      </c>
      <c r="AW18" s="273">
        <v>2.9758851387211904</v>
      </c>
      <c r="AX18" s="272">
        <v>1.7510139041932213</v>
      </c>
      <c r="AY18" s="277">
        <v>429.9654728185593</v>
      </c>
      <c r="AZ18" s="277">
        <v>252.99213045293766</v>
      </c>
      <c r="BA18" s="273">
        <v>0.03066315048952789</v>
      </c>
      <c r="BB18" s="272">
        <v>0.018042229572276133</v>
      </c>
      <c r="BC18" s="277">
        <v>19.8980249332421</v>
      </c>
      <c r="BD18" s="277">
        <v>11.708018522200975</v>
      </c>
      <c r="BE18" s="278">
        <v>5674.550808988684</v>
      </c>
      <c r="BF18" s="277">
        <v>3338.911585431658</v>
      </c>
      <c r="BG18" s="279">
        <v>12.62372294799732</v>
      </c>
      <c r="BH18" s="280">
        <v>7.427811684333054</v>
      </c>
      <c r="BI18" s="281">
        <v>56.16073850044026</v>
      </c>
      <c r="BJ18" s="281">
        <v>33.0450368209738</v>
      </c>
      <c r="BK18" s="279">
        <v>8848.967266781989</v>
      </c>
      <c r="BL18" s="280">
        <v>5206.741523815795</v>
      </c>
      <c r="BM18" s="281">
        <v>713.0707225137795</v>
      </c>
      <c r="BN18" s="281">
        <v>419.57155319888665</v>
      </c>
      <c r="BO18" s="279">
        <v>1600.4983358994625</v>
      </c>
      <c r="BP18" s="280">
        <v>941.7348819458708</v>
      </c>
      <c r="BQ18" s="281">
        <v>53.916640188274</v>
      </c>
      <c r="BR18" s="281">
        <v>31.724607045022083</v>
      </c>
      <c r="BS18" s="279">
        <v>15.6798487347779</v>
      </c>
      <c r="BT18" s="280">
        <v>9.22603926912345</v>
      </c>
      <c r="BU18" s="281">
        <v>95.00169028199015</v>
      </c>
      <c r="BV18" s="281">
        <v>55.89909316093667</v>
      </c>
      <c r="BW18" s="279">
        <v>12.183497582150386</v>
      </c>
      <c r="BX18" s="280">
        <v>7.168782622173827</v>
      </c>
      <c r="BY18" s="281">
        <v>95.00169028199015</v>
      </c>
      <c r="BZ18" s="282">
        <v>55.89909316093667</v>
      </c>
      <c r="CA18" s="283">
        <v>0.29736466201374495</v>
      </c>
      <c r="CB18" s="284">
        <v>0.17496967575352662</v>
      </c>
      <c r="CC18" s="285">
        <v>308.4656457053216</v>
      </c>
      <c r="CD18" s="286">
        <v>181.5015060789826</v>
      </c>
      <c r="CE18" s="287"/>
    </row>
    <row r="19" spans="1:83" s="290" customFormat="1" ht="12.75">
      <c r="A19" s="289" t="s">
        <v>19</v>
      </c>
      <c r="B19" s="105" t="s">
        <v>232</v>
      </c>
      <c r="C19" s="105" t="s">
        <v>215</v>
      </c>
      <c r="D19" s="232"/>
      <c r="E19" s="219">
        <v>19.346106088004163</v>
      </c>
      <c r="F19" s="226">
        <v>11.596586625750533</v>
      </c>
      <c r="G19" s="229">
        <v>2.5639767903265067</v>
      </c>
      <c r="H19" s="226">
        <v>1.5803439177475713</v>
      </c>
      <c r="I19" s="229">
        <v>16.926969549492622</v>
      </c>
      <c r="J19" s="226">
        <v>10.087161074793753</v>
      </c>
      <c r="K19" s="229">
        <v>7.361788298645328</v>
      </c>
      <c r="L19" s="226">
        <v>10.002969188058003</v>
      </c>
      <c r="M19" s="229">
        <v>10.941211970730954</v>
      </c>
      <c r="N19" s="226">
        <v>6.427639859411797</v>
      </c>
      <c r="O19" s="229">
        <v>4.387583797928684</v>
      </c>
      <c r="P19" s="226">
        <v>2.5159464905417077</v>
      </c>
      <c r="Q19" s="229">
        <v>2.545498736227897</v>
      </c>
      <c r="R19" s="226">
        <v>1.458195691971345</v>
      </c>
      <c r="S19" s="229">
        <v>1.9653512841902505</v>
      </c>
      <c r="T19" s="226">
        <v>1.1598386383662043</v>
      </c>
      <c r="U19" s="233"/>
      <c r="V19" s="234"/>
      <c r="W19" s="229">
        <v>1.9344809756222383</v>
      </c>
      <c r="X19" s="226">
        <v>1.131753492343314</v>
      </c>
      <c r="Y19" s="229">
        <v>14.006189587964258</v>
      </c>
      <c r="Z19" s="226">
        <v>8.058293008168238</v>
      </c>
      <c r="AA19" s="229">
        <v>0.09369063606516495</v>
      </c>
      <c r="AB19" s="226">
        <v>0.06628564620925873</v>
      </c>
      <c r="AC19" s="233"/>
      <c r="AD19" s="242"/>
      <c r="AE19" s="221">
        <v>3714.461361994079</v>
      </c>
      <c r="AF19" s="221">
        <v>2094.8326839367082</v>
      </c>
      <c r="AG19" s="229">
        <v>0.9876656801719541</v>
      </c>
      <c r="AH19" s="226">
        <v>1.9118866949651365</v>
      </c>
      <c r="AI19" s="221">
        <v>10.171563149377615</v>
      </c>
      <c r="AJ19" s="221">
        <v>5.80695184239257</v>
      </c>
      <c r="AK19" s="229">
        <v>843.1507635400629</v>
      </c>
      <c r="AL19" s="226">
        <v>476.7656315063348</v>
      </c>
      <c r="AM19" s="221">
        <v>10.954860207213514</v>
      </c>
      <c r="AN19" s="221">
        <v>6.337989367418583</v>
      </c>
      <c r="AO19" s="229">
        <v>1.9739285102593032</v>
      </c>
      <c r="AP19" s="226">
        <v>1.1501727631155236</v>
      </c>
      <c r="AQ19" s="221">
        <v>20.478822411769272</v>
      </c>
      <c r="AR19" s="221">
        <v>11.570404280470653</v>
      </c>
      <c r="AS19" s="229">
        <v>4.1259879305269775</v>
      </c>
      <c r="AT19" s="226">
        <v>2.3971294720825953</v>
      </c>
      <c r="AU19" s="221">
        <v>1.4897499381350296</v>
      </c>
      <c r="AV19" s="221">
        <v>3.2254232782399948</v>
      </c>
      <c r="AW19" s="229">
        <v>3.974688094246921</v>
      </c>
      <c r="AX19" s="226">
        <v>2.3040436388416685</v>
      </c>
      <c r="AY19" s="221">
        <v>528.1326349748952</v>
      </c>
      <c r="AZ19" s="221">
        <v>297.99701184020694</v>
      </c>
      <c r="BA19" s="229">
        <v>0.03110802336551592</v>
      </c>
      <c r="BB19" s="226">
        <v>0.04011256334036102</v>
      </c>
      <c r="BC19" s="221">
        <v>11.645680761582835</v>
      </c>
      <c r="BD19" s="221">
        <v>6.596096327771055</v>
      </c>
      <c r="BE19" s="220">
        <v>1764.6896666250636</v>
      </c>
      <c r="BF19" s="221">
        <v>998.4429232657614</v>
      </c>
      <c r="BG19" s="258">
        <v>1.0132277811498918</v>
      </c>
      <c r="BH19" s="259">
        <v>2.19371613169626</v>
      </c>
      <c r="BI19" s="91">
        <v>14.452799385334636</v>
      </c>
      <c r="BJ19" s="91">
        <v>8.282423033312504</v>
      </c>
      <c r="BK19" s="258">
        <v>3847.1723039826024</v>
      </c>
      <c r="BL19" s="259">
        <v>2182.076194083337</v>
      </c>
      <c r="BM19" s="91">
        <v>69.88698358897989</v>
      </c>
      <c r="BN19" s="91">
        <v>39.927807949501954</v>
      </c>
      <c r="BO19" s="258">
        <v>99.67137708656594</v>
      </c>
      <c r="BP19" s="259">
        <v>56.28764015316526</v>
      </c>
      <c r="BQ19" s="91">
        <v>15.819487891091974</v>
      </c>
      <c r="BR19" s="91">
        <v>8.961646290316791</v>
      </c>
      <c r="BS19" s="258">
        <v>7.30436488484397</v>
      </c>
      <c r="BT19" s="259">
        <v>4.3033272836556264</v>
      </c>
      <c r="BU19" s="91">
        <v>37.678525576222086</v>
      </c>
      <c r="BV19" s="91">
        <v>21.542207533251094</v>
      </c>
      <c r="BW19" s="258">
        <v>6.68420521198611</v>
      </c>
      <c r="BX19" s="259">
        <v>3.864753729392435</v>
      </c>
      <c r="BY19" s="91">
        <v>37.678525576222086</v>
      </c>
      <c r="BZ19" s="256">
        <v>21.542207533251094</v>
      </c>
      <c r="CA19" s="260">
        <v>0.02108682600713429</v>
      </c>
      <c r="CB19" s="261">
        <v>0.035453359771310554</v>
      </c>
      <c r="CC19" s="257">
        <v>47.543362992609474</v>
      </c>
      <c r="CD19" s="265">
        <v>26.918284787559717</v>
      </c>
      <c r="CE19" s="262"/>
    </row>
    <row r="20" spans="1:83" s="290" customFormat="1" ht="12.75">
      <c r="A20" s="289" t="s">
        <v>5</v>
      </c>
      <c r="B20" s="105" t="s">
        <v>232</v>
      </c>
      <c r="C20" s="105" t="s">
        <v>215</v>
      </c>
      <c r="D20" s="232"/>
      <c r="E20" s="219">
        <v>30.717869792767576</v>
      </c>
      <c r="F20" s="226">
        <v>17.825951162988428</v>
      </c>
      <c r="G20" s="229">
        <v>1.456576561668185</v>
      </c>
      <c r="H20" s="226">
        <v>0.8831272584839726</v>
      </c>
      <c r="I20" s="229">
        <v>12.122977032890693</v>
      </c>
      <c r="J20" s="226">
        <v>7.22477782903307</v>
      </c>
      <c r="K20" s="229">
        <v>12.871632769322137</v>
      </c>
      <c r="L20" s="226">
        <v>7.783549559232364</v>
      </c>
      <c r="M20" s="229">
        <v>9.979776390516971</v>
      </c>
      <c r="N20" s="226">
        <v>5.891327596911804</v>
      </c>
      <c r="O20" s="229">
        <v>0.5948256328671615</v>
      </c>
      <c r="P20" s="226">
        <v>0.368547824727319</v>
      </c>
      <c r="Q20" s="229">
        <v>0.943669970288937</v>
      </c>
      <c r="R20" s="226">
        <v>0.5524993160772864</v>
      </c>
      <c r="S20" s="229">
        <v>2.84729517920604</v>
      </c>
      <c r="T20" s="226">
        <v>1.6655597024570648</v>
      </c>
      <c r="U20" s="233"/>
      <c r="V20" s="234"/>
      <c r="W20" s="229">
        <v>2.0653219277843924</v>
      </c>
      <c r="X20" s="226">
        <v>1.2107591973195477</v>
      </c>
      <c r="Y20" s="229">
        <v>16.967296797373287</v>
      </c>
      <c r="Z20" s="226">
        <v>9.828709152857941</v>
      </c>
      <c r="AA20" s="229">
        <v>0.07621162236452526</v>
      </c>
      <c r="AB20" s="226">
        <v>0.045542888224321704</v>
      </c>
      <c r="AC20" s="233"/>
      <c r="AD20" s="242"/>
      <c r="AE20" s="221">
        <v>4137.237925857428</v>
      </c>
      <c r="AF20" s="221">
        <v>2393.1336078811773</v>
      </c>
      <c r="AG20" s="229">
        <v>0.7232382103441282</v>
      </c>
      <c r="AH20" s="226">
        <v>1.5724969397053674</v>
      </c>
      <c r="AI20" s="221">
        <v>8.570596770921474</v>
      </c>
      <c r="AJ20" s="221">
        <v>4.97792297345309</v>
      </c>
      <c r="AK20" s="229">
        <v>679.8117934042533</v>
      </c>
      <c r="AL20" s="226">
        <v>393.7664115746017</v>
      </c>
      <c r="AM20" s="221">
        <v>9.42576545293911</v>
      </c>
      <c r="AN20" s="221">
        <v>5.517076429309506</v>
      </c>
      <c r="AO20" s="229">
        <v>0.8530107453699312</v>
      </c>
      <c r="AP20" s="226">
        <v>0.5048236910408229</v>
      </c>
      <c r="AQ20" s="221">
        <v>6.996053710361043</v>
      </c>
      <c r="AR20" s="221">
        <v>4.057142104223157</v>
      </c>
      <c r="AS20" s="229">
        <v>3.005407549886595</v>
      </c>
      <c r="AT20" s="226">
        <v>1.7618570265183706</v>
      </c>
      <c r="AU20" s="221">
        <v>1.2053970172402135</v>
      </c>
      <c r="AV20" s="221">
        <v>2.620828232842279</v>
      </c>
      <c r="AW20" s="229">
        <v>3.321812723289832</v>
      </c>
      <c r="AX20" s="226">
        <v>1.9474924738813724</v>
      </c>
      <c r="AY20" s="221">
        <v>499.13480713773635</v>
      </c>
      <c r="AZ20" s="221">
        <v>288.7459762030428</v>
      </c>
      <c r="BA20" s="229">
        <v>0.012053970172402137</v>
      </c>
      <c r="BB20" s="226">
        <v>0.02620828232842279</v>
      </c>
      <c r="BC20" s="221">
        <v>6.681479325898319</v>
      </c>
      <c r="BD20" s="221">
        <v>3.921457395938374</v>
      </c>
      <c r="BE20" s="220">
        <v>1349.3214229930034</v>
      </c>
      <c r="BF20" s="221">
        <v>781.291384999778</v>
      </c>
      <c r="BG20" s="258">
        <v>0.819830035846122</v>
      </c>
      <c r="BH20" s="259">
        <v>1.782511216924167</v>
      </c>
      <c r="BI20" s="91">
        <v>6.996456074220378</v>
      </c>
      <c r="BJ20" s="91">
        <v>4.062235014074926</v>
      </c>
      <c r="BK20" s="258">
        <v>524.8063001759566</v>
      </c>
      <c r="BL20" s="259">
        <v>308.2472776552348</v>
      </c>
      <c r="BM20" s="91">
        <v>62.514668900289195</v>
      </c>
      <c r="BN20" s="91">
        <v>36.331286058384165</v>
      </c>
      <c r="BO20" s="258">
        <v>60.76057600728088</v>
      </c>
      <c r="BP20" s="259">
        <v>35.14014517846198</v>
      </c>
      <c r="BQ20" s="91">
        <v>14.647179568976528</v>
      </c>
      <c r="BR20" s="91">
        <v>8.492924463629912</v>
      </c>
      <c r="BS20" s="258">
        <v>4.921425672162409</v>
      </c>
      <c r="BT20" s="259">
        <v>2.901365897591183</v>
      </c>
      <c r="BU20" s="91">
        <v>35.99104601982845</v>
      </c>
      <c r="BV20" s="91">
        <v>20.92893951934897</v>
      </c>
      <c r="BW20" s="258">
        <v>5.620866469290689</v>
      </c>
      <c r="BX20" s="259">
        <v>3.290332018171974</v>
      </c>
      <c r="BY20" s="91">
        <v>35.99104601982845</v>
      </c>
      <c r="BZ20" s="256">
        <v>20.92893951934897</v>
      </c>
      <c r="CA20" s="260">
        <v>0.013663833930768707</v>
      </c>
      <c r="CB20" s="261">
        <v>0.029708520282069467</v>
      </c>
      <c r="CC20" s="257">
        <v>37.159564815816836</v>
      </c>
      <c r="CD20" s="265">
        <v>21.528682555901558</v>
      </c>
      <c r="CE20" s="262"/>
    </row>
    <row r="21" spans="1:83" s="290" customFormat="1" ht="12.75">
      <c r="A21" s="289" t="s">
        <v>21</v>
      </c>
      <c r="B21" s="105" t="s">
        <v>232</v>
      </c>
      <c r="C21" s="105" t="s">
        <v>215</v>
      </c>
      <c r="D21" s="232"/>
      <c r="E21" s="219">
        <v>36.63305104194927</v>
      </c>
      <c r="F21" s="226">
        <v>21.60449462707545</v>
      </c>
      <c r="G21" s="229">
        <v>2.75942821702711</v>
      </c>
      <c r="H21" s="226">
        <v>1.62424346204335</v>
      </c>
      <c r="I21" s="229">
        <v>4.96475447895044</v>
      </c>
      <c r="J21" s="226">
        <v>2.948507687623697</v>
      </c>
      <c r="K21" s="229">
        <v>11.916690112090327</v>
      </c>
      <c r="L21" s="226">
        <v>10.952558646690925</v>
      </c>
      <c r="M21" s="229">
        <v>7.735036082080339</v>
      </c>
      <c r="N21" s="226">
        <v>4.537823120788538</v>
      </c>
      <c r="O21" s="229">
        <v>0.2723539591880647</v>
      </c>
      <c r="P21" s="226">
        <v>0.24234777080424325</v>
      </c>
      <c r="Q21" s="229">
        <v>0.10162626840638306</v>
      </c>
      <c r="R21" s="226">
        <v>0.20740823627008986</v>
      </c>
      <c r="S21" s="229">
        <v>2.437432142586536</v>
      </c>
      <c r="T21" s="226">
        <v>1.4166962105841523</v>
      </c>
      <c r="U21" s="233"/>
      <c r="V21" s="234"/>
      <c r="W21" s="229">
        <v>2.857138398713523</v>
      </c>
      <c r="X21" s="226">
        <v>1.6578676708397466</v>
      </c>
      <c r="Y21" s="229">
        <v>15.3919503343424</v>
      </c>
      <c r="Z21" s="226">
        <v>8.905842424354708</v>
      </c>
      <c r="AA21" s="229">
        <v>0.07135151415867318</v>
      </c>
      <c r="AB21" s="226">
        <v>0.042216952744397275</v>
      </c>
      <c r="AC21" s="233"/>
      <c r="AD21" s="242"/>
      <c r="AE21" s="221">
        <v>2915.2093533239367</v>
      </c>
      <c r="AF21" s="221">
        <v>1693.2401392571317</v>
      </c>
      <c r="AG21" s="229">
        <v>0.9913423929020976</v>
      </c>
      <c r="AH21" s="226">
        <v>2.1425436967946423</v>
      </c>
      <c r="AI21" s="221">
        <v>14.819602320934413</v>
      </c>
      <c r="AJ21" s="221">
        <v>9.392201432564006</v>
      </c>
      <c r="AK21" s="229">
        <v>616.0621443729443</v>
      </c>
      <c r="AL21" s="226">
        <v>361.28842377428884</v>
      </c>
      <c r="AM21" s="221">
        <v>13.167565136411572</v>
      </c>
      <c r="AN21" s="221">
        <v>7.634692623043955</v>
      </c>
      <c r="AO21" s="229">
        <v>6.816034674772243</v>
      </c>
      <c r="AP21" s="226">
        <v>3.9651502185343754</v>
      </c>
      <c r="AQ21" s="221">
        <v>1.9666792771991477</v>
      </c>
      <c r="AR21" s="221">
        <v>1.3183411677932422</v>
      </c>
      <c r="AS21" s="229">
        <v>5.262196069173765</v>
      </c>
      <c r="AT21" s="226">
        <v>3.051823027410676</v>
      </c>
      <c r="AU21" s="221">
        <v>213.6727786552267</v>
      </c>
      <c r="AV21" s="221">
        <v>122.424025349492</v>
      </c>
      <c r="AW21" s="229">
        <v>4.528516961806887</v>
      </c>
      <c r="AX21" s="226">
        <v>2.627113851958967</v>
      </c>
      <c r="AY21" s="221">
        <v>552.7365474228544</v>
      </c>
      <c r="AZ21" s="221">
        <v>319.55269609631404</v>
      </c>
      <c r="BA21" s="229">
        <v>0.02079963675726247</v>
      </c>
      <c r="BB21" s="226">
        <v>0.037898510383518776</v>
      </c>
      <c r="BC21" s="221">
        <v>17.370463428383587</v>
      </c>
      <c r="BD21" s="221">
        <v>10.047769462985347</v>
      </c>
      <c r="BE21" s="220">
        <v>1908.835609674193</v>
      </c>
      <c r="BF21" s="221">
        <v>1100.472569539262</v>
      </c>
      <c r="BG21" s="258">
        <v>2.59431567784136</v>
      </c>
      <c r="BH21" s="259">
        <v>1.5661312736213806</v>
      </c>
      <c r="BI21" s="91">
        <v>15.060971554512403</v>
      </c>
      <c r="BJ21" s="91">
        <v>8.638121574240065</v>
      </c>
      <c r="BK21" s="258">
        <v>3742.423393164908</v>
      </c>
      <c r="BL21" s="259">
        <v>2163.034954084581</v>
      </c>
      <c r="BM21" s="91">
        <v>150.39192178342296</v>
      </c>
      <c r="BN21" s="91">
        <v>86.1920024045364</v>
      </c>
      <c r="BO21" s="258">
        <v>256.08190683258505</v>
      </c>
      <c r="BP21" s="259">
        <v>146.62618757165103</v>
      </c>
      <c r="BQ21" s="91">
        <v>30.16631500248674</v>
      </c>
      <c r="BR21" s="91">
        <v>17.309090812240385</v>
      </c>
      <c r="BS21" s="258">
        <v>10.40905497956318</v>
      </c>
      <c r="BT21" s="259">
        <v>6.01883439908957</v>
      </c>
      <c r="BU21" s="91">
        <v>39.88234791943822</v>
      </c>
      <c r="BV21" s="91">
        <v>22.98793294806305</v>
      </c>
      <c r="BW21" s="258">
        <v>10.502597463702804</v>
      </c>
      <c r="BX21" s="259">
        <v>6.063506146226629</v>
      </c>
      <c r="BY21" s="91">
        <v>39.88234791943822</v>
      </c>
      <c r="BZ21" s="256">
        <v>22.98793294806305</v>
      </c>
      <c r="CA21" s="260">
        <v>0.10777869660512984</v>
      </c>
      <c r="CB21" s="261">
        <v>0.06288344848582983</v>
      </c>
      <c r="CC21" s="257">
        <v>80.44609394622387</v>
      </c>
      <c r="CD21" s="265">
        <v>46.16505305540547</v>
      </c>
      <c r="CE21" s="262"/>
    </row>
    <row r="22" spans="1:83" s="290" customFormat="1" ht="12.75">
      <c r="A22" s="289" t="s">
        <v>12</v>
      </c>
      <c r="B22" s="105" t="s">
        <v>232</v>
      </c>
      <c r="C22" s="105" t="s">
        <v>215</v>
      </c>
      <c r="D22" s="232"/>
      <c r="E22" s="219">
        <v>10.59061240370308</v>
      </c>
      <c r="F22" s="226">
        <v>6.508410861479167</v>
      </c>
      <c r="G22" s="229">
        <v>1.4232943945734104</v>
      </c>
      <c r="H22" s="226">
        <v>1.0422760859492781</v>
      </c>
      <c r="I22" s="229">
        <v>14.992370038921543</v>
      </c>
      <c r="J22" s="226">
        <v>9.021376119098168</v>
      </c>
      <c r="K22" s="229">
        <v>5.045163299807164</v>
      </c>
      <c r="L22" s="226">
        <v>10.897596452423166</v>
      </c>
      <c r="M22" s="229">
        <v>9.733709685749853</v>
      </c>
      <c r="N22" s="226">
        <v>5.660338832634869</v>
      </c>
      <c r="O22" s="229">
        <v>0.32527775257214797</v>
      </c>
      <c r="P22" s="226">
        <v>0.3238146609088741</v>
      </c>
      <c r="Q22" s="229">
        <v>1.5274788204937564</v>
      </c>
      <c r="R22" s="226">
        <v>0.9824661142538889</v>
      </c>
      <c r="S22" s="229">
        <v>2.4324231842857564</v>
      </c>
      <c r="T22" s="226">
        <v>1.4070975103788497</v>
      </c>
      <c r="U22" s="233"/>
      <c r="V22" s="234"/>
      <c r="W22" s="229">
        <v>2.9209460280901776</v>
      </c>
      <c r="X22" s="226">
        <v>1.6891162279097185</v>
      </c>
      <c r="Y22" s="229">
        <v>7.3564149700544945</v>
      </c>
      <c r="Z22" s="226">
        <v>4.194008125713424</v>
      </c>
      <c r="AA22" s="229">
        <v>0.0641526504586577</v>
      </c>
      <c r="AB22" s="226">
        <v>0.042957988268033986</v>
      </c>
      <c r="AC22" s="233"/>
      <c r="AD22" s="242"/>
      <c r="AE22" s="221">
        <v>478.8429648960054</v>
      </c>
      <c r="AF22" s="221">
        <v>281.89631410936477</v>
      </c>
      <c r="AG22" s="229">
        <v>1.0279020541600026</v>
      </c>
      <c r="AH22" s="226">
        <v>2.2202773454886344</v>
      </c>
      <c r="AI22" s="221">
        <v>4.753537317110163</v>
      </c>
      <c r="AJ22" s="221">
        <v>2.7745738740869657</v>
      </c>
      <c r="AK22" s="229">
        <v>366.95436706022485</v>
      </c>
      <c r="AL22" s="226">
        <v>217.9633568401318</v>
      </c>
      <c r="AM22" s="221">
        <v>12.282135902430749</v>
      </c>
      <c r="AN22" s="221">
        <v>7.132196285813837</v>
      </c>
      <c r="AO22" s="229">
        <v>0.37946225563632774</v>
      </c>
      <c r="AP22" s="226">
        <v>0.4332823863827335</v>
      </c>
      <c r="AQ22" s="221">
        <v>2.9200681503011774</v>
      </c>
      <c r="AR22" s="221">
        <v>1.9519639307874999</v>
      </c>
      <c r="AS22" s="229">
        <v>5.103985911734445</v>
      </c>
      <c r="AT22" s="226">
        <v>2.9684431103409135</v>
      </c>
      <c r="AU22" s="221">
        <v>1.7131700902666707</v>
      </c>
      <c r="AV22" s="221">
        <v>3.7004622424810565</v>
      </c>
      <c r="AW22" s="229">
        <v>4.339585349216948</v>
      </c>
      <c r="AX22" s="226">
        <v>2.5150924893448408</v>
      </c>
      <c r="AY22" s="221">
        <v>75.05714830680753</v>
      </c>
      <c r="AZ22" s="221">
        <v>43.469396318411604</v>
      </c>
      <c r="BA22" s="229">
        <v>0.017131700902666705</v>
      </c>
      <c r="BB22" s="226">
        <v>0.03700462242481056</v>
      </c>
      <c r="BC22" s="221">
        <v>4.426132409250275</v>
      </c>
      <c r="BD22" s="221">
        <v>2.9119810768994165</v>
      </c>
      <c r="BE22" s="220">
        <v>1084.8875047304737</v>
      </c>
      <c r="BF22" s="221">
        <v>621.4602456677258</v>
      </c>
      <c r="BG22" s="258">
        <v>1.1651831524599965</v>
      </c>
      <c r="BH22" s="259">
        <v>2.5168057075886185</v>
      </c>
      <c r="BI22" s="91">
        <v>15.01815178216121</v>
      </c>
      <c r="BJ22" s="91">
        <v>8.545172789186214</v>
      </c>
      <c r="BK22" s="258">
        <v>2866.0549223456455</v>
      </c>
      <c r="BL22" s="259">
        <v>1658.4342078047289</v>
      </c>
      <c r="BM22" s="91">
        <v>98.5691767503443</v>
      </c>
      <c r="BN22" s="91">
        <v>56.117421759263046</v>
      </c>
      <c r="BO22" s="258">
        <v>145.05247288467504</v>
      </c>
      <c r="BP22" s="259">
        <v>81.96319176467983</v>
      </c>
      <c r="BQ22" s="91">
        <v>37.24110169433985</v>
      </c>
      <c r="BR22" s="91">
        <v>21.086645022449687</v>
      </c>
      <c r="BS22" s="258">
        <v>8.85036404098664</v>
      </c>
      <c r="BT22" s="259">
        <v>5.129269310561583</v>
      </c>
      <c r="BU22" s="91">
        <v>25.102409917753192</v>
      </c>
      <c r="BV22" s="91">
        <v>14.6072882126278</v>
      </c>
      <c r="BW22" s="258">
        <v>8.659877989641398</v>
      </c>
      <c r="BX22" s="259">
        <v>4.986642692462457</v>
      </c>
      <c r="BY22" s="91">
        <v>25.102409917753192</v>
      </c>
      <c r="BZ22" s="256">
        <v>14.6072882126278</v>
      </c>
      <c r="CA22" s="260">
        <v>0.10658665663883814</v>
      </c>
      <c r="CB22" s="261">
        <v>0.06332010140382147</v>
      </c>
      <c r="CC22" s="257">
        <v>62.498797543246965</v>
      </c>
      <c r="CD22" s="265">
        <v>35.99643778748399</v>
      </c>
      <c r="CE22" s="262"/>
    </row>
    <row r="23" spans="1:83" s="290" customFormat="1" ht="12.75">
      <c r="A23" s="289" t="s">
        <v>20</v>
      </c>
      <c r="B23" s="105" t="s">
        <v>232</v>
      </c>
      <c r="C23" s="105" t="s">
        <v>215</v>
      </c>
      <c r="D23" s="232"/>
      <c r="E23" s="219">
        <v>64.5988677437369</v>
      </c>
      <c r="F23" s="226">
        <v>37.938213324894754</v>
      </c>
      <c r="G23" s="229">
        <v>1.5436752164602634</v>
      </c>
      <c r="H23" s="226">
        <v>0.8901035711002767</v>
      </c>
      <c r="I23" s="229">
        <v>9.291381696903443</v>
      </c>
      <c r="J23" s="226">
        <v>5.448543928782468</v>
      </c>
      <c r="K23" s="229">
        <v>8.573721373857538</v>
      </c>
      <c r="L23" s="226">
        <v>7.664816059918053</v>
      </c>
      <c r="M23" s="229">
        <v>6.537860879972524</v>
      </c>
      <c r="N23" s="226">
        <v>3.809762631954474</v>
      </c>
      <c r="O23" s="229">
        <v>2.1156179166187834</v>
      </c>
      <c r="P23" s="226">
        <v>1.2326181609514135</v>
      </c>
      <c r="Q23" s="229">
        <v>0.2931183204832146</v>
      </c>
      <c r="R23" s="226">
        <v>0.16957409658149972</v>
      </c>
      <c r="S23" s="229">
        <v>1.5305218682926518</v>
      </c>
      <c r="T23" s="226">
        <v>0.8953433522644365</v>
      </c>
      <c r="U23" s="233"/>
      <c r="V23" s="234"/>
      <c r="W23" s="229">
        <v>1.8091977071238143</v>
      </c>
      <c r="X23" s="226">
        <v>1.0571964002689134</v>
      </c>
      <c r="Y23" s="229">
        <v>4.159712609886201</v>
      </c>
      <c r="Z23" s="226">
        <v>2.399010414622294</v>
      </c>
      <c r="AA23" s="229">
        <v>0.125619817263854</v>
      </c>
      <c r="AB23" s="226">
        <v>0.07374161674530638</v>
      </c>
      <c r="AC23" s="233"/>
      <c r="AD23" s="242"/>
      <c r="AE23" s="221">
        <v>2020.528401626521</v>
      </c>
      <c r="AF23" s="221">
        <v>1142.8851885860774</v>
      </c>
      <c r="AG23" s="229">
        <v>0.9691015981575519</v>
      </c>
      <c r="AH23" s="226">
        <v>1.2537710444917465</v>
      </c>
      <c r="AI23" s="221">
        <v>13.851037987495454</v>
      </c>
      <c r="AJ23" s="221">
        <v>7.828260560183196</v>
      </c>
      <c r="AK23" s="229">
        <v>1333.3157331565535</v>
      </c>
      <c r="AL23" s="226">
        <v>753.1639672561984</v>
      </c>
      <c r="AM23" s="221">
        <v>6.7327053085477795</v>
      </c>
      <c r="AN23" s="221">
        <v>3.8914624483522036</v>
      </c>
      <c r="AO23" s="229">
        <v>12.86212700527599</v>
      </c>
      <c r="AP23" s="226">
        <v>7.303615032282234</v>
      </c>
      <c r="AQ23" s="221">
        <v>2.457198550013738</v>
      </c>
      <c r="AR23" s="221">
        <v>1.4445291060180527</v>
      </c>
      <c r="AS23" s="229">
        <v>2.517983344394916</v>
      </c>
      <c r="AT23" s="226">
        <v>1.4604491895461158</v>
      </c>
      <c r="AU23" s="221">
        <v>141.10749293801024</v>
      </c>
      <c r="AV23" s="221">
        <v>80.63869383709171</v>
      </c>
      <c r="AW23" s="229">
        <v>3.022390740089479</v>
      </c>
      <c r="AX23" s="226">
        <v>1.760885092100045</v>
      </c>
      <c r="AY23" s="221">
        <v>185.54538724110782</v>
      </c>
      <c r="AZ23" s="221">
        <v>104.66470797139083</v>
      </c>
      <c r="BA23" s="229">
        <v>0.024580706304937174</v>
      </c>
      <c r="BB23" s="226">
        <v>0.025642618581018323</v>
      </c>
      <c r="BC23" s="221">
        <v>10.591354303296335</v>
      </c>
      <c r="BD23" s="221">
        <v>6.026967652087446</v>
      </c>
      <c r="BE23" s="220">
        <v>2264.9697872802517</v>
      </c>
      <c r="BF23" s="221">
        <v>1280.9927333148605</v>
      </c>
      <c r="BG23" s="258">
        <v>4.154769723015619</v>
      </c>
      <c r="BH23" s="259">
        <v>2.7535344292941675</v>
      </c>
      <c r="BI23" s="91">
        <v>7.744867928173758</v>
      </c>
      <c r="BJ23" s="91">
        <v>4.392698157509397</v>
      </c>
      <c r="BK23" s="258">
        <v>8101.865874975181</v>
      </c>
      <c r="BL23" s="259">
        <v>4611.049122649562</v>
      </c>
      <c r="BM23" s="91">
        <v>367.4109823658166</v>
      </c>
      <c r="BN23" s="91">
        <v>207.21918833058982</v>
      </c>
      <c r="BO23" s="258">
        <v>785.3153867814354</v>
      </c>
      <c r="BP23" s="259">
        <v>442.56030861197144</v>
      </c>
      <c r="BQ23" s="91">
        <v>28.318494935381278</v>
      </c>
      <c r="BR23" s="91">
        <v>16.030904657907694</v>
      </c>
      <c r="BS23" s="258">
        <v>7.090915542380062</v>
      </c>
      <c r="BT23" s="259">
        <v>4.060989633000369</v>
      </c>
      <c r="BU23" s="91">
        <v>52.52554621699739</v>
      </c>
      <c r="BV23" s="91">
        <v>29.76264542030287</v>
      </c>
      <c r="BW23" s="258">
        <v>8.20440685613038</v>
      </c>
      <c r="BX23" s="259">
        <v>4.703067335881844</v>
      </c>
      <c r="BY23" s="91">
        <v>52.52554621699739</v>
      </c>
      <c r="BZ23" s="256">
        <v>29.76264542030287</v>
      </c>
      <c r="CA23" s="260">
        <v>0.13279630071949494</v>
      </c>
      <c r="CB23" s="261">
        <v>0.07634021809150138</v>
      </c>
      <c r="CC23" s="257">
        <v>89.78779037414898</v>
      </c>
      <c r="CD23" s="265">
        <v>50.94221287395837</v>
      </c>
      <c r="CE23" s="262"/>
    </row>
    <row r="24" spans="1:83" s="290" customFormat="1" ht="12.75">
      <c r="A24" s="289" t="s">
        <v>17</v>
      </c>
      <c r="B24" s="105" t="s">
        <v>232</v>
      </c>
      <c r="C24" s="105" t="s">
        <v>215</v>
      </c>
      <c r="D24" s="232"/>
      <c r="E24" s="219">
        <v>45.24927985235958</v>
      </c>
      <c r="F24" s="226">
        <v>26.508751842830765</v>
      </c>
      <c r="G24" s="229">
        <v>2.375422548307155</v>
      </c>
      <c r="H24" s="226">
        <v>1.3606783569275291</v>
      </c>
      <c r="I24" s="229">
        <v>31.74509948075508</v>
      </c>
      <c r="J24" s="226">
        <v>19.157052972175205</v>
      </c>
      <c r="K24" s="229">
        <v>8.357338766826931</v>
      </c>
      <c r="L24" s="226">
        <v>7.974796469943404</v>
      </c>
      <c r="M24" s="229">
        <v>7.86691421602897</v>
      </c>
      <c r="N24" s="226">
        <v>4.659925493997875</v>
      </c>
      <c r="O24" s="229">
        <v>4.854713117238836</v>
      </c>
      <c r="P24" s="226">
        <v>2.9080848579070726</v>
      </c>
      <c r="Q24" s="229">
        <v>0.21619686780776082</v>
      </c>
      <c r="R24" s="226">
        <v>0.19872813539243306</v>
      </c>
      <c r="S24" s="229">
        <v>1.4509789774431825</v>
      </c>
      <c r="T24" s="226">
        <v>0.850350936669181</v>
      </c>
      <c r="U24" s="233"/>
      <c r="V24" s="234"/>
      <c r="W24" s="229">
        <v>1.730604432252342</v>
      </c>
      <c r="X24" s="226">
        <v>1.013313379870325</v>
      </c>
      <c r="Y24" s="229">
        <v>6.819566185725623</v>
      </c>
      <c r="Z24" s="226">
        <v>3.9125105352395955</v>
      </c>
      <c r="AA24" s="229">
        <v>0.49227457266113833</v>
      </c>
      <c r="AB24" s="226">
        <v>0.2936157228168055</v>
      </c>
      <c r="AC24" s="233"/>
      <c r="AD24" s="242"/>
      <c r="AE24" s="221">
        <v>4445.967604015033</v>
      </c>
      <c r="AF24" s="221">
        <v>2508.8059426515865</v>
      </c>
      <c r="AG24" s="229">
        <v>1.4875696748707443</v>
      </c>
      <c r="AH24" s="226">
        <v>1.069501817258828</v>
      </c>
      <c r="AI24" s="221">
        <v>41.833865926537754</v>
      </c>
      <c r="AJ24" s="221">
        <v>23.688747379713163</v>
      </c>
      <c r="AK24" s="229">
        <v>1131.3129577041454</v>
      </c>
      <c r="AL24" s="226">
        <v>646.2110582338557</v>
      </c>
      <c r="AM24" s="221">
        <v>7.340949897931639</v>
      </c>
      <c r="AN24" s="221">
        <v>4.26753346735719</v>
      </c>
      <c r="AO24" s="229">
        <v>10.575948652017596</v>
      </c>
      <c r="AP24" s="226">
        <v>5.994028765270679</v>
      </c>
      <c r="AQ24" s="221">
        <v>0.8080760625389828</v>
      </c>
      <c r="AR24" s="221">
        <v>0.49367332653514906</v>
      </c>
      <c r="AS24" s="229">
        <v>2.7500397154378846</v>
      </c>
      <c r="AT24" s="226">
        <v>1.6042461724774286</v>
      </c>
      <c r="AU24" s="221">
        <v>270.688929733592</v>
      </c>
      <c r="AV24" s="221">
        <v>153.41639269730533</v>
      </c>
      <c r="AW24" s="229">
        <v>3.2895243553054625</v>
      </c>
      <c r="AX24" s="226">
        <v>1.9224348334126096</v>
      </c>
      <c r="AY24" s="221">
        <v>436.3209013176398</v>
      </c>
      <c r="AZ24" s="221">
        <v>246.04996853617735</v>
      </c>
      <c r="BA24" s="229">
        <v>0.19106593660803614</v>
      </c>
      <c r="BB24" s="226">
        <v>0.10817935288918759</v>
      </c>
      <c r="BC24" s="221">
        <v>15.783080529126671</v>
      </c>
      <c r="BD24" s="221">
        <v>9.092573123884591</v>
      </c>
      <c r="BE24" s="220">
        <v>2129.0369792207016</v>
      </c>
      <c r="BF24" s="221">
        <v>1205.0805437138893</v>
      </c>
      <c r="BG24" s="258">
        <v>4.128673991058468</v>
      </c>
      <c r="BH24" s="259">
        <v>2.5876890802604957</v>
      </c>
      <c r="BI24" s="91">
        <v>14.43962837791026</v>
      </c>
      <c r="BJ24" s="91">
        <v>8.175935474586824</v>
      </c>
      <c r="BK24" s="258">
        <v>5797.102289566703</v>
      </c>
      <c r="BL24" s="259">
        <v>3304.9677017730223</v>
      </c>
      <c r="BM24" s="91">
        <v>192.30430199645417</v>
      </c>
      <c r="BN24" s="91">
        <v>108.65769975050151</v>
      </c>
      <c r="BO24" s="258">
        <v>556.9327626965091</v>
      </c>
      <c r="BP24" s="259">
        <v>313.90545028600957</v>
      </c>
      <c r="BQ24" s="91">
        <v>3.7651063036438517</v>
      </c>
      <c r="BR24" s="91">
        <v>2.151279239526551</v>
      </c>
      <c r="BS24" s="258">
        <v>5.4805137476484145</v>
      </c>
      <c r="BT24" s="259">
        <v>3.1747002954045955</v>
      </c>
      <c r="BU24" s="91">
        <v>36.98108849875761</v>
      </c>
      <c r="BV24" s="91">
        <v>21.028265605897225</v>
      </c>
      <c r="BW24" s="258">
        <v>5.606769737605134</v>
      </c>
      <c r="BX24" s="259">
        <v>3.2455323145652333</v>
      </c>
      <c r="BY24" s="91">
        <v>36.98108849875761</v>
      </c>
      <c r="BZ24" s="256">
        <v>21.028265605897225</v>
      </c>
      <c r="CA24" s="260">
        <v>0.31455730744173177</v>
      </c>
      <c r="CB24" s="261">
        <v>0.177951546931329</v>
      </c>
      <c r="CC24" s="257">
        <v>103.79190684553835</v>
      </c>
      <c r="CD24" s="265">
        <v>59.30644005578243</v>
      </c>
      <c r="CE24" s="262"/>
    </row>
    <row r="25" spans="1:83" s="311" customFormat="1" ht="12.75">
      <c r="A25" s="291" t="s">
        <v>22</v>
      </c>
      <c r="B25" s="292" t="s">
        <v>232</v>
      </c>
      <c r="C25" s="292" t="s">
        <v>215</v>
      </c>
      <c r="D25" s="293"/>
      <c r="E25" s="294">
        <v>13.770422093398356</v>
      </c>
      <c r="F25" s="295">
        <v>8.94545290217075</v>
      </c>
      <c r="G25" s="296">
        <v>0.4267929543097488</v>
      </c>
      <c r="H25" s="295">
        <v>0.7451282715036129</v>
      </c>
      <c r="I25" s="296">
        <v>2.7645704933965654</v>
      </c>
      <c r="J25" s="295">
        <v>1.8264350312073492</v>
      </c>
      <c r="K25" s="296">
        <v>2.9516657994098368</v>
      </c>
      <c r="L25" s="295">
        <v>6.446373611772538</v>
      </c>
      <c r="M25" s="296">
        <v>4.640757726059102</v>
      </c>
      <c r="N25" s="295">
        <v>2.8455143044286277</v>
      </c>
      <c r="O25" s="296">
        <v>0.21083286161352846</v>
      </c>
      <c r="P25" s="295">
        <v>0.22995445356408387</v>
      </c>
      <c r="Q25" s="296">
        <v>0.4434882487749746</v>
      </c>
      <c r="R25" s="295">
        <v>0.28946798218472464</v>
      </c>
      <c r="S25" s="296">
        <v>1.0480333689101666</v>
      </c>
      <c r="T25" s="295">
        <v>0.633248969626651</v>
      </c>
      <c r="U25" s="297"/>
      <c r="V25" s="298"/>
      <c r="W25" s="296">
        <v>1.4178181737021123</v>
      </c>
      <c r="X25" s="295">
        <v>0.848914893804205</v>
      </c>
      <c r="Y25" s="296">
        <v>5.172184924027769</v>
      </c>
      <c r="Z25" s="295">
        <v>3.0293297967488235</v>
      </c>
      <c r="AA25" s="296">
        <v>0.011640834935407764</v>
      </c>
      <c r="AB25" s="295">
        <v>0.015846632690982413</v>
      </c>
      <c r="AC25" s="297"/>
      <c r="AD25" s="299"/>
      <c r="AE25" s="300">
        <v>1801.120411749254</v>
      </c>
      <c r="AF25" s="300">
        <v>1112.1049508964975</v>
      </c>
      <c r="AG25" s="296">
        <v>0.6013726728177784</v>
      </c>
      <c r="AH25" s="295">
        <v>1.3133847773920606</v>
      </c>
      <c r="AI25" s="300">
        <v>137.29756335576823</v>
      </c>
      <c r="AJ25" s="300">
        <v>78.19892662710957</v>
      </c>
      <c r="AK25" s="296">
        <v>543.8651076757</v>
      </c>
      <c r="AL25" s="295">
        <v>341.6560515754679</v>
      </c>
      <c r="AM25" s="300">
        <v>10.296139912515535</v>
      </c>
      <c r="AN25" s="300">
        <v>6.048897393875286</v>
      </c>
      <c r="AO25" s="296">
        <v>7.172855961841372</v>
      </c>
      <c r="AP25" s="295">
        <v>4.103890209009087</v>
      </c>
      <c r="AQ25" s="300">
        <v>31.562525897693515</v>
      </c>
      <c r="AR25" s="300">
        <v>18.236624914813046</v>
      </c>
      <c r="AS25" s="296">
        <v>3.0018975514899466</v>
      </c>
      <c r="AT25" s="295">
        <v>1.7814865762938155</v>
      </c>
      <c r="AU25" s="300">
        <v>314.21668043095434</v>
      </c>
      <c r="AV25" s="300">
        <v>183.66064546173652</v>
      </c>
      <c r="AW25" s="296">
        <v>3.0493262378940407</v>
      </c>
      <c r="AX25" s="295">
        <v>1.8106703674184295</v>
      </c>
      <c r="AY25" s="300">
        <v>314.21668043095434</v>
      </c>
      <c r="AZ25" s="300">
        <v>183.66064546173652</v>
      </c>
      <c r="BA25" s="296">
        <v>0.0719064620600754</v>
      </c>
      <c r="BB25" s="295">
        <v>0.043346774428424925</v>
      </c>
      <c r="BC25" s="300">
        <v>12.756131363375864</v>
      </c>
      <c r="BD25" s="300">
        <v>7.476141064767835</v>
      </c>
      <c r="BE25" s="301">
        <v>788.3294814001214</v>
      </c>
      <c r="BF25" s="300">
        <v>490.52721817929284</v>
      </c>
      <c r="BG25" s="302">
        <v>1.4780615675273827</v>
      </c>
      <c r="BH25" s="303">
        <v>1.0151546530542197</v>
      </c>
      <c r="BI25" s="304">
        <v>14.383597332038972</v>
      </c>
      <c r="BJ25" s="304">
        <v>8.35286849775625</v>
      </c>
      <c r="BK25" s="302">
        <v>2442.084307611738</v>
      </c>
      <c r="BL25" s="303">
        <v>1524.491865982667</v>
      </c>
      <c r="BM25" s="304">
        <v>99.22778415509278</v>
      </c>
      <c r="BN25" s="304">
        <v>58.00778994486808</v>
      </c>
      <c r="BO25" s="302">
        <v>136.97992304713878</v>
      </c>
      <c r="BP25" s="303">
        <v>81.25520130923118</v>
      </c>
      <c r="BQ25" s="304">
        <v>39.961332715728</v>
      </c>
      <c r="BR25" s="304">
        <v>23.672728194654848</v>
      </c>
      <c r="BS25" s="302">
        <v>4.239115460615879</v>
      </c>
      <c r="BT25" s="303">
        <v>2.5018869325635023</v>
      </c>
      <c r="BU25" s="304">
        <v>35.73107163957153</v>
      </c>
      <c r="BV25" s="304">
        <v>21.03644809453062</v>
      </c>
      <c r="BW25" s="302">
        <v>5.881458415892971</v>
      </c>
      <c r="BX25" s="303">
        <v>3.493458898854059</v>
      </c>
      <c r="BY25" s="304">
        <v>35.73107163957153</v>
      </c>
      <c r="BZ25" s="305">
        <v>21.03644809453062</v>
      </c>
      <c r="CA25" s="306">
        <v>0.03717379942787987</v>
      </c>
      <c r="CB25" s="307">
        <v>0.022082210346582528</v>
      </c>
      <c r="CC25" s="308">
        <v>61.20839310425181</v>
      </c>
      <c r="CD25" s="309">
        <v>36.80441386610305</v>
      </c>
      <c r="CE25" s="310"/>
    </row>
    <row r="26" spans="1:99" s="267" customFormat="1" ht="12.75">
      <c r="A26" s="35"/>
      <c r="B26" s="105"/>
      <c r="C26" s="105"/>
      <c r="D26" s="223"/>
      <c r="E26" s="219"/>
      <c r="F26" s="226"/>
      <c r="G26" s="229"/>
      <c r="H26" s="226"/>
      <c r="I26" s="229"/>
      <c r="J26" s="226"/>
      <c r="K26" s="229"/>
      <c r="L26" s="226"/>
      <c r="M26" s="229"/>
      <c r="N26" s="226"/>
      <c r="O26" s="229"/>
      <c r="P26" s="226"/>
      <c r="Q26" s="229"/>
      <c r="R26" s="226"/>
      <c r="S26" s="229"/>
      <c r="T26" s="226"/>
      <c r="U26" s="229"/>
      <c r="V26" s="226"/>
      <c r="W26" s="229"/>
      <c r="X26" s="226"/>
      <c r="Y26" s="229"/>
      <c r="Z26" s="226"/>
      <c r="AA26" s="229"/>
      <c r="AB26" s="226"/>
      <c r="AC26" s="229"/>
      <c r="AD26" s="241"/>
      <c r="AE26" s="101"/>
      <c r="AF26" s="101"/>
      <c r="AG26" s="227"/>
      <c r="AH26" s="228"/>
      <c r="AI26" s="101"/>
      <c r="AJ26" s="101"/>
      <c r="AK26" s="227"/>
      <c r="AL26" s="228"/>
      <c r="AM26" s="101"/>
      <c r="AN26" s="101"/>
      <c r="AO26" s="227"/>
      <c r="AP26" s="228"/>
      <c r="AQ26" s="101"/>
      <c r="AR26" s="101"/>
      <c r="AS26" s="227"/>
      <c r="AT26" s="228"/>
      <c r="AU26" s="101"/>
      <c r="AV26" s="101"/>
      <c r="AW26" s="227"/>
      <c r="AX26" s="228"/>
      <c r="AY26" s="101"/>
      <c r="AZ26" s="101"/>
      <c r="BA26" s="227"/>
      <c r="BB26" s="228"/>
      <c r="BC26" s="101"/>
      <c r="BD26" s="101"/>
      <c r="BE26" s="243"/>
      <c r="BF26" s="101"/>
      <c r="BG26" s="227"/>
      <c r="BH26" s="228"/>
      <c r="BI26" s="101"/>
      <c r="BJ26" s="101"/>
      <c r="BK26" s="227"/>
      <c r="BL26" s="228"/>
      <c r="BM26" s="101"/>
      <c r="BN26" s="101"/>
      <c r="BO26" s="227"/>
      <c r="BP26" s="228"/>
      <c r="BQ26" s="101"/>
      <c r="BR26" s="101"/>
      <c r="BS26" s="227"/>
      <c r="BT26" s="228"/>
      <c r="BU26" s="101"/>
      <c r="BV26" s="101"/>
      <c r="BW26" s="227"/>
      <c r="BX26" s="228"/>
      <c r="BY26" s="101"/>
      <c r="BZ26" s="101"/>
      <c r="CA26" s="227"/>
      <c r="CB26" s="228"/>
      <c r="CC26" s="101"/>
      <c r="CD26" s="264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</row>
  </sheetData>
  <mergeCells count="3">
    <mergeCell ref="E2:AC2"/>
    <mergeCell ref="AE2:BC2"/>
    <mergeCell ref="BE2:C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4"/>
  <sheetViews>
    <sheetView workbookViewId="0" topLeftCell="F1">
      <selection activeCell="M26" sqref="M26"/>
    </sheetView>
  </sheetViews>
  <sheetFormatPr defaultColWidth="8.88671875" defaultRowHeight="15"/>
  <cols>
    <col min="1" max="1" width="8.88671875" style="24" customWidth="1"/>
    <col min="2" max="2" width="10.99609375" style="24" customWidth="1"/>
    <col min="3" max="5" width="8.88671875" style="24" customWidth="1"/>
    <col min="6" max="6" width="17.77734375" style="28" customWidth="1"/>
    <col min="7" max="7" width="19.88671875" style="28" customWidth="1"/>
    <col min="8" max="8" width="15.6640625" style="24" bestFit="1" customWidth="1"/>
    <col min="9" max="9" width="8.6640625" style="24" customWidth="1"/>
    <col min="10" max="13" width="9.88671875" style="24" customWidth="1"/>
    <col min="14" max="14" width="69.6640625" style="24" bestFit="1" customWidth="1"/>
    <col min="15" max="16384" width="8.88671875" style="24" customWidth="1"/>
  </cols>
  <sheetData>
    <row r="1" spans="1:16" s="21" customFormat="1" ht="39" customHeight="1" thickBot="1">
      <c r="A1" s="21" t="s">
        <v>69</v>
      </c>
      <c r="B1" s="39" t="s">
        <v>70</v>
      </c>
      <c r="C1" s="21" t="s">
        <v>2</v>
      </c>
      <c r="D1" s="21" t="s">
        <v>3</v>
      </c>
      <c r="E1" s="21" t="s">
        <v>38</v>
      </c>
      <c r="F1" s="22" t="s">
        <v>39</v>
      </c>
      <c r="G1" s="22" t="s">
        <v>40</v>
      </c>
      <c r="H1" s="21" t="s">
        <v>41</v>
      </c>
      <c r="I1" s="44" t="s">
        <v>72</v>
      </c>
      <c r="J1" s="45" t="s">
        <v>73</v>
      </c>
      <c r="K1" s="45" t="s">
        <v>74</v>
      </c>
      <c r="L1" s="45" t="s">
        <v>162</v>
      </c>
      <c r="M1" s="45" t="s">
        <v>166</v>
      </c>
      <c r="N1" s="21" t="s">
        <v>42</v>
      </c>
      <c r="P1" s="23"/>
    </row>
    <row r="2" spans="1:13" s="25" customFormat="1" ht="12.75">
      <c r="A2" s="25" t="str">
        <f aca="true" t="shared" si="0" ref="A2:A46">CONCATENATE(D2,"_",E2)</f>
        <v>101_Oie</v>
      </c>
      <c r="B2" s="25" t="s">
        <v>92</v>
      </c>
      <c r="C2" s="40">
        <v>38246</v>
      </c>
      <c r="D2" s="36">
        <v>101</v>
      </c>
      <c r="E2" s="25" t="s">
        <v>43</v>
      </c>
      <c r="F2" s="26"/>
      <c r="G2" s="26"/>
      <c r="H2" s="27"/>
      <c r="I2" s="27"/>
      <c r="J2" s="27"/>
      <c r="K2" s="27"/>
      <c r="L2" s="27"/>
      <c r="M2" s="27"/>
    </row>
    <row r="3" spans="1:13" ht="12.75">
      <c r="A3" s="24" t="str">
        <f t="shared" si="0"/>
        <v>101_Oa</v>
      </c>
      <c r="B3" s="24" t="s">
        <v>93</v>
      </c>
      <c r="C3" s="33">
        <v>38246</v>
      </c>
      <c r="D3" s="37">
        <v>101</v>
      </c>
      <c r="E3" s="24" t="s">
        <v>10</v>
      </c>
      <c r="H3" s="29"/>
      <c r="I3" s="29"/>
      <c r="J3" s="29"/>
      <c r="K3" s="29"/>
      <c r="L3" s="29"/>
      <c r="M3" s="29"/>
    </row>
    <row r="4" spans="1:14" ht="12.75">
      <c r="A4" s="24" t="str">
        <f t="shared" si="0"/>
        <v>101_B</v>
      </c>
      <c r="B4" s="24" t="s">
        <v>94</v>
      </c>
      <c r="C4" s="33">
        <v>38246</v>
      </c>
      <c r="D4" s="37">
        <v>101</v>
      </c>
      <c r="E4" s="43" t="s">
        <v>6</v>
      </c>
      <c r="F4" s="28">
        <v>0.25</v>
      </c>
      <c r="G4" s="28">
        <v>0.84</v>
      </c>
      <c r="H4" s="24">
        <f>G4-F4</f>
        <v>0.59</v>
      </c>
      <c r="I4" s="24">
        <v>59</v>
      </c>
      <c r="J4" s="24">
        <f>7004*(I4-10)+5146*10</f>
        <v>394656</v>
      </c>
      <c r="K4" s="46">
        <v>1</v>
      </c>
      <c r="L4" s="24">
        <f>1972*(I4-10)+1948*10</f>
        <v>116108</v>
      </c>
      <c r="M4" s="46">
        <f>L4/J4</f>
        <v>0.29420051893294413</v>
      </c>
      <c r="N4" s="24" t="s">
        <v>44</v>
      </c>
    </row>
    <row r="5" spans="1:14" s="30" customFormat="1" ht="13.5" thickBot="1">
      <c r="A5" s="30" t="str">
        <f t="shared" si="0"/>
        <v>101_C</v>
      </c>
      <c r="B5" s="30" t="s">
        <v>95</v>
      </c>
      <c r="C5" s="41">
        <v>38246</v>
      </c>
      <c r="D5" s="38">
        <v>101</v>
      </c>
      <c r="E5" s="30" t="s">
        <v>8</v>
      </c>
      <c r="F5" s="31">
        <v>0.84</v>
      </c>
      <c r="G5" s="31"/>
      <c r="H5" s="32"/>
      <c r="I5" s="32"/>
      <c r="J5" s="32"/>
      <c r="K5" s="47"/>
      <c r="L5" s="47"/>
      <c r="M5" s="47"/>
      <c r="N5" s="30" t="s">
        <v>45</v>
      </c>
    </row>
    <row r="6" spans="1:13" ht="12.75">
      <c r="A6" s="24" t="str">
        <f t="shared" si="0"/>
        <v>CC2_Oie</v>
      </c>
      <c r="B6" s="24" t="s">
        <v>96</v>
      </c>
      <c r="C6" s="33">
        <v>38245</v>
      </c>
      <c r="D6" s="24" t="s">
        <v>19</v>
      </c>
      <c r="E6" s="24" t="s">
        <v>43</v>
      </c>
      <c r="H6" s="29"/>
      <c r="I6" s="29"/>
      <c r="J6" s="29"/>
      <c r="K6" s="48"/>
      <c r="L6" s="48"/>
      <c r="M6" s="48"/>
    </row>
    <row r="7" spans="1:13" ht="12.75">
      <c r="A7" s="24" t="str">
        <f t="shared" si="0"/>
        <v>CC2_Oa</v>
      </c>
      <c r="B7" s="24" t="s">
        <v>97</v>
      </c>
      <c r="C7" s="33">
        <v>38245</v>
      </c>
      <c r="D7" s="24" t="s">
        <v>19</v>
      </c>
      <c r="E7" s="24" t="s">
        <v>10</v>
      </c>
      <c r="H7" s="29"/>
      <c r="I7" s="29"/>
      <c r="J7" s="29"/>
      <c r="K7" s="48"/>
      <c r="L7" s="48"/>
      <c r="M7" s="48"/>
    </row>
    <row r="8" spans="1:13" ht="12.75">
      <c r="A8" s="24" t="str">
        <f t="shared" si="0"/>
        <v>CC2_E</v>
      </c>
      <c r="B8" s="24" t="s">
        <v>98</v>
      </c>
      <c r="C8" s="33">
        <v>38245</v>
      </c>
      <c r="D8" s="24" t="s">
        <v>19</v>
      </c>
      <c r="E8" s="43" t="s">
        <v>9</v>
      </c>
      <c r="G8" s="34" t="s">
        <v>46</v>
      </c>
      <c r="H8" s="35" t="s">
        <v>46</v>
      </c>
      <c r="I8" s="35">
        <v>13</v>
      </c>
      <c r="J8" s="24">
        <f>7004*(I8-10)+5146*10</f>
        <v>72472</v>
      </c>
      <c r="K8" s="46">
        <f>J8/SUM(J$8:J$10)</f>
        <v>0.14107185959776067</v>
      </c>
      <c r="L8" s="24">
        <f>1972*(I8-10)+1948*10</f>
        <v>25396</v>
      </c>
      <c r="M8" s="46">
        <f>L8/J8</f>
        <v>0.3504249917209405</v>
      </c>
    </row>
    <row r="9" spans="1:14" ht="12.75">
      <c r="A9" s="24" t="str">
        <f t="shared" si="0"/>
        <v>CC2_A</v>
      </c>
      <c r="B9" s="24" t="s">
        <v>99</v>
      </c>
      <c r="C9" s="33">
        <v>38245</v>
      </c>
      <c r="D9" s="24" t="s">
        <v>19</v>
      </c>
      <c r="E9" s="43" t="s">
        <v>18</v>
      </c>
      <c r="H9" s="35" t="s">
        <v>47</v>
      </c>
      <c r="I9" s="35">
        <v>4</v>
      </c>
      <c r="J9" s="35">
        <f>I9*7004</f>
        <v>28016</v>
      </c>
      <c r="K9" s="46">
        <f>J9/SUM(J$8:J$10)</f>
        <v>0.05453512002553901</v>
      </c>
      <c r="L9" s="35">
        <f>I9*1972</f>
        <v>7888</v>
      </c>
      <c r="M9" s="46">
        <f>L9/J9</f>
        <v>0.2815533980582524</v>
      </c>
      <c r="N9" s="24" t="s">
        <v>48</v>
      </c>
    </row>
    <row r="10" spans="1:13" ht="12.75">
      <c r="A10" s="24" t="str">
        <f t="shared" si="0"/>
        <v>CC2_B</v>
      </c>
      <c r="B10" s="24" t="s">
        <v>100</v>
      </c>
      <c r="C10" s="33">
        <v>38245</v>
      </c>
      <c r="D10" s="24" t="s">
        <v>19</v>
      </c>
      <c r="E10" s="43" t="s">
        <v>6</v>
      </c>
      <c r="F10" s="28">
        <v>0.13</v>
      </c>
      <c r="G10" s="28">
        <v>0.72</v>
      </c>
      <c r="H10" s="24">
        <f>G10-F10</f>
        <v>0.59</v>
      </c>
      <c r="I10" s="24">
        <v>59</v>
      </c>
      <c r="J10" s="35">
        <f>I10*7004</f>
        <v>413236</v>
      </c>
      <c r="K10" s="46">
        <f>J10/SUM(J$8:J$10)</f>
        <v>0.8043930203767004</v>
      </c>
      <c r="L10" s="35">
        <f>I10*1972</f>
        <v>116348</v>
      </c>
      <c r="M10" s="46">
        <f>L10/J10</f>
        <v>0.2815533980582524</v>
      </c>
    </row>
    <row r="11" spans="1:13" ht="13.5" thickBot="1">
      <c r="A11" s="24" t="str">
        <f t="shared" si="0"/>
        <v>CC2_C</v>
      </c>
      <c r="B11" s="24" t="s">
        <v>101</v>
      </c>
      <c r="C11" s="33">
        <v>38245</v>
      </c>
      <c r="D11" s="24" t="s">
        <v>19</v>
      </c>
      <c r="E11" s="24" t="s">
        <v>8</v>
      </c>
      <c r="F11" s="28">
        <v>0.72</v>
      </c>
      <c r="H11" s="29"/>
      <c r="I11" s="29"/>
      <c r="J11" s="29"/>
      <c r="K11" s="48"/>
      <c r="L11" s="48"/>
      <c r="M11" s="48"/>
    </row>
    <row r="12" spans="1:14" s="25" customFormat="1" ht="12.75">
      <c r="A12" s="25" t="str">
        <f t="shared" si="0"/>
        <v>H2_Oie</v>
      </c>
      <c r="B12" s="25" t="s">
        <v>102</v>
      </c>
      <c r="C12" s="40">
        <v>38161</v>
      </c>
      <c r="D12" s="25" t="s">
        <v>5</v>
      </c>
      <c r="E12" s="25" t="s">
        <v>43</v>
      </c>
      <c r="F12" s="26"/>
      <c r="G12" s="26"/>
      <c r="H12" s="27"/>
      <c r="I12" s="27"/>
      <c r="J12" s="27"/>
      <c r="K12" s="49"/>
      <c r="L12" s="49"/>
      <c r="M12" s="49"/>
      <c r="N12" s="25" t="s">
        <v>49</v>
      </c>
    </row>
    <row r="13" spans="1:13" ht="12.75">
      <c r="A13" s="24" t="str">
        <f t="shared" si="0"/>
        <v>H2_Oa</v>
      </c>
      <c r="B13" s="24" t="s">
        <v>103</v>
      </c>
      <c r="C13" s="33">
        <v>38161</v>
      </c>
      <c r="D13" s="24" t="s">
        <v>5</v>
      </c>
      <c r="E13" s="24" t="s">
        <v>10</v>
      </c>
      <c r="H13" s="29"/>
      <c r="I13" s="29"/>
      <c r="J13" s="29"/>
      <c r="K13" s="48"/>
      <c r="L13" s="48"/>
      <c r="M13" s="48"/>
    </row>
    <row r="14" spans="1:13" ht="12.75">
      <c r="A14" s="24" t="str">
        <f t="shared" si="0"/>
        <v>H2_E</v>
      </c>
      <c r="B14" s="24" t="s">
        <v>104</v>
      </c>
      <c r="C14" s="33">
        <v>38161</v>
      </c>
      <c r="D14" s="24" t="s">
        <v>5</v>
      </c>
      <c r="E14" s="43" t="s">
        <v>9</v>
      </c>
      <c r="H14" s="24">
        <v>0.04</v>
      </c>
      <c r="I14" s="24">
        <v>4</v>
      </c>
      <c r="J14" s="24">
        <f>I14*5146</f>
        <v>20584</v>
      </c>
      <c r="K14" s="46">
        <f>J14/SUM(J$14:J$15)</f>
        <v>0.04952029023162716</v>
      </c>
      <c r="L14" s="24">
        <f>I14*1948</f>
        <v>7792</v>
      </c>
      <c r="M14" s="46">
        <f>L14/J14</f>
        <v>0.3785464438398756</v>
      </c>
    </row>
    <row r="15" spans="1:14" ht="12.75">
      <c r="A15" s="24" t="str">
        <f t="shared" si="0"/>
        <v>H2_B</v>
      </c>
      <c r="B15" s="24" t="s">
        <v>105</v>
      </c>
      <c r="C15" s="33">
        <v>38161</v>
      </c>
      <c r="D15" s="24" t="s">
        <v>5</v>
      </c>
      <c r="E15" s="43" t="s">
        <v>6</v>
      </c>
      <c r="H15" s="24">
        <v>0.58</v>
      </c>
      <c r="I15" s="24">
        <v>58</v>
      </c>
      <c r="J15" s="24">
        <f>7004*(I15-(10-I14))+5146*(10-I14)</f>
        <v>395084</v>
      </c>
      <c r="K15" s="46">
        <f>J15/SUM(J$14:J$15)</f>
        <v>0.9504797097683728</v>
      </c>
      <c r="L15" s="24">
        <f>1972*(I15-(10-I14))+1948*(10-I14)</f>
        <v>114232</v>
      </c>
      <c r="M15" s="46">
        <f>L15/J15</f>
        <v>0.2891334501017505</v>
      </c>
      <c r="N15" s="24" t="s">
        <v>50</v>
      </c>
    </row>
    <row r="16" spans="1:13" s="30" customFormat="1" ht="13.5" thickBot="1">
      <c r="A16" s="30" t="str">
        <f t="shared" si="0"/>
        <v>H2_C</v>
      </c>
      <c r="B16" s="30" t="s">
        <v>106</v>
      </c>
      <c r="C16" s="41">
        <v>38161</v>
      </c>
      <c r="D16" s="30" t="s">
        <v>5</v>
      </c>
      <c r="E16" s="30" t="s">
        <v>8</v>
      </c>
      <c r="F16" s="31"/>
      <c r="G16" s="31"/>
      <c r="H16" s="32"/>
      <c r="I16" s="32"/>
      <c r="J16" s="32"/>
      <c r="K16" s="47"/>
      <c r="L16" s="47"/>
      <c r="M16" s="47"/>
    </row>
    <row r="17" spans="1:13" ht="12.75">
      <c r="A17" s="24" t="str">
        <f t="shared" si="0"/>
        <v>H3_Oie</v>
      </c>
      <c r="B17" s="24" t="s">
        <v>107</v>
      </c>
      <c r="C17" s="33">
        <v>38236</v>
      </c>
      <c r="D17" s="24" t="s">
        <v>21</v>
      </c>
      <c r="E17" s="24" t="s">
        <v>43</v>
      </c>
      <c r="H17" s="29"/>
      <c r="I17" s="29"/>
      <c r="J17" s="29"/>
      <c r="K17" s="48"/>
      <c r="L17" s="48"/>
      <c r="M17" s="48"/>
    </row>
    <row r="18" spans="1:14" ht="12.75">
      <c r="A18" s="24" t="str">
        <f t="shared" si="0"/>
        <v>H3_Oa</v>
      </c>
      <c r="B18" s="24" t="s">
        <v>108</v>
      </c>
      <c r="C18" s="33">
        <v>38236</v>
      </c>
      <c r="D18" s="24" t="s">
        <v>21</v>
      </c>
      <c r="E18" s="24" t="s">
        <v>10</v>
      </c>
      <c r="F18" s="28">
        <v>0.045</v>
      </c>
      <c r="G18" s="28">
        <v>0.135</v>
      </c>
      <c r="H18" s="29">
        <f>G18-F18</f>
        <v>0.09000000000000001</v>
      </c>
      <c r="I18" s="29"/>
      <c r="J18" s="29"/>
      <c r="K18" s="48"/>
      <c r="L18" s="48"/>
      <c r="M18" s="48"/>
      <c r="N18" s="24" t="s">
        <v>51</v>
      </c>
    </row>
    <row r="19" spans="1:13" ht="12.75">
      <c r="A19" s="24" t="str">
        <f t="shared" si="0"/>
        <v>H3_E</v>
      </c>
      <c r="B19" s="24" t="s">
        <v>109</v>
      </c>
      <c r="C19" s="33">
        <v>38236</v>
      </c>
      <c r="D19" s="24" t="s">
        <v>21</v>
      </c>
      <c r="E19" s="43" t="s">
        <v>9</v>
      </c>
      <c r="F19" s="28">
        <v>0.135</v>
      </c>
      <c r="G19" s="28">
        <v>0.175</v>
      </c>
      <c r="H19" s="24">
        <f>G19-F19</f>
        <v>0.03999999999999998</v>
      </c>
      <c r="I19" s="24">
        <v>4</v>
      </c>
      <c r="J19" s="24">
        <f>I19*5146</f>
        <v>20584</v>
      </c>
      <c r="K19" s="46">
        <f>J19/SUM(J$19:J$21)</f>
        <v>0.03612774591228526</v>
      </c>
      <c r="L19" s="24">
        <f>I19*1948</f>
        <v>7792</v>
      </c>
      <c r="M19" s="46">
        <f>L19/J19</f>
        <v>0.3785464438398756</v>
      </c>
    </row>
    <row r="20" spans="1:13" ht="12.75">
      <c r="A20" s="24" t="str">
        <f t="shared" si="0"/>
        <v>H3_B1</v>
      </c>
      <c r="B20" s="24" t="s">
        <v>110</v>
      </c>
      <c r="C20" s="33">
        <v>38236</v>
      </c>
      <c r="D20" s="24" t="s">
        <v>21</v>
      </c>
      <c r="E20" s="43" t="s">
        <v>15</v>
      </c>
      <c r="F20" s="28">
        <v>0.175</v>
      </c>
      <c r="G20" s="28">
        <v>0.58</v>
      </c>
      <c r="H20" s="24">
        <f>G20-F20</f>
        <v>0.40499999999999997</v>
      </c>
      <c r="I20" s="24">
        <v>40.5</v>
      </c>
      <c r="J20" s="24">
        <f>7004*(I20-(10-I19))+5146*(10-I19)</f>
        <v>272514</v>
      </c>
      <c r="K20" s="46">
        <f>J20/SUM(J$19:J$21)</f>
        <v>0.47829948258552785</v>
      </c>
      <c r="L20" s="24">
        <f>1972*(I20-(10-I19))+1948*(10-I19)</f>
        <v>79722</v>
      </c>
      <c r="M20" s="46">
        <f>L20/J20</f>
        <v>0.29254276844492394</v>
      </c>
    </row>
    <row r="21" spans="1:13" ht="12.75">
      <c r="A21" s="24" t="str">
        <f t="shared" si="0"/>
        <v>H3_B2</v>
      </c>
      <c r="B21" s="24" t="s">
        <v>111</v>
      </c>
      <c r="C21" s="33">
        <v>38236</v>
      </c>
      <c r="D21" s="24" t="s">
        <v>21</v>
      </c>
      <c r="E21" s="43" t="s">
        <v>16</v>
      </c>
      <c r="F21" s="28">
        <v>0.58</v>
      </c>
      <c r="G21" s="28">
        <v>0.975</v>
      </c>
      <c r="H21" s="24">
        <f>G21-F21</f>
        <v>0.395</v>
      </c>
      <c r="I21" s="24">
        <v>39.5</v>
      </c>
      <c r="J21" s="35">
        <f>I21*7004</f>
        <v>276658</v>
      </c>
      <c r="K21" s="46">
        <f>J21/SUM(J$19:J$21)</f>
        <v>0.4855727715021869</v>
      </c>
      <c r="L21" s="35">
        <f>I21*1972</f>
        <v>77894</v>
      </c>
      <c r="M21" s="46">
        <f>L21/J21</f>
        <v>0.2815533980582524</v>
      </c>
    </row>
    <row r="22" spans="1:13" ht="13.5" thickBot="1">
      <c r="A22" s="24" t="str">
        <f t="shared" si="0"/>
        <v>H3_C</v>
      </c>
      <c r="B22" s="24" t="s">
        <v>112</v>
      </c>
      <c r="C22" s="33">
        <v>38236</v>
      </c>
      <c r="D22" s="24" t="s">
        <v>21</v>
      </c>
      <c r="E22" s="24" t="s">
        <v>8</v>
      </c>
      <c r="F22" s="28">
        <v>0.975</v>
      </c>
      <c r="H22" s="29"/>
      <c r="I22" s="29"/>
      <c r="J22" s="29"/>
      <c r="K22" s="48"/>
      <c r="L22" s="48"/>
      <c r="M22" s="48"/>
    </row>
    <row r="23" spans="1:14" s="25" customFormat="1" ht="12.75">
      <c r="A23" s="25" t="str">
        <f t="shared" si="0"/>
        <v>H5_Oie</v>
      </c>
      <c r="B23" s="25" t="s">
        <v>113</v>
      </c>
      <c r="C23" s="40">
        <v>38236</v>
      </c>
      <c r="D23" s="25" t="s">
        <v>12</v>
      </c>
      <c r="E23" s="25" t="s">
        <v>43</v>
      </c>
      <c r="F23" s="26"/>
      <c r="G23" s="26"/>
      <c r="H23" s="27"/>
      <c r="I23" s="27"/>
      <c r="J23" s="27"/>
      <c r="K23" s="49"/>
      <c r="L23" s="49"/>
      <c r="M23" s="49"/>
      <c r="N23" s="25" t="s">
        <v>52</v>
      </c>
    </row>
    <row r="24" spans="1:13" ht="12.75">
      <c r="A24" s="24" t="str">
        <f t="shared" si="0"/>
        <v>H5_Oa</v>
      </c>
      <c r="B24" s="24" t="s">
        <v>114</v>
      </c>
      <c r="C24" s="33">
        <v>38236</v>
      </c>
      <c r="D24" s="24" t="s">
        <v>12</v>
      </c>
      <c r="E24" s="24" t="s">
        <v>10</v>
      </c>
      <c r="H24" s="29"/>
      <c r="I24" s="29"/>
      <c r="J24" s="29"/>
      <c r="K24" s="48"/>
      <c r="L24" s="48"/>
      <c r="M24" s="48"/>
    </row>
    <row r="25" spans="1:13" ht="12.75">
      <c r="A25" s="24" t="str">
        <f t="shared" si="0"/>
        <v>H5_E1</v>
      </c>
      <c r="B25" s="24" t="s">
        <v>115</v>
      </c>
      <c r="C25" s="33">
        <v>38236</v>
      </c>
      <c r="D25" s="24" t="s">
        <v>12</v>
      </c>
      <c r="E25" s="43" t="s">
        <v>14</v>
      </c>
      <c r="F25" s="28">
        <v>0.06</v>
      </c>
      <c r="G25" s="28">
        <v>0.16</v>
      </c>
      <c r="H25" s="24">
        <v>0.1</v>
      </c>
      <c r="I25" s="24">
        <v>10</v>
      </c>
      <c r="J25" s="24">
        <f>7004*(I25-10)+5146*10</f>
        <v>51460</v>
      </c>
      <c r="K25" s="46">
        <f>J25/SUM(J$25:J$28)</f>
        <v>0.08710695230615063</v>
      </c>
      <c r="L25" s="24">
        <f>1972*(I25-10)+1948*10</f>
        <v>19480</v>
      </c>
      <c r="M25" s="46">
        <f>L25/J25</f>
        <v>0.3785464438398756</v>
      </c>
    </row>
    <row r="26" spans="1:13" ht="12.75">
      <c r="A26" s="24" t="str">
        <f t="shared" si="0"/>
        <v>H5_E2</v>
      </c>
      <c r="B26" s="24" t="s">
        <v>116</v>
      </c>
      <c r="C26" s="33">
        <v>38236</v>
      </c>
      <c r="D26" s="24" t="s">
        <v>12</v>
      </c>
      <c r="E26" s="43" t="s">
        <v>13</v>
      </c>
      <c r="F26" s="28">
        <v>0.33</v>
      </c>
      <c r="G26" s="28">
        <v>0.52</v>
      </c>
      <c r="H26" s="24">
        <f>G26-F26</f>
        <v>0.19</v>
      </c>
      <c r="I26" s="24">
        <v>19</v>
      </c>
      <c r="J26" s="35">
        <f>I26*7004</f>
        <v>133076</v>
      </c>
      <c r="K26" s="46">
        <f>J26/SUM(J$25:J$28)</f>
        <v>0.22525932345692387</v>
      </c>
      <c r="L26" s="35">
        <f>I26*1972</f>
        <v>37468</v>
      </c>
      <c r="M26" s="46">
        <f>L26/J26</f>
        <v>0.2815533980582524</v>
      </c>
    </row>
    <row r="27" spans="1:13" ht="12.75">
      <c r="A27" s="24" t="str">
        <f t="shared" si="0"/>
        <v>H5_B1</v>
      </c>
      <c r="B27" s="24" t="s">
        <v>117</v>
      </c>
      <c r="C27" s="33">
        <v>38236</v>
      </c>
      <c r="D27" s="24" t="s">
        <v>12</v>
      </c>
      <c r="E27" s="43" t="s">
        <v>15</v>
      </c>
      <c r="F27" s="28">
        <v>0.16</v>
      </c>
      <c r="G27" s="28">
        <v>0.33</v>
      </c>
      <c r="H27" s="24">
        <v>0.17</v>
      </c>
      <c r="I27" s="24">
        <v>17</v>
      </c>
      <c r="J27" s="35">
        <f>I27*7004</f>
        <v>119068</v>
      </c>
      <c r="K27" s="46">
        <f>J27/SUM(J$25:J$28)</f>
        <v>0.20154781572461608</v>
      </c>
      <c r="L27" s="35">
        <f>I27*1972</f>
        <v>33524</v>
      </c>
      <c r="M27" s="46">
        <f>L27/J27</f>
        <v>0.2815533980582524</v>
      </c>
    </row>
    <row r="28" spans="1:13" ht="12.75">
      <c r="A28" s="24" t="str">
        <f t="shared" si="0"/>
        <v>H5_B2</v>
      </c>
      <c r="B28" s="24" t="s">
        <v>118</v>
      </c>
      <c r="C28" s="33">
        <v>38236</v>
      </c>
      <c r="D28" s="24" t="s">
        <v>12</v>
      </c>
      <c r="E28" s="43" t="s">
        <v>16</v>
      </c>
      <c r="F28" s="28">
        <v>0.52</v>
      </c>
      <c r="G28" s="28">
        <v>0.93</v>
      </c>
      <c r="H28" s="24">
        <v>0.41</v>
      </c>
      <c r="I28" s="24">
        <v>41</v>
      </c>
      <c r="J28" s="35">
        <f>I28*7004</f>
        <v>287164</v>
      </c>
      <c r="K28" s="46">
        <f>J28/SUM(J$25:J$28)</f>
        <v>0.48608590851230943</v>
      </c>
      <c r="L28" s="35">
        <f>I28*1972</f>
        <v>80852</v>
      </c>
      <c r="M28" s="46">
        <f>L28/J28</f>
        <v>0.2815533980582524</v>
      </c>
    </row>
    <row r="29" spans="1:14" s="30" customFormat="1" ht="13.5" thickBot="1">
      <c r="A29" s="30" t="str">
        <f t="shared" si="0"/>
        <v>H5_C</v>
      </c>
      <c r="B29" s="30" t="s">
        <v>119</v>
      </c>
      <c r="C29" s="41">
        <v>38236</v>
      </c>
      <c r="D29" s="30" t="s">
        <v>12</v>
      </c>
      <c r="E29" s="30" t="s">
        <v>8</v>
      </c>
      <c r="F29" s="31">
        <v>0.93</v>
      </c>
      <c r="G29" s="31"/>
      <c r="H29" s="32"/>
      <c r="I29" s="32"/>
      <c r="J29" s="32"/>
      <c r="K29" s="47"/>
      <c r="L29" s="47"/>
      <c r="M29" s="47"/>
      <c r="N29" s="30" t="s">
        <v>53</v>
      </c>
    </row>
    <row r="30" spans="1:14" ht="12.75">
      <c r="A30" s="24" t="str">
        <f t="shared" si="0"/>
        <v>M3_Oie</v>
      </c>
      <c r="B30" s="24" t="s">
        <v>120</v>
      </c>
      <c r="C30" s="33">
        <v>38247</v>
      </c>
      <c r="D30" s="24" t="s">
        <v>20</v>
      </c>
      <c r="E30" s="24" t="s">
        <v>43</v>
      </c>
      <c r="H30" s="29"/>
      <c r="I30" s="29"/>
      <c r="J30" s="29"/>
      <c r="K30" s="48"/>
      <c r="L30" s="48"/>
      <c r="M30" s="48"/>
      <c r="N30" s="24" t="s">
        <v>54</v>
      </c>
    </row>
    <row r="31" spans="1:13" ht="12.75">
      <c r="A31" s="24" t="str">
        <f t="shared" si="0"/>
        <v>M3_Oa</v>
      </c>
      <c r="B31" s="24" t="s">
        <v>121</v>
      </c>
      <c r="C31" s="33">
        <v>38247</v>
      </c>
      <c r="D31" s="24" t="s">
        <v>20</v>
      </c>
      <c r="E31" s="24" t="s">
        <v>10</v>
      </c>
      <c r="H31" s="29"/>
      <c r="I31" s="29"/>
      <c r="J31" s="29"/>
      <c r="K31" s="48"/>
      <c r="L31" s="48"/>
      <c r="M31" s="48"/>
    </row>
    <row r="32" spans="1:14" ht="12.75">
      <c r="A32" s="24" t="str">
        <f t="shared" si="0"/>
        <v>M3_E</v>
      </c>
      <c r="B32" s="24" t="s">
        <v>122</v>
      </c>
      <c r="C32" s="33">
        <v>38247</v>
      </c>
      <c r="D32" s="24" t="s">
        <v>20</v>
      </c>
      <c r="E32" s="43" t="s">
        <v>9</v>
      </c>
      <c r="H32" s="35" t="s">
        <v>55</v>
      </c>
      <c r="I32" s="35">
        <v>20</v>
      </c>
      <c r="J32" s="24">
        <f>7004*(I32-10)+5146*10</f>
        <v>121500</v>
      </c>
      <c r="K32" s="46">
        <f>J32/SUM(J$32:J$34)</f>
        <v>0.27384354630773255</v>
      </c>
      <c r="L32" s="24">
        <f>1972*(I32-10)+1948*10</f>
        <v>39200</v>
      </c>
      <c r="M32" s="46">
        <f>L32/J32</f>
        <v>0.3226337448559671</v>
      </c>
      <c r="N32" s="24" t="s">
        <v>56</v>
      </c>
    </row>
    <row r="33" spans="1:13" ht="12.75">
      <c r="A33" s="24" t="str">
        <f t="shared" si="0"/>
        <v>M3_A</v>
      </c>
      <c r="B33" s="24" t="s">
        <v>123</v>
      </c>
      <c r="C33" s="33">
        <v>38247</v>
      </c>
      <c r="D33" s="24" t="s">
        <v>20</v>
      </c>
      <c r="E33" s="43" t="s">
        <v>18</v>
      </c>
      <c r="F33" s="28">
        <v>0.26</v>
      </c>
      <c r="G33" s="28">
        <v>0.44</v>
      </c>
      <c r="H33" s="24">
        <f>G33-F33</f>
        <v>0.18</v>
      </c>
      <c r="I33" s="24">
        <v>18</v>
      </c>
      <c r="J33" s="35">
        <f>I33*7004</f>
        <v>126072</v>
      </c>
      <c r="K33" s="46">
        <f>J33/SUM(J$32:J$34)</f>
        <v>0.28414817753175686</v>
      </c>
      <c r="L33" s="35">
        <f>I33*1972</f>
        <v>35496</v>
      </c>
      <c r="M33" s="46">
        <f>L33/J33</f>
        <v>0.2815533980582524</v>
      </c>
    </row>
    <row r="34" spans="1:13" ht="12.75">
      <c r="A34" s="24" t="str">
        <f t="shared" si="0"/>
        <v>M3_B</v>
      </c>
      <c r="B34" s="24" t="s">
        <v>124</v>
      </c>
      <c r="C34" s="33">
        <v>38247</v>
      </c>
      <c r="D34" s="24" t="s">
        <v>20</v>
      </c>
      <c r="E34" s="43" t="s">
        <v>6</v>
      </c>
      <c r="F34" s="28">
        <v>0.44</v>
      </c>
      <c r="G34" s="28">
        <v>0.72</v>
      </c>
      <c r="H34" s="24">
        <f>G34-F34</f>
        <v>0.27999999999999997</v>
      </c>
      <c r="I34" s="24">
        <v>28</v>
      </c>
      <c r="J34" s="35">
        <f>I34*7004</f>
        <v>196112</v>
      </c>
      <c r="K34" s="46">
        <f>J34/SUM(J$32:J$34)</f>
        <v>0.44200827616051064</v>
      </c>
      <c r="L34" s="35">
        <f>I34*1972</f>
        <v>55216</v>
      </c>
      <c r="M34" s="46">
        <f>L34/J34</f>
        <v>0.2815533980582524</v>
      </c>
    </row>
    <row r="35" spans="1:13" ht="13.5" thickBot="1">
      <c r="A35" s="24" t="str">
        <f t="shared" si="0"/>
        <v>M3_C</v>
      </c>
      <c r="B35" s="24" t="s">
        <v>125</v>
      </c>
      <c r="C35" s="33">
        <v>38247</v>
      </c>
      <c r="D35" s="24" t="s">
        <v>20</v>
      </c>
      <c r="E35" s="24" t="s">
        <v>8</v>
      </c>
      <c r="F35" s="28">
        <v>0.72</v>
      </c>
      <c r="H35" s="29"/>
      <c r="I35" s="29"/>
      <c r="J35" s="29"/>
      <c r="K35" s="48"/>
      <c r="L35" s="48"/>
      <c r="M35" s="48"/>
    </row>
    <row r="36" spans="1:14" s="25" customFormat="1" ht="12.75">
      <c r="A36" s="25" t="str">
        <f t="shared" si="0"/>
        <v>M4_Oie</v>
      </c>
      <c r="B36" s="25" t="s">
        <v>126</v>
      </c>
      <c r="C36" s="40">
        <v>38244</v>
      </c>
      <c r="D36" s="25" t="s">
        <v>17</v>
      </c>
      <c r="E36" s="25" t="s">
        <v>43</v>
      </c>
      <c r="F36" s="26"/>
      <c r="G36" s="26"/>
      <c r="H36" s="27"/>
      <c r="I36" s="27"/>
      <c r="J36" s="27"/>
      <c r="K36" s="49"/>
      <c r="L36" s="49"/>
      <c r="M36" s="49"/>
      <c r="N36" s="25" t="s">
        <v>57</v>
      </c>
    </row>
    <row r="37" spans="1:13" ht="12.75">
      <c r="A37" s="24" t="str">
        <f t="shared" si="0"/>
        <v>M4_Oa</v>
      </c>
      <c r="B37" s="24" t="s">
        <v>127</v>
      </c>
      <c r="C37" s="33">
        <v>38244</v>
      </c>
      <c r="D37" s="24" t="s">
        <v>17</v>
      </c>
      <c r="E37" s="24" t="s">
        <v>10</v>
      </c>
      <c r="H37" s="29"/>
      <c r="I37" s="29"/>
      <c r="J37" s="29"/>
      <c r="K37" s="48"/>
      <c r="L37" s="48"/>
      <c r="M37" s="48"/>
    </row>
    <row r="38" spans="1:14" ht="12.75">
      <c r="A38" s="24" t="str">
        <f t="shared" si="0"/>
        <v>M4_E</v>
      </c>
      <c r="B38" s="24" t="s">
        <v>128</v>
      </c>
      <c r="C38" s="33">
        <v>38244</v>
      </c>
      <c r="D38" s="24" t="s">
        <v>17</v>
      </c>
      <c r="E38" s="43" t="s">
        <v>9</v>
      </c>
      <c r="F38" s="28">
        <v>0.14</v>
      </c>
      <c r="G38" s="28">
        <v>0.27</v>
      </c>
      <c r="H38" s="24">
        <v>0.13</v>
      </c>
      <c r="I38" s="24">
        <v>13</v>
      </c>
      <c r="J38" s="24">
        <f>7004*(I38-10)+5146*10</f>
        <v>72472</v>
      </c>
      <c r="K38" s="46">
        <f>J38/SUM(J$38:J$40)</f>
        <v>0.17733884071021672</v>
      </c>
      <c r="L38" s="24">
        <f>1972*(I38-10)+1948*10</f>
        <v>25396</v>
      </c>
      <c r="M38" s="46">
        <f>L38/J38</f>
        <v>0.3504249917209405</v>
      </c>
      <c r="N38" s="24" t="s">
        <v>58</v>
      </c>
    </row>
    <row r="39" spans="1:13" ht="12.75">
      <c r="A39" s="24" t="str">
        <f t="shared" si="0"/>
        <v>M4_A</v>
      </c>
      <c r="B39" s="24" t="s">
        <v>129</v>
      </c>
      <c r="C39" s="33">
        <v>38244</v>
      </c>
      <c r="D39" s="24" t="s">
        <v>17</v>
      </c>
      <c r="E39" s="43" t="s">
        <v>18</v>
      </c>
      <c r="F39" s="28">
        <v>0.27</v>
      </c>
      <c r="G39" s="28">
        <v>0.46</v>
      </c>
      <c r="H39" s="24">
        <v>0.19</v>
      </c>
      <c r="I39" s="24">
        <v>19</v>
      </c>
      <c r="J39" s="35">
        <f>I39*7004</f>
        <v>133076</v>
      </c>
      <c r="K39" s="46">
        <f>J39/SUM(J$38:J$40)</f>
        <v>0.3256367088855392</v>
      </c>
      <c r="L39" s="35">
        <f>I39*1972</f>
        <v>37468</v>
      </c>
      <c r="M39" s="46">
        <f>L39/J39</f>
        <v>0.2815533980582524</v>
      </c>
    </row>
    <row r="40" spans="1:13" ht="12.75">
      <c r="A40" s="24" t="str">
        <f t="shared" si="0"/>
        <v>M4_B</v>
      </c>
      <c r="B40" s="24" t="s">
        <v>130</v>
      </c>
      <c r="C40" s="33">
        <v>38244</v>
      </c>
      <c r="D40" s="24" t="s">
        <v>17</v>
      </c>
      <c r="E40" s="43" t="s">
        <v>6</v>
      </c>
      <c r="F40" s="28">
        <v>0.46</v>
      </c>
      <c r="G40" s="28">
        <v>0.74</v>
      </c>
      <c r="H40" s="24">
        <v>0.28</v>
      </c>
      <c r="I40" s="24">
        <v>29</v>
      </c>
      <c r="J40" s="35">
        <f>I40*7004</f>
        <v>203116</v>
      </c>
      <c r="K40" s="46">
        <f>J40/SUM(J$38:J$40)</f>
        <v>0.4970244504042441</v>
      </c>
      <c r="L40" s="35">
        <f>I40*1972</f>
        <v>57188</v>
      </c>
      <c r="M40" s="46">
        <f>L40/J40</f>
        <v>0.2815533980582524</v>
      </c>
    </row>
    <row r="41" spans="1:13" s="30" customFormat="1" ht="13.5" thickBot="1">
      <c r="A41" s="30" t="str">
        <f t="shared" si="0"/>
        <v>M4_C</v>
      </c>
      <c r="B41" s="30" t="s">
        <v>131</v>
      </c>
      <c r="C41" s="41">
        <v>38244</v>
      </c>
      <c r="D41" s="30" t="s">
        <v>17</v>
      </c>
      <c r="E41" s="30" t="s">
        <v>8</v>
      </c>
      <c r="F41" s="31">
        <v>0.74</v>
      </c>
      <c r="G41" s="31"/>
      <c r="H41" s="32"/>
      <c r="I41" s="32"/>
      <c r="J41" s="32"/>
      <c r="K41" s="47"/>
      <c r="L41" s="32"/>
      <c r="M41" s="47"/>
    </row>
    <row r="42" spans="1:13" ht="12.75">
      <c r="A42" s="24" t="str">
        <f t="shared" si="0"/>
        <v>T20_Oie</v>
      </c>
      <c r="B42" s="24" t="s">
        <v>132</v>
      </c>
      <c r="C42" s="33">
        <v>38237</v>
      </c>
      <c r="D42" s="24" t="s">
        <v>22</v>
      </c>
      <c r="E42" s="24" t="s">
        <v>43</v>
      </c>
      <c r="H42" s="29"/>
      <c r="I42" s="29"/>
      <c r="J42" s="29"/>
      <c r="K42" s="48"/>
      <c r="L42" s="29"/>
      <c r="M42" s="48"/>
    </row>
    <row r="43" spans="1:14" ht="12.75">
      <c r="A43" s="24" t="str">
        <f t="shared" si="0"/>
        <v>T20_Oa</v>
      </c>
      <c r="B43" s="24" t="s">
        <v>133</v>
      </c>
      <c r="C43" s="33">
        <v>38237</v>
      </c>
      <c r="D43" s="24" t="s">
        <v>22</v>
      </c>
      <c r="E43" s="24" t="s">
        <v>10</v>
      </c>
      <c r="F43" s="28">
        <v>0</v>
      </c>
      <c r="G43" s="28">
        <v>0.19</v>
      </c>
      <c r="H43" s="29">
        <v>0.19</v>
      </c>
      <c r="I43" s="29"/>
      <c r="J43" s="29"/>
      <c r="K43" s="48"/>
      <c r="L43" s="29"/>
      <c r="M43" s="48"/>
      <c r="N43" s="24" t="s">
        <v>59</v>
      </c>
    </row>
    <row r="44" spans="1:13" ht="12.75">
      <c r="A44" s="24" t="str">
        <f t="shared" si="0"/>
        <v>T20_A</v>
      </c>
      <c r="B44" s="24" t="s">
        <v>134</v>
      </c>
      <c r="C44" s="33">
        <v>38237</v>
      </c>
      <c r="D44" s="24" t="s">
        <v>22</v>
      </c>
      <c r="E44" s="43" t="s">
        <v>18</v>
      </c>
      <c r="F44" s="28">
        <v>0.19</v>
      </c>
      <c r="G44" s="28">
        <v>0.28</v>
      </c>
      <c r="H44" s="24">
        <f>G44-F44</f>
        <v>0.09000000000000002</v>
      </c>
      <c r="I44" s="24">
        <v>9</v>
      </c>
      <c r="J44" s="24">
        <f>I44*5146</f>
        <v>46314</v>
      </c>
      <c r="K44" s="46">
        <f>J44/SUM(J$44:J$45)</f>
        <v>0.13399956022081544</v>
      </c>
      <c r="L44" s="24">
        <f>I44*1948</f>
        <v>17532</v>
      </c>
      <c r="M44" s="46">
        <f>L44/J44</f>
        <v>0.3785464438398756</v>
      </c>
    </row>
    <row r="45" spans="1:13" ht="12.75">
      <c r="A45" s="24" t="str">
        <f t="shared" si="0"/>
        <v>T20_B</v>
      </c>
      <c r="B45" s="24" t="s">
        <v>135</v>
      </c>
      <c r="C45" s="33">
        <v>38237</v>
      </c>
      <c r="D45" s="24" t="s">
        <v>22</v>
      </c>
      <c r="E45" s="43" t="s">
        <v>6</v>
      </c>
      <c r="F45" s="28">
        <v>0.28</v>
      </c>
      <c r="G45" s="28">
        <v>0.71</v>
      </c>
      <c r="H45" s="24">
        <f>G45-F45</f>
        <v>0.42999999999999994</v>
      </c>
      <c r="I45" s="24">
        <v>43</v>
      </c>
      <c r="J45" s="24">
        <f>7004*(I45-(10-I44))+5146*(10-I44)</f>
        <v>299314</v>
      </c>
      <c r="K45" s="46">
        <f>J45/SUM(J$44:J$45)</f>
        <v>0.8660004397791845</v>
      </c>
      <c r="L45" s="24">
        <f>1972*(I45-(10-I44))+1948*(10-I44)</f>
        <v>84772</v>
      </c>
      <c r="M45" s="46">
        <f>L45/J45</f>
        <v>0.2832209652739264</v>
      </c>
    </row>
    <row r="46" spans="1:13" ht="12.75">
      <c r="A46" s="24" t="str">
        <f t="shared" si="0"/>
        <v>T20_C</v>
      </c>
      <c r="B46" s="24" t="s">
        <v>136</v>
      </c>
      <c r="C46" s="33">
        <v>38237</v>
      </c>
      <c r="D46" s="24" t="s">
        <v>22</v>
      </c>
      <c r="E46" s="24" t="s">
        <v>8</v>
      </c>
      <c r="F46" s="28">
        <v>0.71</v>
      </c>
      <c r="H46" s="29"/>
      <c r="I46" s="29"/>
      <c r="J46" s="29"/>
      <c r="K46" s="29"/>
      <c r="L46" s="29"/>
      <c r="M46" s="29"/>
    </row>
    <row r="48" ht="12.75">
      <c r="E48" s="24" t="s">
        <v>71</v>
      </c>
    </row>
    <row r="53" ht="12.75">
      <c r="K53" s="24" t="s">
        <v>163</v>
      </c>
    </row>
    <row r="54" spans="7:11" ht="12.75">
      <c r="G54" s="57">
        <v>101</v>
      </c>
      <c r="H54" s="2" t="s">
        <v>137</v>
      </c>
      <c r="J54" s="24">
        <f>SUM(J4)</f>
        <v>394656</v>
      </c>
      <c r="K54" s="24">
        <f>I4*7004</f>
        <v>413236</v>
      </c>
    </row>
    <row r="55" spans="7:11" ht="12.75">
      <c r="G55" s="57" t="s">
        <v>19</v>
      </c>
      <c r="H55" s="2" t="s">
        <v>137</v>
      </c>
      <c r="J55" s="24">
        <f>SUM(J8:J10)</f>
        <v>513724</v>
      </c>
      <c r="K55" s="24">
        <f>7004*SUM(I8:I10)</f>
        <v>532304</v>
      </c>
    </row>
    <row r="56" spans="7:11" ht="12.75">
      <c r="G56" s="57" t="s">
        <v>5</v>
      </c>
      <c r="H56" s="2" t="s">
        <v>137</v>
      </c>
      <c r="J56" s="24">
        <f>SUM(J14:J15)</f>
        <v>415668</v>
      </c>
      <c r="K56" s="24">
        <f>7004*SUM(I14:I15)</f>
        <v>434248</v>
      </c>
    </row>
    <row r="57" spans="7:11" ht="12.75">
      <c r="G57" s="57" t="s">
        <v>21</v>
      </c>
      <c r="H57" s="2" t="s">
        <v>137</v>
      </c>
      <c r="J57" s="24">
        <f>SUM(J19:J21)</f>
        <v>569756</v>
      </c>
      <c r="K57" s="24">
        <f>7004*SUM(I19:I21)</f>
        <v>588336</v>
      </c>
    </row>
    <row r="58" spans="7:11" ht="12.75">
      <c r="G58" s="57" t="s">
        <v>12</v>
      </c>
      <c r="H58" s="2" t="s">
        <v>137</v>
      </c>
      <c r="J58" s="24">
        <f>SUM(J25:J28)</f>
        <v>590768</v>
      </c>
      <c r="K58" s="24">
        <f>7004*SUM(I25:I28)</f>
        <v>609348</v>
      </c>
    </row>
    <row r="59" spans="7:11" ht="12.75">
      <c r="G59" s="57" t="s">
        <v>20</v>
      </c>
      <c r="H59" s="2" t="s">
        <v>137</v>
      </c>
      <c r="J59" s="24">
        <f>SUM(J32:J34)</f>
        <v>443684</v>
      </c>
      <c r="K59" s="24">
        <f>7004*SUM(I32:I34)</f>
        <v>462264</v>
      </c>
    </row>
    <row r="60" spans="7:11" ht="12.75">
      <c r="G60" s="57" t="s">
        <v>17</v>
      </c>
      <c r="H60" s="2" t="s">
        <v>137</v>
      </c>
      <c r="J60" s="24">
        <f>SUM(J38:J40)</f>
        <v>408664</v>
      </c>
      <c r="K60" s="24">
        <f>7004*SUM(I38:I40)</f>
        <v>427244</v>
      </c>
    </row>
    <row r="61" spans="7:11" ht="12.75">
      <c r="G61" s="57" t="s">
        <v>22</v>
      </c>
      <c r="H61" s="2" t="s">
        <v>137</v>
      </c>
      <c r="J61" s="24">
        <f>SUM(J44:J45)</f>
        <v>345628</v>
      </c>
      <c r="K61" s="24">
        <f>7004*SUM(I44:I45)</f>
        <v>364208</v>
      </c>
    </row>
    <row r="63" ht="12.75">
      <c r="H63" s="24" t="s">
        <v>164</v>
      </c>
    </row>
    <row r="64" ht="12.75">
      <c r="H64" s="24" t="s">
        <v>165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51"/>
  <sheetViews>
    <sheetView workbookViewId="0" topLeftCell="A1">
      <pane xSplit="6" ySplit="1" topLeftCell="G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8" sqref="L58"/>
    </sheetView>
  </sheetViews>
  <sheetFormatPr defaultColWidth="9.6640625" defaultRowHeight="15"/>
  <cols>
    <col min="1" max="1" width="11.5546875" style="8" customWidth="1"/>
    <col min="2" max="2" width="9.6640625" style="8" customWidth="1"/>
    <col min="3" max="3" width="5.4453125" style="11" customWidth="1"/>
    <col min="4" max="4" width="5.4453125" style="8" customWidth="1"/>
    <col min="5" max="5" width="6.3359375" style="8" customWidth="1"/>
    <col min="6" max="6" width="5.77734375" style="8" customWidth="1"/>
    <col min="7" max="19" width="6.6640625" style="8" customWidth="1"/>
    <col min="20" max="16384" width="9.6640625" style="8" customWidth="1"/>
  </cols>
  <sheetData>
    <row r="1" spans="1:19" ht="13.5" thickBot="1">
      <c r="A1" s="6" t="s">
        <v>0</v>
      </c>
      <c r="B1" s="6" t="s">
        <v>2</v>
      </c>
      <c r="C1" s="55" t="s">
        <v>3</v>
      </c>
      <c r="D1" s="6" t="s">
        <v>4</v>
      </c>
      <c r="E1" s="6" t="s">
        <v>23</v>
      </c>
      <c r="F1" s="8" t="s">
        <v>0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  <c r="M1" s="8" t="s">
        <v>30</v>
      </c>
      <c r="N1" s="8" t="s">
        <v>31</v>
      </c>
      <c r="O1" s="8" t="s">
        <v>32</v>
      </c>
      <c r="P1" s="8" t="s">
        <v>33</v>
      </c>
      <c r="Q1" s="8" t="s">
        <v>34</v>
      </c>
      <c r="R1" s="8" t="s">
        <v>35</v>
      </c>
      <c r="S1" s="8" t="s">
        <v>36</v>
      </c>
    </row>
    <row r="2" spans="1:19" ht="12.75">
      <c r="A2" s="6" t="s">
        <v>92</v>
      </c>
      <c r="B2" s="40">
        <v>38246</v>
      </c>
      <c r="C2" s="54">
        <v>101</v>
      </c>
      <c r="D2" s="25" t="s">
        <v>43</v>
      </c>
      <c r="E2" s="53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>
      <c r="A3" s="6" t="s">
        <v>93</v>
      </c>
      <c r="B3" s="9">
        <v>38246</v>
      </c>
      <c r="C3" s="10">
        <v>101</v>
      </c>
      <c r="D3" s="6" t="s">
        <v>10</v>
      </c>
      <c r="E3" s="6" t="s">
        <v>11</v>
      </c>
      <c r="F3" s="8">
        <v>4085</v>
      </c>
      <c r="G3" s="13">
        <v>0.1617334890671436</v>
      </c>
      <c r="H3" s="13">
        <v>0.01281702829783754</v>
      </c>
      <c r="I3" s="13">
        <v>0.5050006567831189</v>
      </c>
      <c r="J3" s="13">
        <v>0.03123264382215324</v>
      </c>
      <c r="K3" s="13">
        <v>0.14200507215528485</v>
      </c>
      <c r="L3" s="13">
        <v>0.08423902599194084</v>
      </c>
      <c r="M3" s="13">
        <v>0.22050209070493051</v>
      </c>
      <c r="N3" s="13">
        <v>0.012556163497576992</v>
      </c>
      <c r="O3" s="17"/>
      <c r="P3" s="13">
        <v>0.0050878211393310105</v>
      </c>
      <c r="Q3" s="13">
        <v>0.018089050477463422</v>
      </c>
      <c r="R3" s="13">
        <v>0.002416348066865392</v>
      </c>
      <c r="S3" s="17"/>
    </row>
    <row r="4" spans="1:19" ht="12.75">
      <c r="A4" s="6" t="s">
        <v>94</v>
      </c>
      <c r="B4" s="9">
        <v>38246</v>
      </c>
      <c r="C4" s="10">
        <v>101</v>
      </c>
      <c r="D4" s="6" t="s">
        <v>6</v>
      </c>
      <c r="E4" s="6" t="s">
        <v>7</v>
      </c>
      <c r="F4" s="8">
        <v>4091</v>
      </c>
      <c r="G4" s="13">
        <v>0.08217103858534378</v>
      </c>
      <c r="H4" s="13">
        <v>0.005366912941804155</v>
      </c>
      <c r="I4" s="13">
        <v>0.0130681708170662</v>
      </c>
      <c r="J4" s="13">
        <v>0.03272046636543837</v>
      </c>
      <c r="K4" s="13">
        <v>0.028505559703710416</v>
      </c>
      <c r="L4" s="13">
        <v>0.005496149019175657</v>
      </c>
      <c r="M4" s="13">
        <v>0.0017074243694021238</v>
      </c>
      <c r="N4" s="13">
        <v>0.0037849161464595217</v>
      </c>
      <c r="O4" s="17"/>
      <c r="P4" s="13">
        <v>0.00510487497422685</v>
      </c>
      <c r="Q4" s="13">
        <v>0.03873969646269514</v>
      </c>
      <c r="R4" s="17"/>
      <c r="S4" s="17"/>
    </row>
    <row r="5" spans="1:19" ht="13.5" thickBot="1">
      <c r="A5" s="6" t="s">
        <v>95</v>
      </c>
      <c r="B5" s="9">
        <v>38246</v>
      </c>
      <c r="C5" s="10">
        <v>101</v>
      </c>
      <c r="D5" s="6" t="s">
        <v>8</v>
      </c>
      <c r="E5" s="6" t="s">
        <v>7</v>
      </c>
      <c r="F5" s="8">
        <v>4089</v>
      </c>
      <c r="G5" s="13">
        <v>0.05339438331516454</v>
      </c>
      <c r="H5" s="13">
        <v>0.003196786384026744</v>
      </c>
      <c r="I5" s="13">
        <v>0.010703905351307136</v>
      </c>
      <c r="J5" s="13">
        <v>0.06167791991310739</v>
      </c>
      <c r="K5" s="13">
        <v>0.025994807538596135</v>
      </c>
      <c r="L5" s="13">
        <v>0.013994006365205274</v>
      </c>
      <c r="M5" s="13">
        <v>0.0013599007217316797</v>
      </c>
      <c r="N5" s="13">
        <v>0.004394543960411665</v>
      </c>
      <c r="O5" s="17"/>
      <c r="P5" s="13">
        <v>0.004939460335521596</v>
      </c>
      <c r="Q5" s="13">
        <v>0.05718850171308792</v>
      </c>
      <c r="R5" s="17"/>
      <c r="S5" s="13">
        <v>0.0024261499365165447</v>
      </c>
    </row>
    <row r="6" spans="1:19" ht="12.75">
      <c r="A6" s="6" t="s">
        <v>96</v>
      </c>
      <c r="B6" s="9">
        <v>38245</v>
      </c>
      <c r="C6" s="10" t="s">
        <v>19</v>
      </c>
      <c r="D6" s="25" t="s">
        <v>43</v>
      </c>
      <c r="E6" s="53"/>
      <c r="F6" s="52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2.75">
      <c r="A7" s="6" t="s">
        <v>97</v>
      </c>
      <c r="B7" s="9">
        <v>38245</v>
      </c>
      <c r="C7" s="10" t="s">
        <v>19</v>
      </c>
      <c r="D7" s="6" t="s">
        <v>10</v>
      </c>
      <c r="E7" s="6" t="s">
        <v>11</v>
      </c>
      <c r="F7" s="8">
        <v>4009</v>
      </c>
      <c r="G7" s="13">
        <v>0.03069039981293271</v>
      </c>
      <c r="H7" s="13">
        <v>0.013570929387627412</v>
      </c>
      <c r="I7" s="13">
        <v>1.4071532372693334</v>
      </c>
      <c r="J7" s="17"/>
      <c r="K7" s="13">
        <v>0.36754115022068584</v>
      </c>
      <c r="L7" s="13">
        <v>0.15515616164249604</v>
      </c>
      <c r="M7" s="13">
        <v>0.28727811973692075</v>
      </c>
      <c r="N7" s="13">
        <v>0.01777119250052095</v>
      </c>
      <c r="O7" s="13">
        <v>0.09829916754525096</v>
      </c>
      <c r="P7" s="13">
        <v>0.0063792026055104235</v>
      </c>
      <c r="Q7" s="13">
        <v>0.015879683486792497</v>
      </c>
      <c r="R7" s="13">
        <v>0.0065480416134858456</v>
      </c>
      <c r="S7" s="17"/>
    </row>
    <row r="8" spans="1:19" ht="12.75">
      <c r="A8" s="6" t="s">
        <v>98</v>
      </c>
      <c r="B8" s="9">
        <v>38245</v>
      </c>
      <c r="C8" s="10" t="s">
        <v>19</v>
      </c>
      <c r="D8" s="6" t="s">
        <v>9</v>
      </c>
      <c r="E8" s="6" t="s">
        <v>7</v>
      </c>
      <c r="F8" s="8">
        <v>4007</v>
      </c>
      <c r="G8" s="13">
        <v>0.07038929133248734</v>
      </c>
      <c r="H8" s="17"/>
      <c r="I8" s="13">
        <v>0.055644190656666453</v>
      </c>
      <c r="J8" s="13">
        <v>0.03418292495692546</v>
      </c>
      <c r="K8" s="13">
        <v>0.0267035705281265</v>
      </c>
      <c r="L8" s="13">
        <v>0.004534748342668919</v>
      </c>
      <c r="M8" s="13">
        <v>0.002485148387308376</v>
      </c>
      <c r="N8" s="13">
        <v>0.005322899502708136</v>
      </c>
      <c r="O8" s="17"/>
      <c r="P8" s="13">
        <v>0.004250839452705216</v>
      </c>
      <c r="Q8" s="13">
        <v>0.017161236859951034</v>
      </c>
      <c r="R8" s="13">
        <v>0.00024996520575609147</v>
      </c>
      <c r="S8" s="17"/>
    </row>
    <row r="9" spans="1:19" ht="12.75">
      <c r="A9" s="6" t="s">
        <v>99</v>
      </c>
      <c r="B9" s="9">
        <v>38245</v>
      </c>
      <c r="C9" s="10" t="s">
        <v>19</v>
      </c>
      <c r="D9" s="6" t="s">
        <v>18</v>
      </c>
      <c r="E9" s="6" t="s">
        <v>7</v>
      </c>
      <c r="F9" s="8">
        <v>4001</v>
      </c>
      <c r="G9" s="13">
        <v>0.20650580074686653</v>
      </c>
      <c r="H9" s="13">
        <v>0.00856518806269109</v>
      </c>
      <c r="I9" s="13">
        <v>0.3430010099746744</v>
      </c>
      <c r="J9" s="13">
        <v>0.048381093576531406</v>
      </c>
      <c r="K9" s="13">
        <v>0.05015650402186006</v>
      </c>
      <c r="L9" s="13">
        <v>0.009383176636349843</v>
      </c>
      <c r="M9" s="13">
        <v>0.020565464099250086</v>
      </c>
      <c r="N9" s="13">
        <v>0.009945854116538647</v>
      </c>
      <c r="O9" s="17"/>
      <c r="P9" s="13">
        <v>0.003784286708578909</v>
      </c>
      <c r="Q9" s="13">
        <v>0.021479100321037295</v>
      </c>
      <c r="R9" s="13">
        <v>0.002445641076047817</v>
      </c>
      <c r="S9" s="17"/>
    </row>
    <row r="10" spans="1:19" ht="12.75">
      <c r="A10" s="6" t="s">
        <v>100</v>
      </c>
      <c r="B10" s="9">
        <v>38245</v>
      </c>
      <c r="C10" s="10" t="s">
        <v>19</v>
      </c>
      <c r="D10" s="6" t="s">
        <v>6</v>
      </c>
      <c r="E10" s="6" t="s">
        <v>7</v>
      </c>
      <c r="F10" s="8">
        <v>4003</v>
      </c>
      <c r="G10" s="13">
        <v>0.020471079123870934</v>
      </c>
      <c r="H10" s="13">
        <v>0.005444213738743101</v>
      </c>
      <c r="I10" s="13">
        <v>0.007948986701962592</v>
      </c>
      <c r="J10" s="17"/>
      <c r="K10" s="13">
        <v>0.01839328178266206</v>
      </c>
      <c r="L10" s="13">
        <v>0.009186185229251095</v>
      </c>
      <c r="M10" s="13">
        <v>0.004329809164976658</v>
      </c>
      <c r="N10" s="13">
        <v>0.0031481939194577427</v>
      </c>
      <c r="O10" s="17"/>
      <c r="P10" s="13">
        <v>0.003679237923071173</v>
      </c>
      <c r="Q10" s="13">
        <v>0.029428031332351747</v>
      </c>
      <c r="R10" s="17"/>
      <c r="S10" s="17"/>
    </row>
    <row r="11" spans="1:19" ht="13.5" thickBot="1">
      <c r="A11" s="6" t="s">
        <v>101</v>
      </c>
      <c r="B11" s="9">
        <v>38245</v>
      </c>
      <c r="C11" s="10" t="s">
        <v>19</v>
      </c>
      <c r="D11" s="6" t="s">
        <v>8</v>
      </c>
      <c r="E11" s="6" t="s">
        <v>7</v>
      </c>
      <c r="F11" s="8">
        <v>4005</v>
      </c>
      <c r="G11" s="13">
        <v>0.009253137541818834</v>
      </c>
      <c r="H11" s="13">
        <v>0.005552311402262297</v>
      </c>
      <c r="I11" s="13">
        <v>0.0038495270111305216</v>
      </c>
      <c r="J11" s="17"/>
      <c r="K11" s="13">
        <v>0.01413829078685927</v>
      </c>
      <c r="L11" s="13">
        <v>0.029597194963486007</v>
      </c>
      <c r="M11" s="17"/>
      <c r="N11" s="13">
        <v>0.003937409529431917</v>
      </c>
      <c r="O11" s="17"/>
      <c r="P11" s="13">
        <v>0.004082640743276624</v>
      </c>
      <c r="Q11" s="13">
        <v>0.018688799898937413</v>
      </c>
      <c r="R11" s="17"/>
      <c r="S11" s="17"/>
    </row>
    <row r="12" spans="1:19" ht="12.75">
      <c r="A12" s="6" t="s">
        <v>102</v>
      </c>
      <c r="B12" s="9">
        <v>38161</v>
      </c>
      <c r="C12" s="10" t="s">
        <v>5</v>
      </c>
      <c r="D12" s="25" t="s">
        <v>43</v>
      </c>
      <c r="E12" s="53"/>
      <c r="F12" s="52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.75">
      <c r="A13" s="6" t="s">
        <v>103</v>
      </c>
      <c r="B13" s="9">
        <v>38161</v>
      </c>
      <c r="C13" s="10" t="s">
        <v>5</v>
      </c>
      <c r="D13" s="6" t="s">
        <v>10</v>
      </c>
      <c r="E13" s="6" t="s">
        <v>11</v>
      </c>
      <c r="F13" s="8">
        <v>4059</v>
      </c>
      <c r="G13" s="13">
        <v>0.05916620097272662</v>
      </c>
      <c r="H13" s="13">
        <v>0.019423698733104983</v>
      </c>
      <c r="I13" s="13">
        <v>1.3246466117034432</v>
      </c>
      <c r="J13" s="13">
        <v>0.018215209964770978</v>
      </c>
      <c r="K13" s="13">
        <v>0.1843963719992988</v>
      </c>
      <c r="L13" s="13">
        <v>0.14571005693573402</v>
      </c>
      <c r="M13" s="13">
        <v>0.021861101589008315</v>
      </c>
      <c r="N13" s="13">
        <v>0.021960935963174423</v>
      </c>
      <c r="O13" s="13">
        <v>0.07746934740102707</v>
      </c>
      <c r="P13" s="13">
        <v>0.0051932501128804116</v>
      </c>
      <c r="Q13" s="13">
        <v>0.007037549485283348</v>
      </c>
      <c r="R13" s="13">
        <v>0.011254417410473243</v>
      </c>
      <c r="S13" s="17"/>
    </row>
    <row r="14" spans="1:19" ht="12.75">
      <c r="A14" s="6" t="s">
        <v>104</v>
      </c>
      <c r="B14" s="9">
        <v>38161</v>
      </c>
      <c r="C14" s="10" t="s">
        <v>5</v>
      </c>
      <c r="D14" s="6" t="s">
        <v>9</v>
      </c>
      <c r="E14" s="6" t="s">
        <v>7</v>
      </c>
      <c r="F14" s="8">
        <v>4057</v>
      </c>
      <c r="G14" s="13">
        <v>0.01706726433307351</v>
      </c>
      <c r="H14" s="17"/>
      <c r="I14" s="13">
        <v>0.058262469900944296</v>
      </c>
      <c r="J14" s="17"/>
      <c r="K14" s="13">
        <v>0.03269620721064275</v>
      </c>
      <c r="L14" s="13">
        <v>0.006677575705878257</v>
      </c>
      <c r="M14" s="17"/>
      <c r="N14" s="13">
        <v>0.005178859762872914</v>
      </c>
      <c r="O14" s="17"/>
      <c r="P14" s="13">
        <v>0.00446946298520764</v>
      </c>
      <c r="Q14" s="13">
        <v>0.004640924179536829</v>
      </c>
      <c r="R14" s="13">
        <v>0.0003999586926727755</v>
      </c>
      <c r="S14" s="17"/>
    </row>
    <row r="15" spans="1:19" ht="12.75">
      <c r="A15" s="6" t="s">
        <v>105</v>
      </c>
      <c r="B15" s="9">
        <v>38161</v>
      </c>
      <c r="C15" s="10" t="s">
        <v>5</v>
      </c>
      <c r="D15" s="6" t="s">
        <v>6</v>
      </c>
      <c r="E15" s="6" t="s">
        <v>7</v>
      </c>
      <c r="F15" s="8">
        <v>4053</v>
      </c>
      <c r="G15" s="13">
        <v>0.07686101493286387</v>
      </c>
      <c r="H15" s="13">
        <v>0.00363335913203116</v>
      </c>
      <c r="I15" s="13">
        <v>0.027649062863719247</v>
      </c>
      <c r="J15" s="13">
        <v>0.032134546703356553</v>
      </c>
      <c r="K15" s="13">
        <v>0.02355640233796636</v>
      </c>
      <c r="L15" s="13">
        <v>0.0011576637235052886</v>
      </c>
      <c r="M15" s="13">
        <v>0.0023796312174055962</v>
      </c>
      <c r="N15" s="13">
        <v>0.006936989424646567</v>
      </c>
      <c r="O15" s="17"/>
      <c r="P15" s="13">
        <v>0.00499469100671472</v>
      </c>
      <c r="Q15" s="13">
        <v>0.04270425533319927</v>
      </c>
      <c r="R15" s="13">
        <v>0.000172061821371022</v>
      </c>
      <c r="S15" s="17"/>
    </row>
    <row r="16" spans="1:19" ht="13.5" thickBot="1">
      <c r="A16" s="6" t="s">
        <v>106</v>
      </c>
      <c r="B16" s="9">
        <v>38161</v>
      </c>
      <c r="C16" s="10" t="s">
        <v>5</v>
      </c>
      <c r="D16" s="6" t="s">
        <v>8</v>
      </c>
      <c r="E16" s="6" t="s">
        <v>7</v>
      </c>
      <c r="F16" s="8">
        <v>4055</v>
      </c>
      <c r="G16" s="13">
        <v>0.021192624257503914</v>
      </c>
      <c r="H16" s="17"/>
      <c r="I16" s="13">
        <v>0.0054785230890621265</v>
      </c>
      <c r="J16" s="17"/>
      <c r="K16" s="13">
        <v>0.01739874564492636</v>
      </c>
      <c r="L16" s="17"/>
      <c r="M16" s="13">
        <v>0.0009996229857408701</v>
      </c>
      <c r="N16" s="13">
        <v>0.004656621334030356</v>
      </c>
      <c r="O16" s="17"/>
      <c r="P16" s="13">
        <v>0.004437013778176604</v>
      </c>
      <c r="Q16" s="13">
        <v>0.02288513822504348</v>
      </c>
      <c r="R16" s="17"/>
      <c r="S16" s="17"/>
    </row>
    <row r="17" spans="1:19" ht="12.75">
      <c r="A17" s="6" t="s">
        <v>107</v>
      </c>
      <c r="B17" s="9">
        <v>38236</v>
      </c>
      <c r="C17" s="10" t="s">
        <v>21</v>
      </c>
      <c r="D17" s="25" t="s">
        <v>43</v>
      </c>
      <c r="E17" s="53"/>
      <c r="F17" s="52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6" t="s">
        <v>108</v>
      </c>
      <c r="B18" s="9">
        <v>38236</v>
      </c>
      <c r="C18" s="10" t="s">
        <v>21</v>
      </c>
      <c r="D18" s="6" t="s">
        <v>10</v>
      </c>
      <c r="E18" s="6" t="s">
        <v>11</v>
      </c>
      <c r="F18" s="8">
        <v>4071</v>
      </c>
      <c r="G18" s="13">
        <v>0.040022302310733525</v>
      </c>
      <c r="H18" s="13">
        <v>0.01456810734121213</v>
      </c>
      <c r="I18" s="13">
        <v>0.8927446577341994</v>
      </c>
      <c r="J18" s="13">
        <v>0.018043882529744357</v>
      </c>
      <c r="K18" s="13">
        <v>0.2535660331387265</v>
      </c>
      <c r="L18" s="13">
        <v>0.13901336759285568</v>
      </c>
      <c r="M18" s="13">
        <v>0.12315147304601434</v>
      </c>
      <c r="N18" s="13">
        <v>0.014784155241768702</v>
      </c>
      <c r="O18" s="13">
        <v>0.08229610365203724</v>
      </c>
      <c r="P18" s="13">
        <v>0.006348821707169696</v>
      </c>
      <c r="Q18" s="13">
        <v>0.017185157154399187</v>
      </c>
      <c r="R18" s="13">
        <v>0.0048975950449825145</v>
      </c>
      <c r="S18" s="17"/>
    </row>
    <row r="19" spans="1:19" ht="12.75">
      <c r="A19" s="6" t="s">
        <v>109</v>
      </c>
      <c r="B19" s="9">
        <v>38236</v>
      </c>
      <c r="C19" s="10" t="s">
        <v>21</v>
      </c>
      <c r="D19" s="6" t="s">
        <v>9</v>
      </c>
      <c r="E19" s="6" t="s">
        <v>7</v>
      </c>
      <c r="F19" s="8">
        <v>4069</v>
      </c>
      <c r="G19" s="13">
        <v>0.07534768076853289</v>
      </c>
      <c r="H19" s="17"/>
      <c r="I19" s="13">
        <v>0.01636178677812499</v>
      </c>
      <c r="J19" s="17"/>
      <c r="K19" s="13">
        <v>0.022829672672924465</v>
      </c>
      <c r="L19" s="13">
        <v>0.002873561821055791</v>
      </c>
      <c r="M19" s="13">
        <v>0.0003802762174275233</v>
      </c>
      <c r="N19" s="13">
        <v>0.0039890356366338205</v>
      </c>
      <c r="O19" s="17"/>
      <c r="P19" s="13">
        <v>0.0038825914959562456</v>
      </c>
      <c r="Q19" s="13">
        <v>0.006295331964863908</v>
      </c>
      <c r="R19" s="13">
        <v>0.00020589138663164305</v>
      </c>
      <c r="S19" s="17"/>
    </row>
    <row r="20" spans="1:19" ht="12.75">
      <c r="A20" s="6" t="s">
        <v>110</v>
      </c>
      <c r="B20" s="9">
        <v>38236</v>
      </c>
      <c r="C20" s="10" t="s">
        <v>21</v>
      </c>
      <c r="D20" s="6" t="s">
        <v>15</v>
      </c>
      <c r="E20" s="6" t="s">
        <v>7</v>
      </c>
      <c r="F20" s="8">
        <v>4063</v>
      </c>
      <c r="G20" s="13">
        <v>0.11274880374964603</v>
      </c>
      <c r="H20" s="13">
        <v>0.004880802813218729</v>
      </c>
      <c r="I20" s="13">
        <v>0.014606847532918363</v>
      </c>
      <c r="J20" s="13">
        <v>0.03441379572346002</v>
      </c>
      <c r="K20" s="13">
        <v>0.015195326628475985</v>
      </c>
      <c r="L20" s="13">
        <v>0.0006089644325384009</v>
      </c>
      <c r="M20" s="17"/>
      <c r="N20" s="13">
        <v>0.004713795700437411</v>
      </c>
      <c r="O20" s="17"/>
      <c r="P20" s="13">
        <v>0.005591504150704595</v>
      </c>
      <c r="Q20" s="13">
        <v>0.03562780617611111</v>
      </c>
      <c r="R20" s="13">
        <v>0.0002030722005705974</v>
      </c>
      <c r="S20" s="17"/>
    </row>
    <row r="21" spans="1:19" ht="12.75">
      <c r="A21" s="6" t="s">
        <v>111</v>
      </c>
      <c r="B21" s="9">
        <v>38236</v>
      </c>
      <c r="C21" s="10" t="s">
        <v>21</v>
      </c>
      <c r="D21" s="6" t="s">
        <v>16</v>
      </c>
      <c r="E21" s="6" t="s">
        <v>7</v>
      </c>
      <c r="F21" s="8">
        <v>4065</v>
      </c>
      <c r="G21" s="13">
        <v>0.015746759088762125</v>
      </c>
      <c r="H21" s="13">
        <v>0.005090207464945293</v>
      </c>
      <c r="I21" s="13">
        <v>0.002340048042434343</v>
      </c>
      <c r="J21" s="17"/>
      <c r="K21" s="13">
        <v>0.01129253756966492</v>
      </c>
      <c r="L21" s="17"/>
      <c r="M21" s="17"/>
      <c r="N21" s="13">
        <v>0.0038702893519546337</v>
      </c>
      <c r="O21" s="17"/>
      <c r="P21" s="13">
        <v>0.004530705684403297</v>
      </c>
      <c r="Q21" s="13">
        <v>0.02007276582965574</v>
      </c>
      <c r="R21" s="13">
        <v>4.2555892798876775E-05</v>
      </c>
      <c r="S21" s="17"/>
    </row>
    <row r="22" spans="1:19" ht="13.5" thickBot="1">
      <c r="A22" s="6" t="s">
        <v>112</v>
      </c>
      <c r="B22" s="9">
        <v>38236</v>
      </c>
      <c r="C22" s="10" t="s">
        <v>21</v>
      </c>
      <c r="D22" s="6" t="s">
        <v>8</v>
      </c>
      <c r="E22" s="6" t="s">
        <v>7</v>
      </c>
      <c r="F22" s="8">
        <v>4067</v>
      </c>
      <c r="G22" s="13">
        <v>0.020857497990734608</v>
      </c>
      <c r="H22" s="13">
        <v>0.002357180323310704</v>
      </c>
      <c r="I22" s="13">
        <v>0.0021623809143877567</v>
      </c>
      <c r="J22" s="13">
        <v>0.018151482830878574</v>
      </c>
      <c r="K22" s="13">
        <v>0.013149202044465244</v>
      </c>
      <c r="L22" s="17"/>
      <c r="M22" s="17"/>
      <c r="N22" s="13">
        <v>0.0036938169929986563</v>
      </c>
      <c r="O22" s="17"/>
      <c r="P22" s="13">
        <v>0.004684586831823079</v>
      </c>
      <c r="Q22" s="13">
        <v>0.023131504980759405</v>
      </c>
      <c r="R22" s="17"/>
      <c r="S22" s="17"/>
    </row>
    <row r="23" spans="1:19" ht="12.75">
      <c r="A23" s="6" t="s">
        <v>113</v>
      </c>
      <c r="B23" s="9">
        <v>38236</v>
      </c>
      <c r="C23" s="10" t="s">
        <v>12</v>
      </c>
      <c r="D23" s="25" t="s">
        <v>43</v>
      </c>
      <c r="E23" s="53"/>
      <c r="F23" s="5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6" t="s">
        <v>114</v>
      </c>
      <c r="B24" s="9">
        <v>38236</v>
      </c>
      <c r="C24" s="10" t="s">
        <v>12</v>
      </c>
      <c r="D24" s="6" t="s">
        <v>10</v>
      </c>
      <c r="E24" s="6" t="s">
        <v>11</v>
      </c>
      <c r="F24" s="8">
        <v>4015</v>
      </c>
      <c r="G24" s="13">
        <v>0.1059655913471128</v>
      </c>
      <c r="H24" s="13">
        <v>0.006536181055189059</v>
      </c>
      <c r="I24" s="13">
        <v>0.5706570083497882</v>
      </c>
      <c r="J24" s="13">
        <v>0.02863530914052229</v>
      </c>
      <c r="K24" s="13">
        <v>0.08498551827839336</v>
      </c>
      <c r="L24" s="13">
        <v>0.04237166890624326</v>
      </c>
      <c r="M24" s="13">
        <v>0.09398017719692937</v>
      </c>
      <c r="N24" s="13">
        <v>0.011640526928649302</v>
      </c>
      <c r="O24" s="17"/>
      <c r="P24" s="13">
        <v>0.004469196571299908</v>
      </c>
      <c r="Q24" s="13">
        <v>0.014748075413874556</v>
      </c>
      <c r="R24" s="13">
        <v>0.0034184490806430973</v>
      </c>
      <c r="S24" s="17"/>
    </row>
    <row r="25" spans="1:19" ht="12.75">
      <c r="A25" s="6" t="s">
        <v>115</v>
      </c>
      <c r="B25" s="9">
        <v>38236</v>
      </c>
      <c r="C25" s="10" t="s">
        <v>12</v>
      </c>
      <c r="D25" s="6" t="s">
        <v>14</v>
      </c>
      <c r="E25" s="6" t="s">
        <v>7</v>
      </c>
      <c r="F25" s="8">
        <v>4079</v>
      </c>
      <c r="G25" s="13">
        <v>0.054571872512716876</v>
      </c>
      <c r="H25" s="13">
        <v>0.0027686833138987135</v>
      </c>
      <c r="I25" s="13">
        <v>0.058008440001616146</v>
      </c>
      <c r="J25" s="17"/>
      <c r="K25" s="13">
        <v>0.017953450678759097</v>
      </c>
      <c r="L25" s="13">
        <v>0.002850315329932125</v>
      </c>
      <c r="M25" s="13">
        <v>0.008695588940690665</v>
      </c>
      <c r="N25" s="13">
        <v>0.003744892900649312</v>
      </c>
      <c r="O25" s="17"/>
      <c r="P25" s="13">
        <v>0.004438924183496134</v>
      </c>
      <c r="Q25" s="13">
        <v>0.005165112512470357</v>
      </c>
      <c r="R25" s="13">
        <v>0.000328608930106887</v>
      </c>
      <c r="S25" s="17"/>
    </row>
    <row r="26" spans="1:19" ht="12.75">
      <c r="A26" s="6" t="s">
        <v>116</v>
      </c>
      <c r="B26" s="9">
        <v>38236</v>
      </c>
      <c r="C26" s="10" t="s">
        <v>12</v>
      </c>
      <c r="D26" s="6" t="s">
        <v>13</v>
      </c>
      <c r="E26" s="6" t="s">
        <v>7</v>
      </c>
      <c r="F26" s="8">
        <v>4076</v>
      </c>
      <c r="G26" s="13">
        <v>0.018104790714204542</v>
      </c>
      <c r="H26" s="17"/>
      <c r="I26" s="13">
        <v>0.009130023632565733</v>
      </c>
      <c r="J26" s="17"/>
      <c r="K26" s="13">
        <v>0.015575976116801499</v>
      </c>
      <c r="L26" s="17"/>
      <c r="M26" s="17"/>
      <c r="N26" s="13">
        <v>0.005409195443539597</v>
      </c>
      <c r="O26" s="17"/>
      <c r="P26" s="13">
        <v>0.005350827293024668</v>
      </c>
      <c r="Q26" s="13">
        <v>0.023834688442720305</v>
      </c>
      <c r="R26" s="17"/>
      <c r="S26" s="17"/>
    </row>
    <row r="27" spans="1:19" ht="12.75">
      <c r="A27" s="6" t="s">
        <v>117</v>
      </c>
      <c r="B27" s="9">
        <v>38236</v>
      </c>
      <c r="C27" s="10" t="s">
        <v>12</v>
      </c>
      <c r="D27" s="6" t="s">
        <v>15</v>
      </c>
      <c r="E27" s="6" t="s">
        <v>7</v>
      </c>
      <c r="F27" s="8">
        <v>4081</v>
      </c>
      <c r="G27" s="13">
        <v>0.022313773775148142</v>
      </c>
      <c r="H27" s="13">
        <v>0.0030240158933364995</v>
      </c>
      <c r="I27" s="13">
        <v>0.03580565748616234</v>
      </c>
      <c r="J27" s="17"/>
      <c r="K27" s="13">
        <v>0.017141802629633697</v>
      </c>
      <c r="L27" s="13">
        <v>0.0008971635413155596</v>
      </c>
      <c r="M27" s="13">
        <v>0.003398844616689002</v>
      </c>
      <c r="N27" s="13">
        <v>0.003726609578740431</v>
      </c>
      <c r="O27" s="17"/>
      <c r="P27" s="13">
        <v>0.00453825703906359</v>
      </c>
      <c r="Q27" s="13">
        <v>0.011713612315953276</v>
      </c>
      <c r="R27" s="13">
        <v>0.0001837546068557686</v>
      </c>
      <c r="S27" s="17"/>
    </row>
    <row r="28" spans="1:19" ht="12.75">
      <c r="A28" s="6" t="s">
        <v>118</v>
      </c>
      <c r="B28" s="9">
        <v>38236</v>
      </c>
      <c r="C28" s="10" t="s">
        <v>12</v>
      </c>
      <c r="D28" s="6" t="s">
        <v>16</v>
      </c>
      <c r="E28" s="6" t="s">
        <v>7</v>
      </c>
      <c r="F28" s="8">
        <v>4083</v>
      </c>
      <c r="G28" s="13">
        <v>0.00945861702461258</v>
      </c>
      <c r="H28" s="13">
        <v>0.0027314636174976</v>
      </c>
      <c r="I28" s="13">
        <v>0.022735999867492723</v>
      </c>
      <c r="J28" s="17"/>
      <c r="K28" s="13">
        <v>0.0163530120787989</v>
      </c>
      <c r="L28" s="17"/>
      <c r="M28" s="13">
        <v>0.002272502059286692</v>
      </c>
      <c r="N28" s="13">
        <v>0.0037475343478026554</v>
      </c>
      <c r="O28" s="17"/>
      <c r="P28" s="13">
        <v>0.005014873409040452</v>
      </c>
      <c r="Q28" s="13">
        <v>0.008789670326793743</v>
      </c>
      <c r="R28" s="13">
        <v>8.040771560141979E-05</v>
      </c>
      <c r="S28" s="17"/>
    </row>
    <row r="29" spans="1:19" ht="13.5" thickBot="1">
      <c r="A29" s="6" t="s">
        <v>119</v>
      </c>
      <c r="B29" s="9">
        <v>38236</v>
      </c>
      <c r="C29" s="10" t="s">
        <v>12</v>
      </c>
      <c r="D29" s="6" t="s">
        <v>8</v>
      </c>
      <c r="E29" s="6" t="s">
        <v>7</v>
      </c>
      <c r="F29" s="8">
        <v>4013</v>
      </c>
      <c r="G29" s="13">
        <v>0.008501742538325419</v>
      </c>
      <c r="H29" s="13">
        <v>0.002421579154894603</v>
      </c>
      <c r="I29" s="13">
        <v>0.0219453027839072</v>
      </c>
      <c r="J29" s="17"/>
      <c r="K29" s="13">
        <v>0.017648760034409742</v>
      </c>
      <c r="L29" s="13">
        <v>0.002354950005858983</v>
      </c>
      <c r="M29" s="13">
        <v>0.0030293469039634462</v>
      </c>
      <c r="N29" s="13">
        <v>0.004200139663405446</v>
      </c>
      <c r="O29" s="17"/>
      <c r="P29" s="13">
        <v>0.004639278976283147</v>
      </c>
      <c r="Q29" s="13">
        <v>0.012647162817883294</v>
      </c>
      <c r="R29" s="13">
        <v>7.88923731658154E-05</v>
      </c>
      <c r="S29" s="17"/>
    </row>
    <row r="30" spans="1:19" ht="12.75">
      <c r="A30" s="6" t="s">
        <v>120</v>
      </c>
      <c r="B30" s="9">
        <v>38247</v>
      </c>
      <c r="C30" s="10" t="s">
        <v>20</v>
      </c>
      <c r="D30" s="25" t="s">
        <v>43</v>
      </c>
      <c r="E30" s="53"/>
      <c r="F30" s="52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.75">
      <c r="A31" s="6" t="s">
        <v>121</v>
      </c>
      <c r="B31" s="9">
        <v>38247</v>
      </c>
      <c r="C31" s="10" t="s">
        <v>20</v>
      </c>
      <c r="D31" s="6" t="s">
        <v>10</v>
      </c>
      <c r="E31" s="6" t="s">
        <v>11</v>
      </c>
      <c r="F31" s="8">
        <v>4049</v>
      </c>
      <c r="G31" s="13">
        <v>0.02847562480047329</v>
      </c>
      <c r="H31" s="13">
        <v>0.022923220981305142</v>
      </c>
      <c r="I31" s="13">
        <v>1.688046476134219</v>
      </c>
      <c r="J31" s="17"/>
      <c r="K31" s="13">
        <v>0.244478899227461</v>
      </c>
      <c r="L31" s="13">
        <v>0.2666008170005644</v>
      </c>
      <c r="M31" s="13">
        <v>0.11194254498871098</v>
      </c>
      <c r="N31" s="13">
        <v>0.021600573483389725</v>
      </c>
      <c r="O31" s="13">
        <v>0.1750940935926418</v>
      </c>
      <c r="P31" s="13">
        <v>0.005604933852434905</v>
      </c>
      <c r="Q31" s="13">
        <v>0.014094782635674041</v>
      </c>
      <c r="R31" s="13">
        <v>0.017088895042830204</v>
      </c>
      <c r="S31" s="17"/>
    </row>
    <row r="32" spans="1:19" ht="12.75">
      <c r="A32" s="6" t="s">
        <v>122</v>
      </c>
      <c r="B32" s="9">
        <v>38247</v>
      </c>
      <c r="C32" s="10" t="s">
        <v>20</v>
      </c>
      <c r="D32" s="6" t="s">
        <v>9</v>
      </c>
      <c r="E32" s="6" t="s">
        <v>7</v>
      </c>
      <c r="F32" s="8">
        <v>4047</v>
      </c>
      <c r="G32" s="13">
        <v>0.1564886630299741</v>
      </c>
      <c r="H32" s="13">
        <v>0.002088606563541356</v>
      </c>
      <c r="I32" s="13">
        <v>0.02168827683738031</v>
      </c>
      <c r="J32" s="13">
        <v>0.021939055083297406</v>
      </c>
      <c r="K32" s="13">
        <v>0.012847325474522858</v>
      </c>
      <c r="L32" s="13">
        <v>0.004137163406055382</v>
      </c>
      <c r="M32" s="13">
        <v>0.0004525086168722249</v>
      </c>
      <c r="N32" s="13">
        <v>0.003355472595081843</v>
      </c>
      <c r="O32" s="17"/>
      <c r="P32" s="13">
        <v>0.003849214369302512</v>
      </c>
      <c r="Q32" s="13">
        <v>0.005674714386983678</v>
      </c>
      <c r="R32" s="13">
        <v>0.00030095032431727814</v>
      </c>
      <c r="S32" s="17"/>
    </row>
    <row r="33" spans="1:19" ht="12.75">
      <c r="A33" s="6" t="s">
        <v>123</v>
      </c>
      <c r="B33" s="9">
        <v>38247</v>
      </c>
      <c r="C33" s="10" t="s">
        <v>20</v>
      </c>
      <c r="D33" s="6" t="s">
        <v>18</v>
      </c>
      <c r="E33" s="6" t="s">
        <v>7</v>
      </c>
      <c r="F33" s="8">
        <v>4041</v>
      </c>
      <c r="G33" s="13">
        <v>0.25501598523537733</v>
      </c>
      <c r="H33" s="13">
        <v>0.003334186431617495</v>
      </c>
      <c r="I33" s="13">
        <v>0.029298846869925274</v>
      </c>
      <c r="J33" s="13">
        <v>0.03357865490290502</v>
      </c>
      <c r="K33" s="13">
        <v>0.01734971185784022</v>
      </c>
      <c r="L33" s="13">
        <v>0.005924007688758197</v>
      </c>
      <c r="M33" s="13">
        <v>0.0009633527135012967</v>
      </c>
      <c r="N33" s="13">
        <v>0.004255322807282773</v>
      </c>
      <c r="O33" s="17"/>
      <c r="P33" s="13">
        <v>0.004144481676250614</v>
      </c>
      <c r="Q33" s="13">
        <v>0.0072039247827434295</v>
      </c>
      <c r="R33" s="13">
        <v>0.00045409604990370966</v>
      </c>
      <c r="S33" s="17"/>
    </row>
    <row r="34" spans="1:19" ht="12.75">
      <c r="A34" s="6" t="s">
        <v>124</v>
      </c>
      <c r="B34" s="9">
        <v>38247</v>
      </c>
      <c r="C34" s="10" t="s">
        <v>20</v>
      </c>
      <c r="D34" s="6" t="s">
        <v>6</v>
      </c>
      <c r="E34" s="6" t="s">
        <v>7</v>
      </c>
      <c r="F34" s="8">
        <v>4043</v>
      </c>
      <c r="G34" s="13">
        <v>0.06850738300053312</v>
      </c>
      <c r="H34" s="13">
        <v>0.004434006930647323</v>
      </c>
      <c r="I34" s="13">
        <v>0.015106122208618124</v>
      </c>
      <c r="J34" s="17"/>
      <c r="K34" s="13">
        <v>0.01422451436666989</v>
      </c>
      <c r="L34" s="13">
        <v>0.004416359353053006</v>
      </c>
      <c r="M34" s="13">
        <v>0.0005950004091371453</v>
      </c>
      <c r="N34" s="13">
        <v>0.0029898980737050984</v>
      </c>
      <c r="O34" s="17"/>
      <c r="P34" s="13">
        <v>0.004176261867531267</v>
      </c>
      <c r="Q34" s="13">
        <v>0.013064073624549515</v>
      </c>
      <c r="R34" s="13">
        <v>0.00016218056853147298</v>
      </c>
      <c r="S34" s="17"/>
    </row>
    <row r="35" spans="1:19" ht="13.5" thickBot="1">
      <c r="A35" s="6" t="s">
        <v>125</v>
      </c>
      <c r="B35" s="9">
        <v>38237</v>
      </c>
      <c r="C35" s="10" t="s">
        <v>20</v>
      </c>
      <c r="D35" s="6" t="s">
        <v>8</v>
      </c>
      <c r="E35" s="6" t="s">
        <v>7</v>
      </c>
      <c r="F35" s="8">
        <v>4045</v>
      </c>
      <c r="G35" s="13">
        <v>0.02195105193575724</v>
      </c>
      <c r="H35" s="13">
        <v>0.0030233272782700968</v>
      </c>
      <c r="I35" s="13">
        <v>0.012209298313080635</v>
      </c>
      <c r="J35" s="17"/>
      <c r="K35" s="13">
        <v>0.016094857857634398</v>
      </c>
      <c r="L35" s="13">
        <v>0.0030010435705672476</v>
      </c>
      <c r="M35" s="13">
        <v>0.0004096720097835973</v>
      </c>
      <c r="N35" s="13">
        <v>0.003724469989211636</v>
      </c>
      <c r="O35" s="17"/>
      <c r="P35" s="13">
        <v>0.004290386179680178</v>
      </c>
      <c r="Q35" s="13">
        <v>0.011649354555280258</v>
      </c>
      <c r="R35" s="13">
        <v>7.777669285974475E-05</v>
      </c>
      <c r="S35" s="17"/>
    </row>
    <row r="36" spans="1:19" ht="12.75">
      <c r="A36" s="6" t="s">
        <v>126</v>
      </c>
      <c r="B36" s="9">
        <v>38244</v>
      </c>
      <c r="C36" s="10" t="s">
        <v>17</v>
      </c>
      <c r="D36" s="25" t="s">
        <v>43</v>
      </c>
      <c r="E36" s="53"/>
      <c r="F36" s="52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.75">
      <c r="A37" s="6" t="s">
        <v>127</v>
      </c>
      <c r="B37" s="9">
        <v>38244</v>
      </c>
      <c r="C37" s="10" t="s">
        <v>17</v>
      </c>
      <c r="D37" s="6" t="s">
        <v>10</v>
      </c>
      <c r="E37" s="6" t="s">
        <v>11</v>
      </c>
      <c r="F37" s="8">
        <v>4037</v>
      </c>
      <c r="G37" s="13">
        <v>0.017647658083879605</v>
      </c>
      <c r="H37" s="13">
        <v>0.017377987010815724</v>
      </c>
      <c r="I37" s="13">
        <v>2.298098365653316</v>
      </c>
      <c r="J37" s="17"/>
      <c r="K37" s="13">
        <v>0.351325692993538</v>
      </c>
      <c r="L37" s="13">
        <v>0.2957334782103685</v>
      </c>
      <c r="M37" s="13">
        <v>0.0857759360028501</v>
      </c>
      <c r="N37" s="13">
        <v>0.012948253858171988</v>
      </c>
      <c r="O37" s="13">
        <v>0.138914356202801</v>
      </c>
      <c r="P37" s="13">
        <v>0.00522788121743882</v>
      </c>
      <c r="Q37" s="13">
        <v>0.009778693917648648</v>
      </c>
      <c r="R37" s="13">
        <v>0.024822741828206384</v>
      </c>
      <c r="S37" s="17"/>
    </row>
    <row r="38" spans="1:19" ht="12.75">
      <c r="A38" s="6" t="s">
        <v>128</v>
      </c>
      <c r="B38" s="9">
        <v>38244</v>
      </c>
      <c r="C38" s="10" t="s">
        <v>17</v>
      </c>
      <c r="D38" s="6" t="s">
        <v>9</v>
      </c>
      <c r="E38" s="6" t="s">
        <v>7</v>
      </c>
      <c r="F38" s="8">
        <v>4035</v>
      </c>
      <c r="G38" s="13">
        <v>0.10303754947939463</v>
      </c>
      <c r="H38" s="13">
        <v>0.002310214901498239</v>
      </c>
      <c r="I38" s="13">
        <v>0.1283414571583851</v>
      </c>
      <c r="J38" s="13">
        <v>0.055831376556317036</v>
      </c>
      <c r="K38" s="13">
        <v>0.02304153020044826</v>
      </c>
      <c r="L38" s="13">
        <v>0.017466815371110667</v>
      </c>
      <c r="M38" s="17"/>
      <c r="N38" s="13">
        <v>0.0033353100420356638</v>
      </c>
      <c r="O38" s="17"/>
      <c r="P38" s="13">
        <v>0.0038866184166578806</v>
      </c>
      <c r="Q38" s="13">
        <v>0.007249315656090386</v>
      </c>
      <c r="R38" s="13">
        <v>0.001644129776098955</v>
      </c>
      <c r="S38" s="17"/>
    </row>
    <row r="39" spans="1:19" ht="12.75">
      <c r="A39" s="6" t="s">
        <v>129</v>
      </c>
      <c r="B39" s="9">
        <v>38244</v>
      </c>
      <c r="C39" s="10" t="s">
        <v>17</v>
      </c>
      <c r="D39" s="6" t="s">
        <v>18</v>
      </c>
      <c r="E39" s="6" t="s">
        <v>7</v>
      </c>
      <c r="F39" s="8">
        <v>4029</v>
      </c>
      <c r="G39" s="13">
        <v>0.19903767682588322</v>
      </c>
      <c r="H39" s="13">
        <v>0.00503439187245723</v>
      </c>
      <c r="I39" s="13">
        <v>0.1378661454591614</v>
      </c>
      <c r="J39" s="13">
        <v>0.019361229901880092</v>
      </c>
      <c r="K39" s="13">
        <v>0.02428690809718254</v>
      </c>
      <c r="L39" s="13">
        <v>0.017834538248296252</v>
      </c>
      <c r="M39" s="13">
        <v>0.0012709007986336932</v>
      </c>
      <c r="N39" s="13">
        <v>0.004057135258964113</v>
      </c>
      <c r="O39" s="17"/>
      <c r="P39" s="13">
        <v>0.004321472597259189</v>
      </c>
      <c r="Q39" s="13">
        <v>0.01122037980104682</v>
      </c>
      <c r="R39" s="13">
        <v>0.002260223711299469</v>
      </c>
      <c r="S39" s="17"/>
    </row>
    <row r="40" spans="1:19" ht="12.75">
      <c r="A40" s="6" t="s">
        <v>130</v>
      </c>
      <c r="B40" s="9">
        <v>38244</v>
      </c>
      <c r="C40" s="10" t="s">
        <v>17</v>
      </c>
      <c r="D40" s="6" t="s">
        <v>6</v>
      </c>
      <c r="E40" s="6" t="s">
        <v>7</v>
      </c>
      <c r="F40" s="8">
        <v>4031</v>
      </c>
      <c r="G40" s="13">
        <v>0.05560765614332527</v>
      </c>
      <c r="H40" s="13">
        <v>0.007572224350354756</v>
      </c>
      <c r="I40" s="13">
        <v>0.020172030881118328</v>
      </c>
      <c r="J40" s="17"/>
      <c r="K40" s="13">
        <v>0.014597785784484828</v>
      </c>
      <c r="L40" s="13">
        <v>0.005984309762566375</v>
      </c>
      <c r="M40" s="17"/>
      <c r="N40" s="13">
        <v>0.0032954324442922545</v>
      </c>
      <c r="O40" s="17"/>
      <c r="P40" s="13">
        <v>0.00430221713211883</v>
      </c>
      <c r="Q40" s="13">
        <v>0.023636889851579072</v>
      </c>
      <c r="R40" s="13">
        <v>0.00035614953486090057</v>
      </c>
      <c r="S40" s="17"/>
    </row>
    <row r="41" spans="1:19" ht="13.5" thickBot="1">
      <c r="A41" s="6" t="s">
        <v>131</v>
      </c>
      <c r="B41" s="9">
        <v>38244</v>
      </c>
      <c r="C41" s="10" t="s">
        <v>17</v>
      </c>
      <c r="D41" s="6" t="s">
        <v>8</v>
      </c>
      <c r="E41" s="6" t="s">
        <v>7</v>
      </c>
      <c r="F41" s="8">
        <v>4033</v>
      </c>
      <c r="G41" s="13">
        <v>0.013213133083375093</v>
      </c>
      <c r="H41" s="13">
        <v>0.005955722725655514</v>
      </c>
      <c r="I41" s="13">
        <v>0.0067436916914876644</v>
      </c>
      <c r="J41" s="17"/>
      <c r="K41" s="13">
        <v>0.011920916450893193</v>
      </c>
      <c r="L41" s="17"/>
      <c r="M41" s="17"/>
      <c r="N41" s="13">
        <v>0.002696542698063114</v>
      </c>
      <c r="O41" s="17"/>
      <c r="P41" s="13">
        <v>0.00396853732126223</v>
      </c>
      <c r="Q41" s="13">
        <v>0.012794768574699336</v>
      </c>
      <c r="R41" s="13">
        <v>0.0001906617973836082</v>
      </c>
      <c r="S41" s="17"/>
    </row>
    <row r="42" spans="1:19" ht="12.75">
      <c r="A42" s="6" t="s">
        <v>132</v>
      </c>
      <c r="B42" s="9">
        <v>38237</v>
      </c>
      <c r="C42" s="10" t="s">
        <v>22</v>
      </c>
      <c r="D42" s="25" t="s">
        <v>43</v>
      </c>
      <c r="E42" s="53"/>
      <c r="F42" s="5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2.75">
      <c r="A43" s="6" t="s">
        <v>133</v>
      </c>
      <c r="B43" s="9">
        <v>38237</v>
      </c>
      <c r="C43" s="10" t="s">
        <v>22</v>
      </c>
      <c r="D43" s="6" t="s">
        <v>10</v>
      </c>
      <c r="E43" s="6" t="s">
        <v>11</v>
      </c>
      <c r="F43" s="8">
        <v>4025</v>
      </c>
      <c r="G43" s="13">
        <v>0.3301257099385844</v>
      </c>
      <c r="H43" s="13">
        <v>0.005151227791909263</v>
      </c>
      <c r="I43" s="13">
        <v>0.1255429159421857</v>
      </c>
      <c r="J43" s="17"/>
      <c r="K43" s="13">
        <v>0.18780223034556462</v>
      </c>
      <c r="L43" s="13">
        <v>0.04140850724044741</v>
      </c>
      <c r="M43" s="13">
        <v>0.06145318519533038</v>
      </c>
      <c r="N43" s="13">
        <v>0.018256796391235775</v>
      </c>
      <c r="O43" s="17"/>
      <c r="P43" s="13">
        <v>0.006196589308383126</v>
      </c>
      <c r="Q43" s="13">
        <v>0.014635573043613332</v>
      </c>
      <c r="R43" s="13">
        <v>0.001028765522084714</v>
      </c>
      <c r="S43" s="17"/>
    </row>
    <row r="44" spans="1:19" ht="12.75">
      <c r="A44" s="6" t="s">
        <v>134</v>
      </c>
      <c r="B44" s="9">
        <v>38237</v>
      </c>
      <c r="C44" s="10" t="s">
        <v>22</v>
      </c>
      <c r="D44" s="6" t="s">
        <v>18</v>
      </c>
      <c r="E44" s="6" t="s">
        <v>7</v>
      </c>
      <c r="F44" s="8">
        <v>4019</v>
      </c>
      <c r="G44" s="13">
        <v>0.12970931774882236</v>
      </c>
      <c r="H44" s="13">
        <v>0.0025922116134503</v>
      </c>
      <c r="I44" s="13">
        <v>0.029498531695015234</v>
      </c>
      <c r="J44" s="17"/>
      <c r="K44" s="13">
        <v>0.024552575588443922</v>
      </c>
      <c r="L44" s="13">
        <v>0.003448416979879227</v>
      </c>
      <c r="M44" s="13">
        <v>0.004332782832455888</v>
      </c>
      <c r="N44" s="13">
        <v>0.00448468674975031</v>
      </c>
      <c r="O44" s="17"/>
      <c r="P44" s="13">
        <v>0.005187341344593254</v>
      </c>
      <c r="Q44" s="13">
        <v>0.0112785440405924</v>
      </c>
      <c r="R44" s="13">
        <v>0.00014096271483066825</v>
      </c>
      <c r="S44" s="17"/>
    </row>
    <row r="45" spans="1:19" ht="12.75">
      <c r="A45" s="6" t="s">
        <v>135</v>
      </c>
      <c r="B45" s="9">
        <v>38237</v>
      </c>
      <c r="C45" s="10" t="s">
        <v>22</v>
      </c>
      <c r="D45" s="6" t="s">
        <v>6</v>
      </c>
      <c r="E45" s="6" t="s">
        <v>7</v>
      </c>
      <c r="F45" s="8">
        <v>4021</v>
      </c>
      <c r="G45" s="13">
        <v>0.025936189924892907</v>
      </c>
      <c r="H45" s="17"/>
      <c r="I45" s="13">
        <v>0.004671934812516721</v>
      </c>
      <c r="J45" s="17"/>
      <c r="K45" s="13">
        <v>0.011705532451725982</v>
      </c>
      <c r="L45" s="17"/>
      <c r="M45" s="13">
        <v>0.0008112542168846517</v>
      </c>
      <c r="N45" s="13">
        <v>0.002807518481535213</v>
      </c>
      <c r="O45" s="17"/>
      <c r="P45" s="13">
        <v>0.00393423510650561</v>
      </c>
      <c r="Q45" s="13">
        <v>0.015534958055192113</v>
      </c>
      <c r="R45" s="17"/>
      <c r="S45" s="17"/>
    </row>
    <row r="46" spans="1:19" ht="12.75">
      <c r="A46" s="6" t="s">
        <v>136</v>
      </c>
      <c r="B46" s="9">
        <v>38237</v>
      </c>
      <c r="C46" s="10" t="s">
        <v>22</v>
      </c>
      <c r="D46" s="6" t="s">
        <v>8</v>
      </c>
      <c r="E46" s="6" t="s">
        <v>7</v>
      </c>
      <c r="F46" s="8">
        <v>4023</v>
      </c>
      <c r="G46" s="13">
        <v>0.015056191583582864</v>
      </c>
      <c r="H46" s="13">
        <v>0.0019524248000423155</v>
      </c>
      <c r="I46" s="13">
        <v>0.010387841903758199</v>
      </c>
      <c r="J46" s="17"/>
      <c r="K46" s="13">
        <v>0.013960103446065417</v>
      </c>
      <c r="L46" s="13">
        <v>0.0007555675209949338</v>
      </c>
      <c r="M46" s="13">
        <v>0.0029103391069483114</v>
      </c>
      <c r="N46" s="13">
        <v>0.0032140087674953624</v>
      </c>
      <c r="O46" s="17"/>
      <c r="P46" s="13">
        <v>0.003920256320211954</v>
      </c>
      <c r="Q46" s="13">
        <v>0.015084735022823353</v>
      </c>
      <c r="R46" s="17"/>
      <c r="S46" s="17"/>
    </row>
    <row r="47" spans="7:19" ht="12.75"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7:19" ht="12.75"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7:19" ht="12.75">
      <c r="G49" s="18" t="s">
        <v>37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6:19" ht="12.75">
      <c r="F50" s="8" t="s">
        <v>1</v>
      </c>
      <c r="G50" s="14">
        <v>0.0034160031009175603</v>
      </c>
      <c r="H50" s="14">
        <v>0.002049601860550536</v>
      </c>
      <c r="I50" s="14">
        <v>0.0017080015504587801</v>
      </c>
      <c r="J50" s="14">
        <v>0.017080015504587803</v>
      </c>
      <c r="K50" s="14">
        <v>0.0034160031009175603</v>
      </c>
      <c r="L50" s="14">
        <v>0.000341600310091756</v>
      </c>
      <c r="M50" s="14">
        <v>0.000341600310091756</v>
      </c>
      <c r="N50" s="14">
        <v>0.0017080015504587801</v>
      </c>
      <c r="O50" s="14">
        <v>0.0034160031009175603</v>
      </c>
      <c r="P50" s="14">
        <v>0.0034160031009175603</v>
      </c>
      <c r="Q50" s="14">
        <v>0.002049601860550536</v>
      </c>
      <c r="R50" s="16">
        <v>3.4160031009175606E-05</v>
      </c>
      <c r="S50" s="14">
        <v>0.0017080015504587801</v>
      </c>
    </row>
    <row r="51" spans="7:19" ht="12.75"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</sheetData>
  <printOptions/>
  <pageMargins left="0.5" right="0.5" top="0.5" bottom="0.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Q53"/>
  <sheetViews>
    <sheetView workbookViewId="0" topLeftCell="A1">
      <pane xSplit="6" ySplit="1" topLeftCell="G3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Q53" sqref="G53:AQ53"/>
    </sheetView>
  </sheetViews>
  <sheetFormatPr defaultColWidth="9.6640625" defaultRowHeight="15"/>
  <cols>
    <col min="1" max="1" width="11.5546875" style="8" customWidth="1"/>
    <col min="2" max="2" width="9.6640625" style="8" customWidth="1"/>
    <col min="3" max="3" width="5.4453125" style="11" customWidth="1"/>
    <col min="4" max="4" width="5.4453125" style="8" customWidth="1"/>
    <col min="5" max="5" width="6.3359375" style="8" customWidth="1"/>
    <col min="6" max="6" width="5.77734375" style="8" customWidth="1"/>
    <col min="7" max="19" width="6.6640625" style="2" customWidth="1"/>
    <col min="20" max="16384" width="9.6640625" style="2" customWidth="1"/>
  </cols>
  <sheetData>
    <row r="1" spans="1:19" ht="13.5" thickBot="1">
      <c r="A1" s="6" t="s">
        <v>0</v>
      </c>
      <c r="B1" s="6" t="s">
        <v>2</v>
      </c>
      <c r="C1" s="7" t="s">
        <v>3</v>
      </c>
      <c r="D1" s="6" t="s">
        <v>4</v>
      </c>
      <c r="E1" s="6" t="s">
        <v>23</v>
      </c>
      <c r="F1" s="8" t="s">
        <v>0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</row>
    <row r="2" spans="1:19" s="8" customFormat="1" ht="12.75">
      <c r="A2" s="6" t="s">
        <v>92</v>
      </c>
      <c r="B2" s="40">
        <v>38246</v>
      </c>
      <c r="C2" s="54">
        <v>101</v>
      </c>
      <c r="D2" s="25" t="s">
        <v>43</v>
      </c>
      <c r="E2" s="53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>
      <c r="A3" s="6" t="s">
        <v>93</v>
      </c>
      <c r="B3" s="9">
        <v>38246</v>
      </c>
      <c r="C3" s="10">
        <v>101</v>
      </c>
      <c r="D3" s="6" t="s">
        <v>10</v>
      </c>
      <c r="E3" s="6" t="s">
        <v>11</v>
      </c>
      <c r="F3" s="8">
        <v>4085</v>
      </c>
      <c r="G3" s="19">
        <v>2.2124533929161827</v>
      </c>
      <c r="H3" s="19">
        <v>0.007981066833948738</v>
      </c>
      <c r="I3" s="19">
        <v>0.12886727178942112</v>
      </c>
      <c r="J3" s="19">
        <v>4.1827767419240045</v>
      </c>
      <c r="K3" s="19">
        <v>0.03428200421399251</v>
      </c>
      <c r="L3" s="19">
        <v>0.058707195721295326</v>
      </c>
      <c r="M3" s="19">
        <v>0.10498865694608776</v>
      </c>
      <c r="N3" s="19">
        <v>0.006559265829719039</v>
      </c>
      <c r="O3" s="19">
        <v>0.010915462828629237</v>
      </c>
      <c r="P3" s="19">
        <v>0.007897709795857216</v>
      </c>
      <c r="Q3" s="19">
        <v>0.24644809343615393</v>
      </c>
      <c r="R3" s="19">
        <v>0.000401335223523705</v>
      </c>
      <c r="S3" s="19">
        <v>0.07547636049193318</v>
      </c>
    </row>
    <row r="4" spans="1:19" ht="12.75">
      <c r="A4" s="6" t="s">
        <v>94</v>
      </c>
      <c r="B4" s="9">
        <v>38246</v>
      </c>
      <c r="C4" s="10">
        <v>101</v>
      </c>
      <c r="D4" s="6" t="s">
        <v>6</v>
      </c>
      <c r="E4" s="6" t="s">
        <v>7</v>
      </c>
      <c r="F4" s="8">
        <v>4091</v>
      </c>
      <c r="G4" s="19">
        <v>6.981154578872574</v>
      </c>
      <c r="H4" s="20"/>
      <c r="I4" s="19">
        <v>0.1241074728487956</v>
      </c>
      <c r="J4" s="19">
        <v>2.3176345725064245</v>
      </c>
      <c r="K4" s="19">
        <v>0.01888879656816538</v>
      </c>
      <c r="L4" s="19">
        <v>0.04546591463115245</v>
      </c>
      <c r="M4" s="19">
        <v>0.012478473986985926</v>
      </c>
      <c r="N4" s="19">
        <v>0.005906840467905105</v>
      </c>
      <c r="O4" s="20"/>
      <c r="P4" s="19">
        <v>0.007540453302930123</v>
      </c>
      <c r="Q4" s="19">
        <v>1.089468987722369</v>
      </c>
      <c r="R4" s="19">
        <v>7.769589335909726E-05</v>
      </c>
      <c r="S4" s="19">
        <v>0.05041865557154104</v>
      </c>
    </row>
    <row r="5" spans="1:19" ht="13.5" thickBot="1">
      <c r="A5" s="6" t="s">
        <v>95</v>
      </c>
      <c r="B5" s="9">
        <v>38246</v>
      </c>
      <c r="C5" s="10">
        <v>101</v>
      </c>
      <c r="D5" s="6" t="s">
        <v>8</v>
      </c>
      <c r="E5" s="6" t="s">
        <v>7</v>
      </c>
      <c r="F5" s="8">
        <v>4089</v>
      </c>
      <c r="G5" s="19">
        <v>2.608067290045539</v>
      </c>
      <c r="H5" s="20"/>
      <c r="I5" s="19">
        <v>1.1569233892829545</v>
      </c>
      <c r="J5" s="19">
        <v>0.581505368999108</v>
      </c>
      <c r="K5" s="19">
        <v>0.03752908894438906</v>
      </c>
      <c r="L5" s="19">
        <v>0.0511369279668743</v>
      </c>
      <c r="M5" s="19">
        <v>0.05325091928666065</v>
      </c>
      <c r="N5" s="19">
        <v>0.009662608159260462</v>
      </c>
      <c r="O5" s="19">
        <v>0.5720957418534819</v>
      </c>
      <c r="P5" s="19">
        <v>0.00878927838865762</v>
      </c>
      <c r="Q5" s="19">
        <v>0.7213295998166658</v>
      </c>
      <c r="R5" s="19">
        <v>0.0007948680937369166</v>
      </c>
      <c r="S5" s="19">
        <v>0.010317525120408429</v>
      </c>
    </row>
    <row r="6" spans="1:19" s="8" customFormat="1" ht="12.75">
      <c r="A6" s="6" t="s">
        <v>96</v>
      </c>
      <c r="B6" s="9">
        <v>38245</v>
      </c>
      <c r="C6" s="10" t="s">
        <v>19</v>
      </c>
      <c r="D6" s="25" t="s">
        <v>43</v>
      </c>
      <c r="E6" s="53"/>
      <c r="F6" s="52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2.75">
      <c r="A7" s="6" t="s">
        <v>97</v>
      </c>
      <c r="B7" s="9">
        <v>38245</v>
      </c>
      <c r="C7" s="10" t="s">
        <v>19</v>
      </c>
      <c r="D7" s="6" t="s">
        <v>10</v>
      </c>
      <c r="E7" s="6" t="s">
        <v>11</v>
      </c>
      <c r="F7" s="8">
        <v>4009</v>
      </c>
      <c r="G7" s="19">
        <v>0.4801714980870996</v>
      </c>
      <c r="H7" s="19">
        <v>0.021982875035591258</v>
      </c>
      <c r="I7" s="19">
        <v>0.9613033062052105</v>
      </c>
      <c r="J7" s="19">
        <v>0.3944078706664704</v>
      </c>
      <c r="K7" s="19">
        <v>0.17051610708244164</v>
      </c>
      <c r="L7" s="19">
        <v>0.06418215340411262</v>
      </c>
      <c r="M7" s="19">
        <v>0.17194296527141073</v>
      </c>
      <c r="N7" s="19">
        <v>0.01069227792181491</v>
      </c>
      <c r="O7" s="19">
        <v>0.09042285882657616</v>
      </c>
      <c r="P7" s="19">
        <v>0.008238876276294617</v>
      </c>
      <c r="Q7" s="19">
        <v>0.06803815390190854</v>
      </c>
      <c r="R7" s="19">
        <v>0.004736814314105744</v>
      </c>
      <c r="S7" s="20"/>
    </row>
    <row r="8" spans="1:19" ht="12.75">
      <c r="A8" s="6" t="s">
        <v>98</v>
      </c>
      <c r="B8" s="9">
        <v>38245</v>
      </c>
      <c r="C8" s="10" t="s">
        <v>19</v>
      </c>
      <c r="D8" s="6" t="s">
        <v>9</v>
      </c>
      <c r="E8" s="6" t="s">
        <v>7</v>
      </c>
      <c r="F8" s="8">
        <v>4007</v>
      </c>
      <c r="G8" s="19">
        <v>0.31998390373890795</v>
      </c>
      <c r="H8" s="20"/>
      <c r="I8" s="19">
        <v>0.007941428810088493</v>
      </c>
      <c r="J8" s="19">
        <v>0.19851756450965943</v>
      </c>
      <c r="K8" s="19">
        <v>0.016952939919986552</v>
      </c>
      <c r="L8" s="20"/>
      <c r="M8" s="20"/>
      <c r="N8" s="19">
        <v>0.007388675018423069</v>
      </c>
      <c r="O8" s="20"/>
      <c r="P8" s="19">
        <v>0.006598507424985844</v>
      </c>
      <c r="Q8" s="19">
        <v>0.06029896031647547</v>
      </c>
      <c r="R8" s="20"/>
      <c r="S8" s="19">
        <v>0.0038401454859115134</v>
      </c>
    </row>
    <row r="9" spans="1:19" ht="12.75">
      <c r="A9" s="6" t="s">
        <v>99</v>
      </c>
      <c r="B9" s="9">
        <v>38245</v>
      </c>
      <c r="C9" s="10" t="s">
        <v>19</v>
      </c>
      <c r="D9" s="6" t="s">
        <v>18</v>
      </c>
      <c r="E9" s="6" t="s">
        <v>7</v>
      </c>
      <c r="F9" s="8">
        <v>4001</v>
      </c>
      <c r="G9" s="19">
        <v>6.1779043915513725</v>
      </c>
      <c r="H9" s="19">
        <v>0.005088589816586099</v>
      </c>
      <c r="I9" s="19">
        <v>0.08932840900742002</v>
      </c>
      <c r="J9" s="19">
        <v>3.816835806454728</v>
      </c>
      <c r="K9" s="19">
        <v>0.02591504841651883</v>
      </c>
      <c r="L9" s="19">
        <v>0.01023795405323466</v>
      </c>
      <c r="M9" s="19">
        <v>0.013971400912221533</v>
      </c>
      <c r="N9" s="19">
        <v>0.008413854553736173</v>
      </c>
      <c r="O9" s="20"/>
      <c r="P9" s="19">
        <v>0.007942094855063035</v>
      </c>
      <c r="Q9" s="19">
        <v>0.831001874586266</v>
      </c>
      <c r="R9" s="19">
        <v>0.0006076156803615062</v>
      </c>
      <c r="S9" s="19">
        <v>0.019195360315271002</v>
      </c>
    </row>
    <row r="10" spans="1:19" ht="12.75">
      <c r="A10" s="6" t="s">
        <v>100</v>
      </c>
      <c r="B10" s="9">
        <v>38245</v>
      </c>
      <c r="C10" s="10" t="s">
        <v>19</v>
      </c>
      <c r="D10" s="6" t="s">
        <v>6</v>
      </c>
      <c r="E10" s="6" t="s">
        <v>7</v>
      </c>
      <c r="F10" s="8">
        <v>4003</v>
      </c>
      <c r="G10" s="19">
        <v>8.513758044044105</v>
      </c>
      <c r="H10" s="20"/>
      <c r="I10" s="19">
        <v>0.0171655112669298</v>
      </c>
      <c r="J10" s="19">
        <v>1.7467774507818372</v>
      </c>
      <c r="K10" s="19">
        <v>0.021779832223947228</v>
      </c>
      <c r="L10" s="19">
        <v>0.0040318021907409934</v>
      </c>
      <c r="M10" s="19">
        <v>0.04855913682351402</v>
      </c>
      <c r="N10" s="19">
        <v>0.008118347204537718</v>
      </c>
      <c r="O10" s="20"/>
      <c r="P10" s="19">
        <v>0.00792277375321584</v>
      </c>
      <c r="Q10" s="19">
        <v>1.2111270562207328</v>
      </c>
      <c r="R10" s="20"/>
      <c r="S10" s="19">
        <v>0.026206817710304097</v>
      </c>
    </row>
    <row r="11" spans="1:19" ht="13.5" thickBot="1">
      <c r="A11" s="6" t="s">
        <v>101</v>
      </c>
      <c r="B11" s="9">
        <v>38245</v>
      </c>
      <c r="C11" s="10" t="s">
        <v>19</v>
      </c>
      <c r="D11" s="6" t="s">
        <v>8</v>
      </c>
      <c r="E11" s="6" t="s">
        <v>7</v>
      </c>
      <c r="F11" s="8">
        <v>4005</v>
      </c>
      <c r="G11" s="19">
        <v>2.51704367253383</v>
      </c>
      <c r="H11" s="20"/>
      <c r="I11" s="19">
        <v>0.08559228619763891</v>
      </c>
      <c r="J11" s="19">
        <v>1.1435377804396827</v>
      </c>
      <c r="K11" s="19">
        <v>0.02085436186475951</v>
      </c>
      <c r="L11" s="19">
        <v>0.010849138812855944</v>
      </c>
      <c r="M11" s="19">
        <v>0.0029964660171753004</v>
      </c>
      <c r="N11" s="19">
        <v>0.009495106173621398</v>
      </c>
      <c r="O11" s="19">
        <v>0.02978271472985243</v>
      </c>
      <c r="P11" s="19">
        <v>0.008106809042134679</v>
      </c>
      <c r="Q11" s="19">
        <v>0.6589093985071505</v>
      </c>
      <c r="R11" s="20"/>
      <c r="S11" s="19">
        <v>0.046991350533937756</v>
      </c>
    </row>
    <row r="12" spans="1:19" s="8" customFormat="1" ht="12.75">
      <c r="A12" s="6" t="s">
        <v>102</v>
      </c>
      <c r="B12" s="9">
        <v>38161</v>
      </c>
      <c r="C12" s="10" t="s">
        <v>5</v>
      </c>
      <c r="D12" s="25" t="s">
        <v>43</v>
      </c>
      <c r="E12" s="53"/>
      <c r="F12" s="52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.75">
      <c r="A13" s="6" t="s">
        <v>103</v>
      </c>
      <c r="B13" s="9">
        <v>38161</v>
      </c>
      <c r="C13" s="10" t="s">
        <v>5</v>
      </c>
      <c r="D13" s="6" t="s">
        <v>10</v>
      </c>
      <c r="E13" s="6" t="s">
        <v>11</v>
      </c>
      <c r="F13" s="8">
        <v>4059</v>
      </c>
      <c r="G13" s="19">
        <v>0.32456818553608674</v>
      </c>
      <c r="H13" s="19">
        <v>0.009970234629132853</v>
      </c>
      <c r="I13" s="19">
        <v>0.4555513533529042</v>
      </c>
      <c r="J13" s="19">
        <v>0.2866264794166079</v>
      </c>
      <c r="K13" s="19">
        <v>0.05057784261225613</v>
      </c>
      <c r="L13" s="19">
        <v>0.0263964433030958</v>
      </c>
      <c r="M13" s="19">
        <v>0.004910673540532423</v>
      </c>
      <c r="N13" s="19">
        <v>0.0080803199256246</v>
      </c>
      <c r="O13" s="19">
        <v>0.018146310723043412</v>
      </c>
      <c r="P13" s="19">
        <v>0.008092697748802506</v>
      </c>
      <c r="Q13" s="19">
        <v>0.017243108231868448</v>
      </c>
      <c r="R13" s="19">
        <v>0.003520704199917243</v>
      </c>
      <c r="S13" s="20"/>
    </row>
    <row r="14" spans="1:19" ht="12.75">
      <c r="A14" s="6" t="s">
        <v>104</v>
      </c>
      <c r="B14" s="9">
        <v>38161</v>
      </c>
      <c r="C14" s="10" t="s">
        <v>5</v>
      </c>
      <c r="D14" s="6" t="s">
        <v>9</v>
      </c>
      <c r="E14" s="6" t="s">
        <v>7</v>
      </c>
      <c r="F14" s="8">
        <v>4057</v>
      </c>
      <c r="G14" s="19">
        <v>0.1917592741007127</v>
      </c>
      <c r="H14" s="20"/>
      <c r="I14" s="19">
        <v>0.005930675876328933</v>
      </c>
      <c r="J14" s="19">
        <v>0.1776042456726399</v>
      </c>
      <c r="K14" s="19">
        <v>0.018057345056232497</v>
      </c>
      <c r="L14" s="20"/>
      <c r="M14" s="20"/>
      <c r="N14" s="19">
        <v>0.006500846785037578</v>
      </c>
      <c r="O14" s="20"/>
      <c r="P14" s="19">
        <v>0.0072258785130226225</v>
      </c>
      <c r="Q14" s="19">
        <v>0.030654686791189458</v>
      </c>
      <c r="R14" s="20"/>
      <c r="S14" s="20"/>
    </row>
    <row r="15" spans="1:19" ht="12.75">
      <c r="A15" s="6" t="s">
        <v>105</v>
      </c>
      <c r="B15" s="9">
        <v>38161</v>
      </c>
      <c r="C15" s="10" t="s">
        <v>5</v>
      </c>
      <c r="D15" s="6" t="s">
        <v>6</v>
      </c>
      <c r="E15" s="6" t="s">
        <v>7</v>
      </c>
      <c r="F15" s="8">
        <v>4053</v>
      </c>
      <c r="G15" s="19">
        <v>10.461802434316093</v>
      </c>
      <c r="H15" s="20"/>
      <c r="I15" s="19">
        <v>0.02138411005933705</v>
      </c>
      <c r="J15" s="19">
        <v>1.711423362149132</v>
      </c>
      <c r="K15" s="19">
        <v>0.022916830502631394</v>
      </c>
      <c r="L15" s="19">
        <v>0.002143953145042887</v>
      </c>
      <c r="M15" s="19">
        <v>0.017692654092160743</v>
      </c>
      <c r="N15" s="19">
        <v>0.007268312864260212</v>
      </c>
      <c r="O15" s="20"/>
      <c r="P15" s="19">
        <v>0.008031393931360861</v>
      </c>
      <c r="Q15" s="19">
        <v>1.261766639663531</v>
      </c>
      <c r="R15" s="20"/>
      <c r="S15" s="19">
        <v>0.01683599822019946</v>
      </c>
    </row>
    <row r="16" spans="1:19" ht="13.5" thickBot="1">
      <c r="A16" s="6" t="s">
        <v>106</v>
      </c>
      <c r="B16" s="9">
        <v>38161</v>
      </c>
      <c r="C16" s="10" t="s">
        <v>5</v>
      </c>
      <c r="D16" s="6" t="s">
        <v>8</v>
      </c>
      <c r="E16" s="6" t="s">
        <v>7</v>
      </c>
      <c r="F16" s="8">
        <v>4055</v>
      </c>
      <c r="G16" s="19">
        <v>2.939243390525506</v>
      </c>
      <c r="H16" s="20"/>
      <c r="I16" s="19">
        <v>0.0986461185396379</v>
      </c>
      <c r="J16" s="19">
        <v>0.5078157351619133</v>
      </c>
      <c r="K16" s="19">
        <v>0.024247010315561136</v>
      </c>
      <c r="L16" s="19">
        <v>0.006973583854032713</v>
      </c>
      <c r="M16" s="19">
        <v>0.04800244430967673</v>
      </c>
      <c r="N16" s="19">
        <v>0.008403962293885561</v>
      </c>
      <c r="O16" s="19">
        <v>0.07455116048851508</v>
      </c>
      <c r="P16" s="19">
        <v>0.006908624921394752</v>
      </c>
      <c r="Q16" s="19">
        <v>0.8690606151071472</v>
      </c>
      <c r="R16" s="20"/>
      <c r="S16" s="19">
        <v>0.01220006327659201</v>
      </c>
    </row>
    <row r="17" spans="1:19" s="8" customFormat="1" ht="12.75">
      <c r="A17" s="6" t="s">
        <v>107</v>
      </c>
      <c r="B17" s="9">
        <v>38236</v>
      </c>
      <c r="C17" s="10" t="s">
        <v>21</v>
      </c>
      <c r="D17" s="25" t="s">
        <v>43</v>
      </c>
      <c r="E17" s="53"/>
      <c r="F17" s="52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6" t="s">
        <v>108</v>
      </c>
      <c r="B18" s="9">
        <v>38236</v>
      </c>
      <c r="C18" s="10" t="s">
        <v>21</v>
      </c>
      <c r="D18" s="6" t="s">
        <v>10</v>
      </c>
      <c r="E18" s="6" t="s">
        <v>11</v>
      </c>
      <c r="F18" s="8">
        <v>4071</v>
      </c>
      <c r="G18" s="19">
        <v>0.25504176005835083</v>
      </c>
      <c r="H18" s="19">
        <v>0.009153716988571328</v>
      </c>
      <c r="I18" s="19">
        <v>0.388953284151211</v>
      </c>
      <c r="J18" s="19">
        <v>0.23494380037950666</v>
      </c>
      <c r="K18" s="19">
        <v>0.09356229651926573</v>
      </c>
      <c r="L18" s="19">
        <v>0.03825412754235181</v>
      </c>
      <c r="M18" s="19">
        <v>0.04180299813031568</v>
      </c>
      <c r="N18" s="19">
        <v>0.008285461943378515</v>
      </c>
      <c r="O18" s="19">
        <v>0.02019788708103604</v>
      </c>
      <c r="P18" s="19">
        <v>0.008049827487730272</v>
      </c>
      <c r="Q18" s="19">
        <v>0.04195269660040034</v>
      </c>
      <c r="R18" s="19">
        <v>0.0020191530311444326</v>
      </c>
      <c r="S18" s="20"/>
    </row>
    <row r="19" spans="1:19" ht="12.75">
      <c r="A19" s="6" t="s">
        <v>109</v>
      </c>
      <c r="B19" s="9">
        <v>38236</v>
      </c>
      <c r="C19" s="10" t="s">
        <v>21</v>
      </c>
      <c r="D19" s="6" t="s">
        <v>9</v>
      </c>
      <c r="E19" s="6" t="s">
        <v>7</v>
      </c>
      <c r="F19" s="8">
        <v>4069</v>
      </c>
      <c r="G19" s="19">
        <v>1.1378699722955836</v>
      </c>
      <c r="H19" s="20"/>
      <c r="I19" s="19">
        <v>0.24109233761034374</v>
      </c>
      <c r="J19" s="19">
        <v>1.3609310258307334</v>
      </c>
      <c r="K19" s="19">
        <v>0.022717107845895517</v>
      </c>
      <c r="L19" s="19">
        <v>0.019394332995247596</v>
      </c>
      <c r="M19" s="19">
        <v>0.051068807402650185</v>
      </c>
      <c r="N19" s="19">
        <v>0.009491450892243104</v>
      </c>
      <c r="O19" s="19">
        <v>0.08302206850496409</v>
      </c>
      <c r="P19" s="19">
        <v>0.006311301662078318</v>
      </c>
      <c r="Q19" s="19">
        <v>0.20872127761348805</v>
      </c>
      <c r="R19" s="19">
        <v>0.0002367945804318033</v>
      </c>
      <c r="S19" s="19">
        <v>0.03195367604559391</v>
      </c>
    </row>
    <row r="20" spans="1:19" ht="12.75">
      <c r="A20" s="6" t="s">
        <v>110</v>
      </c>
      <c r="B20" s="9">
        <v>38236</v>
      </c>
      <c r="C20" s="10" t="s">
        <v>21</v>
      </c>
      <c r="D20" s="6" t="s">
        <v>15</v>
      </c>
      <c r="E20" s="6" t="s">
        <v>7</v>
      </c>
      <c r="F20" s="8">
        <v>4063</v>
      </c>
      <c r="G20" s="19">
        <v>7.8674847443598965</v>
      </c>
      <c r="H20" s="20"/>
      <c r="I20" s="19">
        <v>0.014107755183029211</v>
      </c>
      <c r="J20" s="19">
        <v>1.493515468484256</v>
      </c>
      <c r="K20" s="19">
        <v>0.021577303616022017</v>
      </c>
      <c r="L20" s="19">
        <v>0.008273293292428787</v>
      </c>
      <c r="M20" s="19">
        <v>0.001164110576073751</v>
      </c>
      <c r="N20" s="19">
        <v>0.008472339830544453</v>
      </c>
      <c r="O20" s="20"/>
      <c r="P20" s="19">
        <v>0.008660816344735995</v>
      </c>
      <c r="Q20" s="19">
        <v>1.2471066918529372</v>
      </c>
      <c r="R20" s="20"/>
      <c r="S20" s="19">
        <v>0.023165836667980604</v>
      </c>
    </row>
    <row r="21" spans="1:19" ht="12.75">
      <c r="A21" s="6" t="s">
        <v>111</v>
      </c>
      <c r="B21" s="9">
        <v>38236</v>
      </c>
      <c r="C21" s="10" t="s">
        <v>21</v>
      </c>
      <c r="D21" s="6" t="s">
        <v>16</v>
      </c>
      <c r="E21" s="6" t="s">
        <v>7</v>
      </c>
      <c r="F21" s="8">
        <v>4065</v>
      </c>
      <c r="G21" s="19">
        <v>2.7029317792715624</v>
      </c>
      <c r="H21" s="20"/>
      <c r="I21" s="19">
        <v>0.021732235639725126</v>
      </c>
      <c r="J21" s="19">
        <v>0.6543995321253174</v>
      </c>
      <c r="K21" s="19">
        <v>0.024650792208774135</v>
      </c>
      <c r="L21" s="19">
        <v>0.015044688662916406</v>
      </c>
      <c r="M21" s="19">
        <v>0.0021623900848514563</v>
      </c>
      <c r="N21" s="19">
        <v>0.00996896105453969</v>
      </c>
      <c r="O21" s="19">
        <v>0.05987473463359534</v>
      </c>
      <c r="P21" s="19">
        <v>0.007367982935701415</v>
      </c>
      <c r="Q21" s="19">
        <v>0.7539496259672486</v>
      </c>
      <c r="R21" s="20"/>
      <c r="S21" s="19">
        <v>0.03759050577580629</v>
      </c>
    </row>
    <row r="22" spans="1:19" ht="13.5" thickBot="1">
      <c r="A22" s="6" t="s">
        <v>112</v>
      </c>
      <c r="B22" s="9">
        <v>38236</v>
      </c>
      <c r="C22" s="10" t="s">
        <v>21</v>
      </c>
      <c r="D22" s="6" t="s">
        <v>8</v>
      </c>
      <c r="E22" s="6" t="s">
        <v>7</v>
      </c>
      <c r="F22" s="8">
        <v>4067</v>
      </c>
      <c r="G22" s="19">
        <v>1.8157610746058632</v>
      </c>
      <c r="H22" s="20"/>
      <c r="I22" s="19">
        <v>0.06320123335500166</v>
      </c>
      <c r="J22" s="19">
        <v>0.933404202304938</v>
      </c>
      <c r="K22" s="19">
        <v>0.023885220284576885</v>
      </c>
      <c r="L22" s="19">
        <v>0.00416065511155584</v>
      </c>
      <c r="M22" s="19">
        <v>0.0016775088554021197</v>
      </c>
      <c r="N22" s="19">
        <v>0.010631915248559071</v>
      </c>
      <c r="O22" s="19">
        <v>0.04121268815438677</v>
      </c>
      <c r="P22" s="19">
        <v>0.0075704722617614215</v>
      </c>
      <c r="Q22" s="19">
        <v>0.4752460232153308</v>
      </c>
      <c r="R22" s="20"/>
      <c r="S22" s="19">
        <v>0.020379356344708395</v>
      </c>
    </row>
    <row r="23" spans="1:19" s="8" customFormat="1" ht="12.75">
      <c r="A23" s="6" t="s">
        <v>113</v>
      </c>
      <c r="B23" s="9">
        <v>38236</v>
      </c>
      <c r="C23" s="10" t="s">
        <v>12</v>
      </c>
      <c r="D23" s="25" t="s">
        <v>43</v>
      </c>
      <c r="E23" s="53"/>
      <c r="F23" s="5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6" t="s">
        <v>114</v>
      </c>
      <c r="B24" s="9">
        <v>38236</v>
      </c>
      <c r="C24" s="10" t="s">
        <v>12</v>
      </c>
      <c r="D24" s="6" t="s">
        <v>10</v>
      </c>
      <c r="E24" s="6" t="s">
        <v>11</v>
      </c>
      <c r="F24" s="8">
        <v>4015</v>
      </c>
      <c r="G24" s="19">
        <v>1.688125124012117</v>
      </c>
      <c r="H24" s="19">
        <v>0.004554432228318729</v>
      </c>
      <c r="I24" s="19">
        <v>0.16460793955051242</v>
      </c>
      <c r="J24" s="19">
        <v>0.9545884136317997</v>
      </c>
      <c r="K24" s="19">
        <v>0.040814971665286415</v>
      </c>
      <c r="L24" s="19">
        <v>0.009108686109377713</v>
      </c>
      <c r="M24" s="19">
        <v>0.08155356985787135</v>
      </c>
      <c r="N24" s="19">
        <v>0.010939343999913058</v>
      </c>
      <c r="O24" s="19">
        <v>0.02525772436354067</v>
      </c>
      <c r="P24" s="19">
        <v>0.007766425560510991</v>
      </c>
      <c r="Q24" s="19">
        <v>0.10947339612045479</v>
      </c>
      <c r="R24" s="19">
        <v>0.0009363073589687809</v>
      </c>
      <c r="S24" s="19">
        <v>0.019597763213771845</v>
      </c>
    </row>
    <row r="25" spans="1:19" ht="12.75">
      <c r="A25" s="6" t="s">
        <v>115</v>
      </c>
      <c r="B25" s="9">
        <v>38236</v>
      </c>
      <c r="C25" s="10" t="s">
        <v>12</v>
      </c>
      <c r="D25" s="6" t="s">
        <v>14</v>
      </c>
      <c r="E25" s="6" t="s">
        <v>7</v>
      </c>
      <c r="F25" s="8">
        <v>4079</v>
      </c>
      <c r="G25" s="19">
        <v>1.227804307815848</v>
      </c>
      <c r="H25" s="20"/>
      <c r="I25" s="19">
        <v>0.00979959603050768</v>
      </c>
      <c r="J25" s="19">
        <v>1.134869154873114</v>
      </c>
      <c r="K25" s="19">
        <v>0.021642029855905277</v>
      </c>
      <c r="L25" s="20"/>
      <c r="M25" s="19">
        <v>0.017779704272956286</v>
      </c>
      <c r="N25" s="19">
        <v>0.009451913523163066</v>
      </c>
      <c r="O25" s="20"/>
      <c r="P25" s="19">
        <v>0.007156755638918119</v>
      </c>
      <c r="Q25" s="19">
        <v>0.12063141315070827</v>
      </c>
      <c r="R25" s="20"/>
      <c r="S25" s="19">
        <v>0.011819504548108607</v>
      </c>
    </row>
    <row r="26" spans="1:19" ht="12.75">
      <c r="A26" s="6" t="s">
        <v>116</v>
      </c>
      <c r="B26" s="9">
        <v>38236</v>
      </c>
      <c r="C26" s="10" t="s">
        <v>12</v>
      </c>
      <c r="D26" s="6" t="s">
        <v>13</v>
      </c>
      <c r="E26" s="6" t="s">
        <v>7</v>
      </c>
      <c r="F26" s="8">
        <v>4076</v>
      </c>
      <c r="G26" s="19">
        <v>0.6885485474574276</v>
      </c>
      <c r="H26" s="20"/>
      <c r="I26" s="19">
        <v>0.007728214663121172</v>
      </c>
      <c r="J26" s="19">
        <v>0.22339890384327077</v>
      </c>
      <c r="K26" s="19">
        <v>0.026672547610421017</v>
      </c>
      <c r="L26" s="20"/>
      <c r="M26" s="19">
        <v>0.0030425688858722465</v>
      </c>
      <c r="N26" s="19">
        <v>0.011053441613382578</v>
      </c>
      <c r="O26" s="20"/>
      <c r="P26" s="19">
        <v>0.008562161194910893</v>
      </c>
      <c r="Q26" s="19">
        <v>0.20095565474319269</v>
      </c>
      <c r="R26" s="20"/>
      <c r="S26" s="20"/>
    </row>
    <row r="27" spans="1:19" ht="12.75">
      <c r="A27" s="6" t="s">
        <v>117</v>
      </c>
      <c r="B27" s="9">
        <v>38236</v>
      </c>
      <c r="C27" s="10" t="s">
        <v>12</v>
      </c>
      <c r="D27" s="6" t="s">
        <v>15</v>
      </c>
      <c r="E27" s="6" t="s">
        <v>7</v>
      </c>
      <c r="F27" s="8">
        <v>4081</v>
      </c>
      <c r="G27" s="19">
        <v>1.9310816316431247</v>
      </c>
      <c r="H27" s="20"/>
      <c r="I27" s="19">
        <v>0.01997518370498908</v>
      </c>
      <c r="J27" s="19">
        <v>1.768295601941858</v>
      </c>
      <c r="K27" s="19">
        <v>0.02226180259785394</v>
      </c>
      <c r="L27" s="19">
        <v>0.002038111126209055</v>
      </c>
      <c r="M27" s="19">
        <v>0.012740256722059433</v>
      </c>
      <c r="N27" s="19">
        <v>0.009838034291144016</v>
      </c>
      <c r="O27" s="20"/>
      <c r="P27" s="19">
        <v>0.006617623262318677</v>
      </c>
      <c r="Q27" s="19">
        <v>0.2723858502139049</v>
      </c>
      <c r="R27" s="20"/>
      <c r="S27" s="19">
        <v>0.019310805366546623</v>
      </c>
    </row>
    <row r="28" spans="1:19" ht="12.75">
      <c r="A28" s="6" t="s">
        <v>118</v>
      </c>
      <c r="B28" s="9">
        <v>38236</v>
      </c>
      <c r="C28" s="10" t="s">
        <v>12</v>
      </c>
      <c r="D28" s="6" t="s">
        <v>16</v>
      </c>
      <c r="E28" s="6" t="s">
        <v>7</v>
      </c>
      <c r="F28" s="8">
        <v>4083</v>
      </c>
      <c r="G28" s="19">
        <v>0.3276902431985682</v>
      </c>
      <c r="H28" s="20"/>
      <c r="I28" s="19">
        <v>0.002933532885337593</v>
      </c>
      <c r="J28" s="19">
        <v>0.2377649952312758</v>
      </c>
      <c r="K28" s="19">
        <v>0.017301238276804205</v>
      </c>
      <c r="L28" s="20"/>
      <c r="M28" s="20"/>
      <c r="N28" s="19">
        <v>0.006878465193102332</v>
      </c>
      <c r="O28" s="20"/>
      <c r="P28" s="19">
        <v>0.007117651844473888</v>
      </c>
      <c r="Q28" s="19">
        <v>0.033690304711585566</v>
      </c>
      <c r="R28" s="20"/>
      <c r="S28" s="19">
        <v>0.004616344542040714</v>
      </c>
    </row>
    <row r="29" spans="1:19" ht="13.5" thickBot="1">
      <c r="A29" s="6" t="s">
        <v>119</v>
      </c>
      <c r="B29" s="9">
        <v>38236</v>
      </c>
      <c r="C29" s="10" t="s">
        <v>12</v>
      </c>
      <c r="D29" s="6" t="s">
        <v>8</v>
      </c>
      <c r="E29" s="6" t="s">
        <v>7</v>
      </c>
      <c r="F29" s="8">
        <v>4013</v>
      </c>
      <c r="G29" s="19">
        <v>0.9908324509334617</v>
      </c>
      <c r="H29" s="20"/>
      <c r="I29" s="19">
        <v>0.24563730845857817</v>
      </c>
      <c r="J29" s="19">
        <v>1.3532893924866847</v>
      </c>
      <c r="K29" s="19">
        <v>0.023789004228625458</v>
      </c>
      <c r="L29" s="19">
        <v>0.015350344858782644</v>
      </c>
      <c r="M29" s="19">
        <v>0.03502811627053559</v>
      </c>
      <c r="N29" s="19">
        <v>0.01018898405297246</v>
      </c>
      <c r="O29" s="19">
        <v>0.09981098773757574</v>
      </c>
      <c r="P29" s="19">
        <v>0.007912702893432804</v>
      </c>
      <c r="Q29" s="19">
        <v>0.16340262992032456</v>
      </c>
      <c r="R29" s="19">
        <v>0.0002736653871630968</v>
      </c>
      <c r="S29" s="19">
        <v>0.03240990285725152</v>
      </c>
    </row>
    <row r="30" spans="1:19" s="8" customFormat="1" ht="12.75">
      <c r="A30" s="6" t="s">
        <v>120</v>
      </c>
      <c r="B30" s="9">
        <v>38247</v>
      </c>
      <c r="C30" s="10" t="s">
        <v>20</v>
      </c>
      <c r="D30" s="25" t="s">
        <v>43</v>
      </c>
      <c r="E30" s="53"/>
      <c r="F30" s="52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.75">
      <c r="A31" s="6" t="s">
        <v>121</v>
      </c>
      <c r="B31" s="9">
        <v>38247</v>
      </c>
      <c r="C31" s="10" t="s">
        <v>20</v>
      </c>
      <c r="D31" s="6" t="s">
        <v>10</v>
      </c>
      <c r="E31" s="6" t="s">
        <v>11</v>
      </c>
      <c r="F31" s="8">
        <v>4049</v>
      </c>
      <c r="G31" s="19">
        <v>0.3826223811879091</v>
      </c>
      <c r="H31" s="19">
        <v>0.019260726592805127</v>
      </c>
      <c r="I31" s="19">
        <v>0.7137081212001579</v>
      </c>
      <c r="J31" s="19">
        <v>0.23526253310279013</v>
      </c>
      <c r="K31" s="19">
        <v>0.08052342657195624</v>
      </c>
      <c r="L31" s="19">
        <v>0.06258806021901579</v>
      </c>
      <c r="M31" s="19">
        <v>0.03824960394263937</v>
      </c>
      <c r="N31" s="19">
        <v>0.008507738932510917</v>
      </c>
      <c r="O31" s="19">
        <v>0.08228798116220482</v>
      </c>
      <c r="P31" s="19">
        <v>0.007180139893347508</v>
      </c>
      <c r="Q31" s="19">
        <v>0.030649153774474983</v>
      </c>
      <c r="R31" s="19">
        <v>0.007200184749507503</v>
      </c>
      <c r="S31" s="20"/>
    </row>
    <row r="32" spans="1:19" ht="12.75">
      <c r="A32" s="6" t="s">
        <v>122</v>
      </c>
      <c r="B32" s="9">
        <v>38247</v>
      </c>
      <c r="C32" s="10" t="s">
        <v>20</v>
      </c>
      <c r="D32" s="6" t="s">
        <v>9</v>
      </c>
      <c r="E32" s="6" t="s">
        <v>7</v>
      </c>
      <c r="F32" s="8">
        <v>4047</v>
      </c>
      <c r="G32" s="19">
        <v>0.512086296467398</v>
      </c>
      <c r="H32" s="20"/>
      <c r="I32" s="19">
        <v>0.0028697086404716474</v>
      </c>
      <c r="J32" s="19">
        <v>0.23689564706119792</v>
      </c>
      <c r="K32" s="19">
        <v>0.01004057993046662</v>
      </c>
      <c r="L32" s="20"/>
      <c r="M32" s="20"/>
      <c r="N32" s="19">
        <v>0.0042630155109364045</v>
      </c>
      <c r="O32" s="20"/>
      <c r="P32" s="19">
        <v>0.0059059536676860916</v>
      </c>
      <c r="Q32" s="19">
        <v>0.01831595124392365</v>
      </c>
      <c r="R32" s="20"/>
      <c r="S32" s="19">
        <v>0.006301418570141483</v>
      </c>
    </row>
    <row r="33" spans="1:19" ht="12.75">
      <c r="A33" s="6" t="s">
        <v>123</v>
      </c>
      <c r="B33" s="9">
        <v>38247</v>
      </c>
      <c r="C33" s="10" t="s">
        <v>20</v>
      </c>
      <c r="D33" s="6" t="s">
        <v>18</v>
      </c>
      <c r="E33" s="6" t="s">
        <v>7</v>
      </c>
      <c r="F33" s="8">
        <v>4041</v>
      </c>
      <c r="G33" s="19">
        <v>5.314965929828107</v>
      </c>
      <c r="H33" s="20"/>
      <c r="I33" s="19">
        <v>0.022029864626545635</v>
      </c>
      <c r="J33" s="19">
        <v>3.613107636329997</v>
      </c>
      <c r="K33" s="19">
        <v>0.018285286539861473</v>
      </c>
      <c r="L33" s="19">
        <v>0.042402503010447505</v>
      </c>
      <c r="M33" s="19">
        <v>0.001986825682021265</v>
      </c>
      <c r="N33" s="19">
        <v>0.007087775039440425</v>
      </c>
      <c r="O33" s="20"/>
      <c r="P33" s="19">
        <v>0.0089621086225963</v>
      </c>
      <c r="Q33" s="19">
        <v>0.34052320177434864</v>
      </c>
      <c r="R33" s="20"/>
      <c r="S33" s="19">
        <v>0.025973169554647905</v>
      </c>
    </row>
    <row r="34" spans="1:19" ht="12.75">
      <c r="A34" s="6" t="s">
        <v>124</v>
      </c>
      <c r="B34" s="9">
        <v>38247</v>
      </c>
      <c r="C34" s="10" t="s">
        <v>20</v>
      </c>
      <c r="D34" s="6" t="s">
        <v>6</v>
      </c>
      <c r="E34" s="6" t="s">
        <v>7</v>
      </c>
      <c r="F34" s="8">
        <v>4043</v>
      </c>
      <c r="G34" s="19">
        <v>6.5689072157769175</v>
      </c>
      <c r="H34" s="19">
        <v>0.0027450675016147054</v>
      </c>
      <c r="I34" s="19">
        <v>0.05468823577588463</v>
      </c>
      <c r="J34" s="19">
        <v>4.329266980660146</v>
      </c>
      <c r="K34" s="19">
        <v>0.01635551216826441</v>
      </c>
      <c r="L34" s="19">
        <v>0.03814720578183526</v>
      </c>
      <c r="M34" s="19">
        <v>0.011072660710075753</v>
      </c>
      <c r="N34" s="19">
        <v>0.005641964719363472</v>
      </c>
      <c r="O34" s="19">
        <v>0.040284127333177516</v>
      </c>
      <c r="P34" s="19">
        <v>0.0059912010034962595</v>
      </c>
      <c r="Q34" s="19">
        <v>0.7158641902121002</v>
      </c>
      <c r="R34" s="19">
        <v>8.873173305860438E-05</v>
      </c>
      <c r="S34" s="19">
        <v>0.033405617784381246</v>
      </c>
    </row>
    <row r="35" spans="1:19" ht="13.5" thickBot="1">
      <c r="A35" s="6" t="s">
        <v>125</v>
      </c>
      <c r="B35" s="9">
        <v>38237</v>
      </c>
      <c r="C35" s="10" t="s">
        <v>20</v>
      </c>
      <c r="D35" s="6" t="s">
        <v>8</v>
      </c>
      <c r="E35" s="6" t="s">
        <v>7</v>
      </c>
      <c r="F35" s="8">
        <v>4045</v>
      </c>
      <c r="G35" s="19">
        <v>3.0538581235673514</v>
      </c>
      <c r="H35" s="20"/>
      <c r="I35" s="19">
        <v>0.39264523523493</v>
      </c>
      <c r="J35" s="19">
        <v>1.754605961639268</v>
      </c>
      <c r="K35" s="19">
        <v>0.02157279849674245</v>
      </c>
      <c r="L35" s="19">
        <v>0.028894496364997864</v>
      </c>
      <c r="M35" s="19">
        <v>0.007521622181610091</v>
      </c>
      <c r="N35" s="19">
        <v>0.0069578372887886455</v>
      </c>
      <c r="O35" s="19">
        <v>0.23046483213869642</v>
      </c>
      <c r="P35" s="19">
        <v>0.0065185723415151844</v>
      </c>
      <c r="Q35" s="19">
        <v>0.4273134917269195</v>
      </c>
      <c r="R35" s="19">
        <v>0.00032630816736952306</v>
      </c>
      <c r="S35" s="19">
        <v>0.008843883231570081</v>
      </c>
    </row>
    <row r="36" spans="1:19" s="8" customFormat="1" ht="12.75">
      <c r="A36" s="6" t="s">
        <v>126</v>
      </c>
      <c r="B36" s="9">
        <v>38244</v>
      </c>
      <c r="C36" s="10" t="s">
        <v>17</v>
      </c>
      <c r="D36" s="25" t="s">
        <v>43</v>
      </c>
      <c r="E36" s="53"/>
      <c r="F36" s="52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.75">
      <c r="A37" s="6" t="s">
        <v>127</v>
      </c>
      <c r="B37" s="9">
        <v>38244</v>
      </c>
      <c r="C37" s="10" t="s">
        <v>17</v>
      </c>
      <c r="D37" s="6" t="s">
        <v>10</v>
      </c>
      <c r="E37" s="6" t="s">
        <v>11</v>
      </c>
      <c r="F37" s="8">
        <v>4037</v>
      </c>
      <c r="G37" s="19">
        <v>0.41516443813661674</v>
      </c>
      <c r="H37" s="19">
        <v>0.023055833865258515</v>
      </c>
      <c r="I37" s="19">
        <v>1.569493715619971</v>
      </c>
      <c r="J37" s="19">
        <v>0.34013120510944556</v>
      </c>
      <c r="K37" s="19">
        <v>0.1486891712925275</v>
      </c>
      <c r="L37" s="19">
        <v>0.11694848164229922</v>
      </c>
      <c r="M37" s="19">
        <v>0.06220402170979254</v>
      </c>
      <c r="N37" s="19">
        <v>0.008187646077914895</v>
      </c>
      <c r="O37" s="19">
        <v>0.1403990881295946</v>
      </c>
      <c r="P37" s="19">
        <v>0.00819382545513038</v>
      </c>
      <c r="Q37" s="19">
        <v>0.0275900149201268</v>
      </c>
      <c r="R37" s="19">
        <v>0.01720879774967466</v>
      </c>
      <c r="S37" s="20"/>
    </row>
    <row r="38" spans="1:19" ht="12.75">
      <c r="A38" s="6" t="s">
        <v>128</v>
      </c>
      <c r="B38" s="9">
        <v>38244</v>
      </c>
      <c r="C38" s="10" t="s">
        <v>17</v>
      </c>
      <c r="D38" s="6" t="s">
        <v>9</v>
      </c>
      <c r="E38" s="6" t="s">
        <v>7</v>
      </c>
      <c r="F38" s="8">
        <v>4035</v>
      </c>
      <c r="G38" s="19">
        <v>0.5260562733334327</v>
      </c>
      <c r="H38" s="20"/>
      <c r="I38" s="19">
        <v>0.013204392502689974</v>
      </c>
      <c r="J38" s="19">
        <v>0.9177080832976997</v>
      </c>
      <c r="K38" s="19">
        <v>0.013402891516976687</v>
      </c>
      <c r="L38" s="20"/>
      <c r="M38" s="20"/>
      <c r="N38" s="19">
        <v>0.005577759453197685</v>
      </c>
      <c r="O38" s="20"/>
      <c r="P38" s="19">
        <v>0.007020399955049567</v>
      </c>
      <c r="Q38" s="19">
        <v>0.03553246722734387</v>
      </c>
      <c r="R38" s="19">
        <v>5.898562956645169E-05</v>
      </c>
      <c r="S38" s="19">
        <v>0.020537211700803294</v>
      </c>
    </row>
    <row r="39" spans="1:19" ht="12.75">
      <c r="A39" s="6" t="s">
        <v>129</v>
      </c>
      <c r="B39" s="9">
        <v>38244</v>
      </c>
      <c r="C39" s="10" t="s">
        <v>17</v>
      </c>
      <c r="D39" s="6" t="s">
        <v>18</v>
      </c>
      <c r="E39" s="6" t="s">
        <v>7</v>
      </c>
      <c r="F39" s="8">
        <v>4029</v>
      </c>
      <c r="G39" s="19">
        <v>14.201228862913206</v>
      </c>
      <c r="H39" s="19">
        <v>0.004137843690392038</v>
      </c>
      <c r="I39" s="19">
        <v>0.1572077634047983</v>
      </c>
      <c r="J39" s="19">
        <v>3.9689717835752574</v>
      </c>
      <c r="K39" s="19">
        <v>0.01862524657356976</v>
      </c>
      <c r="L39" s="19">
        <v>0.012596519520570925</v>
      </c>
      <c r="M39" s="19">
        <v>0.005914363845683271</v>
      </c>
      <c r="N39" s="19">
        <v>0.006468347146339489</v>
      </c>
      <c r="O39" s="20"/>
      <c r="P39" s="19">
        <v>0.007937566418328632</v>
      </c>
      <c r="Q39" s="19">
        <v>1.2297704465775667</v>
      </c>
      <c r="R39" s="19">
        <v>0.0009921687802746109</v>
      </c>
      <c r="S39" s="19">
        <v>0.04870857922216966</v>
      </c>
    </row>
    <row r="40" spans="1:19" ht="12.75">
      <c r="A40" s="6" t="s">
        <v>130</v>
      </c>
      <c r="B40" s="9">
        <v>38244</v>
      </c>
      <c r="C40" s="10" t="s">
        <v>17</v>
      </c>
      <c r="D40" s="6" t="s">
        <v>6</v>
      </c>
      <c r="E40" s="6" t="s">
        <v>7</v>
      </c>
      <c r="F40" s="8">
        <v>4031</v>
      </c>
      <c r="G40" s="19">
        <v>12.396859536486419</v>
      </c>
      <c r="H40" s="19">
        <v>0.003991930283498686</v>
      </c>
      <c r="I40" s="19">
        <v>0.0982509347871456</v>
      </c>
      <c r="J40" s="19">
        <v>2.6419874772067864</v>
      </c>
      <c r="K40" s="19">
        <v>0.0191567490049476</v>
      </c>
      <c r="L40" s="19">
        <v>0.043712154832151406</v>
      </c>
      <c r="M40" s="19">
        <v>0.0019413587555780502</v>
      </c>
      <c r="N40" s="19">
        <v>0.007311223968074735</v>
      </c>
      <c r="O40" s="19">
        <v>0.08557179022868813</v>
      </c>
      <c r="P40" s="19">
        <v>0.008489938464117101</v>
      </c>
      <c r="Q40" s="19">
        <v>1.329746846156795</v>
      </c>
      <c r="R40" s="19">
        <v>0.000269586233769236</v>
      </c>
      <c r="S40" s="19">
        <v>0.03846454653585442</v>
      </c>
    </row>
    <row r="41" spans="1:19" ht="13.5" thickBot="1">
      <c r="A41" s="6" t="s">
        <v>131</v>
      </c>
      <c r="B41" s="9">
        <v>38244</v>
      </c>
      <c r="C41" s="10" t="s">
        <v>17</v>
      </c>
      <c r="D41" s="6" t="s">
        <v>8</v>
      </c>
      <c r="E41" s="6" t="s">
        <v>7</v>
      </c>
      <c r="F41" s="8">
        <v>4033</v>
      </c>
      <c r="G41" s="19">
        <v>3.930420208251757</v>
      </c>
      <c r="H41" s="19">
        <v>0.0030937807776019494</v>
      </c>
      <c r="I41" s="19">
        <v>0.4576849578815665</v>
      </c>
      <c r="J41" s="19">
        <v>0.6854553899769767</v>
      </c>
      <c r="K41" s="19">
        <v>0.021708951938352688</v>
      </c>
      <c r="L41" s="19">
        <v>0.04829731961358856</v>
      </c>
      <c r="M41" s="19">
        <v>0.005076492975083248</v>
      </c>
      <c r="N41" s="19">
        <v>0.008013599123118836</v>
      </c>
      <c r="O41" s="19">
        <v>0.2533590738725292</v>
      </c>
      <c r="P41" s="19">
        <v>0.006771313298211972</v>
      </c>
      <c r="Q41" s="19">
        <v>0.9195209744851878</v>
      </c>
      <c r="R41" s="19">
        <v>0.0007582981941111571</v>
      </c>
      <c r="S41" s="19">
        <v>0.012466752407793843</v>
      </c>
    </row>
    <row r="42" spans="1:19" s="8" customFormat="1" ht="12.75">
      <c r="A42" s="6" t="s">
        <v>132</v>
      </c>
      <c r="B42" s="9">
        <v>38237</v>
      </c>
      <c r="C42" s="10" t="s">
        <v>22</v>
      </c>
      <c r="D42" s="25" t="s">
        <v>43</v>
      </c>
      <c r="E42" s="53"/>
      <c r="F42" s="5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2.75">
      <c r="A43" s="6" t="s">
        <v>133</v>
      </c>
      <c r="B43" s="9">
        <v>38237</v>
      </c>
      <c r="C43" s="10" t="s">
        <v>22</v>
      </c>
      <c r="D43" s="6" t="s">
        <v>10</v>
      </c>
      <c r="E43" s="6" t="s">
        <v>11</v>
      </c>
      <c r="F43" s="8">
        <v>4025</v>
      </c>
      <c r="G43" s="19">
        <v>7.693122893808321</v>
      </c>
      <c r="H43" s="19">
        <v>0.004334384560030569</v>
      </c>
      <c r="I43" s="19">
        <v>0.07938474043266196</v>
      </c>
      <c r="J43" s="19">
        <v>0.3539901605053817</v>
      </c>
      <c r="K43" s="19">
        <v>0.0744793203866445</v>
      </c>
      <c r="L43" s="19">
        <v>0.008566491850933576</v>
      </c>
      <c r="M43" s="19">
        <v>0.1826180192167689</v>
      </c>
      <c r="N43" s="19">
        <v>0.013405650530767825</v>
      </c>
      <c r="O43" s="19">
        <v>0.26390146156306354</v>
      </c>
      <c r="P43" s="19">
        <v>0.008745287443288965</v>
      </c>
      <c r="Q43" s="19">
        <v>0.12105855585694432</v>
      </c>
      <c r="R43" s="19">
        <v>0.00045240883926878767</v>
      </c>
      <c r="S43" s="20"/>
    </row>
    <row r="44" spans="1:19" ht="12.75">
      <c r="A44" s="6" t="s">
        <v>134</v>
      </c>
      <c r="B44" s="9">
        <v>38237</v>
      </c>
      <c r="C44" s="10" t="s">
        <v>22</v>
      </c>
      <c r="D44" s="6" t="s">
        <v>18</v>
      </c>
      <c r="E44" s="6" t="s">
        <v>7</v>
      </c>
      <c r="F44" s="8">
        <v>4019</v>
      </c>
      <c r="G44" s="19">
        <v>10.405075994452057</v>
      </c>
      <c r="H44" s="20"/>
      <c r="I44" s="19">
        <v>0.0484528949649703</v>
      </c>
      <c r="J44" s="19">
        <v>3.803938703495572</v>
      </c>
      <c r="K44" s="19">
        <v>0.024545495679953802</v>
      </c>
      <c r="L44" s="19">
        <v>0.004630205827516112</v>
      </c>
      <c r="M44" s="19">
        <v>0.04057696327772624</v>
      </c>
      <c r="N44" s="19">
        <v>0.00918320398189797</v>
      </c>
      <c r="O44" s="19">
        <v>0.012702258459309609</v>
      </c>
      <c r="P44" s="19">
        <v>0.009445745853930014</v>
      </c>
      <c r="Q44" s="19">
        <v>0.6427254264886146</v>
      </c>
      <c r="R44" s="20"/>
      <c r="S44" s="19">
        <v>0.028373592813579165</v>
      </c>
    </row>
    <row r="45" spans="1:19" ht="12.75">
      <c r="A45" s="6" t="s">
        <v>135</v>
      </c>
      <c r="B45" s="9">
        <v>38237</v>
      </c>
      <c r="C45" s="10" t="s">
        <v>22</v>
      </c>
      <c r="D45" s="6" t="s">
        <v>6</v>
      </c>
      <c r="E45" s="6" t="s">
        <v>7</v>
      </c>
      <c r="F45" s="8">
        <v>4021</v>
      </c>
      <c r="G45" s="19">
        <v>4.407477505703714</v>
      </c>
      <c r="H45" s="20"/>
      <c r="I45" s="19">
        <v>0.45121015381292084</v>
      </c>
      <c r="J45" s="19">
        <v>1.2284406695376962</v>
      </c>
      <c r="K45" s="19">
        <v>0.03060110728396986</v>
      </c>
      <c r="L45" s="19">
        <v>0.0232478688238632</v>
      </c>
      <c r="M45" s="19">
        <v>0.09917091890272056</v>
      </c>
      <c r="N45" s="19">
        <v>0.00860830646836541</v>
      </c>
      <c r="O45" s="19">
        <v>0.28813449955232934</v>
      </c>
      <c r="P45" s="19">
        <v>0.008726140322253974</v>
      </c>
      <c r="Q45" s="19">
        <v>0.9503380898606836</v>
      </c>
      <c r="R45" s="19">
        <v>0.00023575041873072673</v>
      </c>
      <c r="S45" s="19">
        <v>0.03822753625225602</v>
      </c>
    </row>
    <row r="46" spans="1:19" ht="12.75">
      <c r="A46" s="6" t="s">
        <v>136</v>
      </c>
      <c r="B46" s="9">
        <v>38237</v>
      </c>
      <c r="C46" s="10" t="s">
        <v>22</v>
      </c>
      <c r="D46" s="6" t="s">
        <v>8</v>
      </c>
      <c r="E46" s="6" t="s">
        <v>7</v>
      </c>
      <c r="F46" s="8">
        <v>4023</v>
      </c>
      <c r="G46" s="19">
        <v>4.316450303940319</v>
      </c>
      <c r="H46" s="20"/>
      <c r="I46" s="19">
        <v>0.3774286762828476</v>
      </c>
      <c r="J46" s="19">
        <v>1.1776957441199327</v>
      </c>
      <c r="K46" s="19">
        <v>0.03183739273525635</v>
      </c>
      <c r="L46" s="19">
        <v>0.024406639067036176</v>
      </c>
      <c r="M46" s="19">
        <v>0.11848953096546633</v>
      </c>
      <c r="N46" s="19">
        <v>0.009757894731623652</v>
      </c>
      <c r="O46" s="19">
        <v>0.24026430581754932</v>
      </c>
      <c r="P46" s="19">
        <v>0.00810680315792142</v>
      </c>
      <c r="Q46" s="19">
        <v>0.996100048529704</v>
      </c>
      <c r="R46" s="19">
        <v>0.000438431248269742</v>
      </c>
      <c r="S46" s="19">
        <v>0.03198566400654517</v>
      </c>
    </row>
    <row r="47" spans="7:19" ht="12.75"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7:19" ht="12.75"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3:19" s="8" customFormat="1" ht="12.75">
      <c r="C49" s="11"/>
      <c r="G49" s="18" t="s">
        <v>37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6:19" ht="12.75">
      <c r="F50" s="8" t="s">
        <v>1</v>
      </c>
      <c r="G50" s="19">
        <v>0.005799806659354165</v>
      </c>
      <c r="H50" s="19">
        <v>0.003479883995612499</v>
      </c>
      <c r="I50" s="19">
        <v>0.0028999033296770826</v>
      </c>
      <c r="J50" s="19">
        <v>0.02899903329677083</v>
      </c>
      <c r="K50" s="19">
        <v>0.005799806659354165</v>
      </c>
      <c r="L50" s="19">
        <v>0.0005799806659354165</v>
      </c>
      <c r="M50" s="19">
        <v>0.0005799806659354165</v>
      </c>
      <c r="N50" s="19">
        <v>0.0028999033296770826</v>
      </c>
      <c r="O50" s="19">
        <v>0.005799806659354165</v>
      </c>
      <c r="P50" s="19">
        <v>0.005799806659354165</v>
      </c>
      <c r="Q50" s="19">
        <v>0.003479883995612499</v>
      </c>
      <c r="R50" s="19">
        <v>5.799806659354165E-05</v>
      </c>
      <c r="S50" s="19">
        <v>0.0028999033296770826</v>
      </c>
    </row>
    <row r="53" spans="7:43" ht="12.75">
      <c r="G53" s="19">
        <v>0.005799806659354165</v>
      </c>
      <c r="H53" s="19"/>
      <c r="I53" s="19"/>
      <c r="J53" s="19">
        <v>0.003479883995612499</v>
      </c>
      <c r="K53" s="19"/>
      <c r="L53" s="19"/>
      <c r="M53" s="19">
        <v>0.0028999033296770826</v>
      </c>
      <c r="N53" s="19"/>
      <c r="O53" s="19"/>
      <c r="P53" s="19">
        <v>0.02899903329677083</v>
      </c>
      <c r="Q53" s="19"/>
      <c r="R53" s="19"/>
      <c r="S53" s="19">
        <v>0.005799806659354165</v>
      </c>
      <c r="T53" s="19"/>
      <c r="U53" s="19"/>
      <c r="V53" s="19">
        <v>0.0005799806659354165</v>
      </c>
      <c r="W53" s="19"/>
      <c r="X53" s="19"/>
      <c r="Y53" s="19">
        <v>0.0005799806659354165</v>
      </c>
      <c r="Z53" s="19"/>
      <c r="AA53" s="19"/>
      <c r="AB53" s="19">
        <v>0.0028999033296770826</v>
      </c>
      <c r="AC53" s="19"/>
      <c r="AD53" s="19"/>
      <c r="AE53" s="19">
        <v>0.005799806659354165</v>
      </c>
      <c r="AF53" s="19"/>
      <c r="AG53" s="19"/>
      <c r="AH53" s="19">
        <v>0.005799806659354165</v>
      </c>
      <c r="AI53" s="19"/>
      <c r="AJ53" s="19"/>
      <c r="AK53" s="19">
        <v>0.003479883995612499</v>
      </c>
      <c r="AL53" s="19"/>
      <c r="AM53" s="19"/>
      <c r="AN53" s="190">
        <v>5.799806659354165E-05</v>
      </c>
      <c r="AO53" s="19"/>
      <c r="AP53" s="19"/>
      <c r="AQ53" s="19">
        <v>0.0028999033296770826</v>
      </c>
    </row>
  </sheetData>
  <printOptions/>
  <pageMargins left="0.5" right="0.5" top="0.5" bottom="0.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R53"/>
  <sheetViews>
    <sheetView workbookViewId="0" topLeftCell="A1">
      <pane xSplit="6" ySplit="1" topLeftCell="AM23" activePane="bottomRight" state="frozen"/>
      <selection pane="topLeft" activeCell="A1" sqref="A1"/>
      <selection pane="topRight" activeCell="G1" sqref="G1"/>
      <selection pane="bottomLeft" activeCell="A1" sqref="A1"/>
      <selection pane="bottomRight" activeCell="H53" sqref="H53:AR53"/>
    </sheetView>
  </sheetViews>
  <sheetFormatPr defaultColWidth="9.6640625" defaultRowHeight="15"/>
  <cols>
    <col min="1" max="1" width="11.5546875" style="8" customWidth="1"/>
    <col min="2" max="2" width="9.6640625" style="8" customWidth="1"/>
    <col min="3" max="3" width="5.4453125" style="11" customWidth="1"/>
    <col min="4" max="4" width="5.4453125" style="8" customWidth="1"/>
    <col min="5" max="5" width="6.3359375" style="8" customWidth="1"/>
    <col min="6" max="6" width="5.77734375" style="8" customWidth="1"/>
    <col min="7" max="19" width="6.6640625" style="5" customWidth="1"/>
    <col min="20" max="16384" width="9.6640625" style="5" customWidth="1"/>
  </cols>
  <sheetData>
    <row r="1" spans="1:19" s="1" customFormat="1" ht="13.5" thickBot="1">
      <c r="A1" s="6" t="s">
        <v>0</v>
      </c>
      <c r="B1" s="6" t="s">
        <v>2</v>
      </c>
      <c r="C1" s="7" t="s">
        <v>3</v>
      </c>
      <c r="D1" s="6" t="s">
        <v>4</v>
      </c>
      <c r="E1" s="6" t="s">
        <v>23</v>
      </c>
      <c r="F1" s="8" t="s">
        <v>0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</row>
    <row r="2" spans="1:19" s="8" customFormat="1" ht="12.75">
      <c r="A2" s="6" t="s">
        <v>92</v>
      </c>
      <c r="B2" s="40">
        <v>38246</v>
      </c>
      <c r="C2" s="54">
        <v>101</v>
      </c>
      <c r="D2" s="25" t="s">
        <v>43</v>
      </c>
      <c r="E2" s="53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36" ht="12.75">
      <c r="A3" s="6" t="s">
        <v>93</v>
      </c>
      <c r="B3" s="9">
        <v>38246</v>
      </c>
      <c r="C3" s="10">
        <v>101</v>
      </c>
      <c r="D3" s="6" t="s">
        <v>10</v>
      </c>
      <c r="E3" s="6" t="s">
        <v>11</v>
      </c>
      <c r="F3" s="8">
        <v>4085</v>
      </c>
      <c r="G3" s="19">
        <v>3.903571002351955</v>
      </c>
      <c r="H3" s="19">
        <v>0.01059388371018225</v>
      </c>
      <c r="I3" s="19">
        <v>0.047150140831978535</v>
      </c>
      <c r="J3" s="19">
        <v>11.813125160789939</v>
      </c>
      <c r="K3" s="19">
        <v>0.6559772093620478</v>
      </c>
      <c r="L3" s="19">
        <v>1.0521958554640045</v>
      </c>
      <c r="M3" s="19">
        <v>0.058403872941228674</v>
      </c>
      <c r="N3" s="19">
        <v>0.020468188658140905</v>
      </c>
      <c r="O3" s="19">
        <v>0.25709281246626325</v>
      </c>
      <c r="P3" s="19">
        <v>0.017545356625353226</v>
      </c>
      <c r="Q3" s="19">
        <v>0.053813414065372434</v>
      </c>
      <c r="R3" s="56">
        <v>0.0003030721026349713</v>
      </c>
      <c r="S3" s="19">
        <v>0.4226259373227615</v>
      </c>
      <c r="T3" s="3"/>
      <c r="U3" s="3"/>
      <c r="V3" s="3"/>
      <c r="W3" s="3"/>
      <c r="X3" s="4"/>
      <c r="Y3" s="3"/>
      <c r="Z3" s="3"/>
      <c r="AA3" s="3"/>
      <c r="AB3" s="3"/>
      <c r="AC3" s="3"/>
      <c r="AD3" s="3"/>
      <c r="AE3" s="3"/>
      <c r="AF3" s="3"/>
      <c r="AG3" s="3"/>
      <c r="AH3" s="4"/>
      <c r="AI3" s="3"/>
      <c r="AJ3" s="4"/>
    </row>
    <row r="4" spans="1:36" ht="12.75">
      <c r="A4" s="6" t="s">
        <v>94</v>
      </c>
      <c r="B4" s="9">
        <v>38246</v>
      </c>
      <c r="C4" s="10">
        <v>101</v>
      </c>
      <c r="D4" s="6" t="s">
        <v>6</v>
      </c>
      <c r="E4" s="6" t="s">
        <v>7</v>
      </c>
      <c r="F4" s="8">
        <v>4091</v>
      </c>
      <c r="G4" s="19">
        <v>14.37847342746261</v>
      </c>
      <c r="H4" s="19">
        <v>0.03198664900064188</v>
      </c>
      <c r="I4" s="19">
        <v>0.14230301452515676</v>
      </c>
      <c r="J4" s="19">
        <v>22.421975763150666</v>
      </c>
      <c r="K4" s="19">
        <v>1.806815866257651</v>
      </c>
      <c r="L4" s="19">
        <v>4.055426335592168</v>
      </c>
      <c r="M4" s="19">
        <v>0.13661680093112483</v>
      </c>
      <c r="N4" s="19">
        <v>0.039730420251504854</v>
      </c>
      <c r="O4" s="19">
        <v>0.11003040630215451</v>
      </c>
      <c r="P4" s="19">
        <v>0.030871182959717792</v>
      </c>
      <c r="Q4" s="19">
        <v>0.24072024822121074</v>
      </c>
      <c r="R4" s="56">
        <v>0.0007534781227543606</v>
      </c>
      <c r="S4" s="19">
        <v>0.7816063754391713</v>
      </c>
      <c r="T4" s="50"/>
      <c r="U4" s="3"/>
      <c r="V4" s="3"/>
      <c r="W4" s="3"/>
      <c r="X4" s="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</row>
    <row r="5" spans="1:36" ht="13.5" thickBot="1">
      <c r="A5" s="6" t="s">
        <v>95</v>
      </c>
      <c r="B5" s="9">
        <v>38246</v>
      </c>
      <c r="C5" s="10">
        <v>101</v>
      </c>
      <c r="D5" s="6" t="s">
        <v>8</v>
      </c>
      <c r="E5" s="6" t="s">
        <v>7</v>
      </c>
      <c r="F5" s="8">
        <v>4089</v>
      </c>
      <c r="G5" s="19">
        <v>7.398808932479247</v>
      </c>
      <c r="H5" s="19">
        <v>0.03678464944964346</v>
      </c>
      <c r="I5" s="19">
        <v>0.059602251965297746</v>
      </c>
      <c r="J5" s="19">
        <v>15.022478113584864</v>
      </c>
      <c r="K5" s="19">
        <v>3.813602344898094</v>
      </c>
      <c r="L5" s="19">
        <v>3.678416822237403</v>
      </c>
      <c r="M5" s="19">
        <v>0.09425048290435484</v>
      </c>
      <c r="N5" s="19">
        <v>0.09619295701876672</v>
      </c>
      <c r="O5" s="19">
        <v>-0.00657</v>
      </c>
      <c r="P5" s="19">
        <v>0.038018885587927945</v>
      </c>
      <c r="Q5" s="19">
        <v>0.08348537513284505</v>
      </c>
      <c r="R5" s="56">
        <v>0.00034908711297882274</v>
      </c>
      <c r="S5" s="19">
        <v>0.5237729999061463</v>
      </c>
      <c r="T5" s="3"/>
      <c r="U5" s="3"/>
      <c r="V5" s="3"/>
      <c r="W5" s="3"/>
      <c r="X5" s="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"/>
    </row>
    <row r="6" spans="1:19" s="8" customFormat="1" ht="12.75">
      <c r="A6" s="6" t="s">
        <v>96</v>
      </c>
      <c r="B6" s="9">
        <v>38245</v>
      </c>
      <c r="C6" s="10" t="s">
        <v>19</v>
      </c>
      <c r="D6" s="25" t="s">
        <v>43</v>
      </c>
      <c r="E6" s="53"/>
      <c r="F6" s="52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87"/>
      <c r="S6" s="51"/>
    </row>
    <row r="7" spans="1:36" ht="12.75">
      <c r="A7" s="6" t="s">
        <v>97</v>
      </c>
      <c r="B7" s="9">
        <v>38245</v>
      </c>
      <c r="C7" s="10" t="s">
        <v>19</v>
      </c>
      <c r="D7" s="6" t="s">
        <v>10</v>
      </c>
      <c r="E7" s="6" t="s">
        <v>11</v>
      </c>
      <c r="F7" s="8">
        <v>4009</v>
      </c>
      <c r="G7" s="19">
        <v>0.3811885492910074</v>
      </c>
      <c r="H7" s="19">
        <v>0.004849216566476435</v>
      </c>
      <c r="I7" s="19">
        <v>0.17708407880264987</v>
      </c>
      <c r="J7" s="19">
        <v>0.7118518932248279</v>
      </c>
      <c r="K7" s="19">
        <v>0.0637911800327663</v>
      </c>
      <c r="L7" s="19">
        <v>0.02781175884761286</v>
      </c>
      <c r="M7" s="19">
        <v>0.030496386881205012</v>
      </c>
      <c r="N7" s="19">
        <v>0.010756897180054912</v>
      </c>
      <c r="O7" s="19">
        <v>0.26741463543623833</v>
      </c>
      <c r="P7" s="19">
        <v>0.009072004620930925</v>
      </c>
      <c r="Q7" s="19">
        <v>0.07189117594840073</v>
      </c>
      <c r="R7" s="56">
        <v>0.0007997792697824116</v>
      </c>
      <c r="S7" s="19">
        <v>0.021256824460845546</v>
      </c>
      <c r="T7" s="3"/>
      <c r="U7" s="3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/>
    </row>
    <row r="8" spans="1:36" ht="12.75">
      <c r="A8" s="6" t="s">
        <v>98</v>
      </c>
      <c r="B8" s="9">
        <v>38245</v>
      </c>
      <c r="C8" s="10" t="s">
        <v>19</v>
      </c>
      <c r="D8" s="6" t="s">
        <v>9</v>
      </c>
      <c r="E8" s="6" t="s">
        <v>7</v>
      </c>
      <c r="F8" s="8">
        <v>4007</v>
      </c>
      <c r="G8" s="19">
        <v>0.4742466758604646</v>
      </c>
      <c r="H8" s="20"/>
      <c r="I8" s="19">
        <v>0.014420548610950367</v>
      </c>
      <c r="J8" s="19">
        <v>1.5734821626072508</v>
      </c>
      <c r="K8" s="19">
        <v>0.05749773452428261</v>
      </c>
      <c r="L8" s="19">
        <v>0.016229395793813144</v>
      </c>
      <c r="M8" s="19">
        <v>0.0053678955643795484</v>
      </c>
      <c r="N8" s="19">
        <v>0.019052272802547357</v>
      </c>
      <c r="O8" s="19">
        <v>0.02807685032859166</v>
      </c>
      <c r="P8" s="19">
        <v>0.01010088682379541</v>
      </c>
      <c r="Q8" s="19">
        <v>0.03257429731956998</v>
      </c>
      <c r="R8" s="56">
        <v>9.082121521900255E-05</v>
      </c>
      <c r="S8" s="19">
        <v>0.014655008312878456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4"/>
    </row>
    <row r="9" spans="1:36" ht="12.75">
      <c r="A9" s="6" t="s">
        <v>99</v>
      </c>
      <c r="B9" s="9">
        <v>38245</v>
      </c>
      <c r="C9" s="10" t="s">
        <v>19</v>
      </c>
      <c r="D9" s="6" t="s">
        <v>18</v>
      </c>
      <c r="E9" s="6" t="s">
        <v>7</v>
      </c>
      <c r="F9" s="8">
        <v>4001</v>
      </c>
      <c r="G9" s="19">
        <v>2.370046289491416</v>
      </c>
      <c r="H9" s="20"/>
      <c r="I9" s="19">
        <v>0.011173470230025868</v>
      </c>
      <c r="J9" s="19">
        <v>9.81864835410179</v>
      </c>
      <c r="K9" s="19">
        <v>0.06659150888621017</v>
      </c>
      <c r="L9" s="19">
        <v>0.0589295633913462</v>
      </c>
      <c r="M9" s="19">
        <v>0.02015108766453464</v>
      </c>
      <c r="N9" s="19">
        <v>0.010097076188905907</v>
      </c>
      <c r="O9" s="19">
        <v>0.07031382954916895</v>
      </c>
      <c r="P9" s="19">
        <v>0.012183668859598384</v>
      </c>
      <c r="Q9" s="19">
        <v>0.061956601254069446</v>
      </c>
      <c r="R9" s="188"/>
      <c r="S9" s="19">
        <v>0.11487304557286446</v>
      </c>
      <c r="T9" s="3"/>
      <c r="U9" s="3"/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/>
    </row>
    <row r="10" spans="1:36" ht="12.75">
      <c r="A10" s="6" t="s">
        <v>100</v>
      </c>
      <c r="B10" s="9">
        <v>38245</v>
      </c>
      <c r="C10" s="10" t="s">
        <v>19</v>
      </c>
      <c r="D10" s="6" t="s">
        <v>6</v>
      </c>
      <c r="E10" s="6" t="s">
        <v>7</v>
      </c>
      <c r="F10" s="8">
        <v>4003</v>
      </c>
      <c r="G10" s="19">
        <v>4.026563137494586</v>
      </c>
      <c r="H10" s="20"/>
      <c r="I10" s="19">
        <v>0.031688133280830894</v>
      </c>
      <c r="J10" s="19">
        <v>8.368243939070203</v>
      </c>
      <c r="K10" s="19">
        <v>0.15452279099492788</v>
      </c>
      <c r="L10" s="19">
        <v>0.23435574264252085</v>
      </c>
      <c r="M10" s="19">
        <v>0.0359743896750057</v>
      </c>
      <c r="N10" s="19">
        <v>0.013650139106441285</v>
      </c>
      <c r="O10" s="19">
        <v>0.05968579248491726</v>
      </c>
      <c r="P10" s="19">
        <v>0.013577800761118345</v>
      </c>
      <c r="Q10" s="19">
        <v>0.0812659714065188</v>
      </c>
      <c r="R10" s="188"/>
      <c r="S10" s="19">
        <v>0.10469320675204767</v>
      </c>
      <c r="T10" s="3"/>
      <c r="U10" s="3"/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"/>
    </row>
    <row r="11" spans="1:36" ht="13.5" thickBot="1">
      <c r="A11" s="6" t="s">
        <v>101</v>
      </c>
      <c r="B11" s="9">
        <v>38245</v>
      </c>
      <c r="C11" s="10" t="s">
        <v>19</v>
      </c>
      <c r="D11" s="6" t="s">
        <v>8</v>
      </c>
      <c r="E11" s="6" t="s">
        <v>7</v>
      </c>
      <c r="F11" s="8">
        <v>4005</v>
      </c>
      <c r="G11" s="19">
        <v>1.9482368592856991</v>
      </c>
      <c r="H11" s="20"/>
      <c r="I11" s="19">
        <v>0.0348574320267199</v>
      </c>
      <c r="J11" s="19">
        <v>4.601131045600877</v>
      </c>
      <c r="K11" s="19">
        <v>0.16781784319291002</v>
      </c>
      <c r="L11" s="19">
        <v>0.3445313458342511</v>
      </c>
      <c r="M11" s="19">
        <v>0.040111903154127763</v>
      </c>
      <c r="N11" s="19">
        <v>0.018047010196305342</v>
      </c>
      <c r="O11" s="19">
        <v>0.030586311485229337</v>
      </c>
      <c r="P11" s="19">
        <v>0.012839690275239317</v>
      </c>
      <c r="Q11" s="19">
        <v>0.0614936433475772</v>
      </c>
      <c r="R11" s="56">
        <v>0.0002834186763531797</v>
      </c>
      <c r="S11" s="19">
        <v>0.14879092046591913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"/>
    </row>
    <row r="12" spans="1:19" s="8" customFormat="1" ht="12.75">
      <c r="A12" s="6" t="s">
        <v>102</v>
      </c>
      <c r="B12" s="9">
        <v>38161</v>
      </c>
      <c r="C12" s="10" t="s">
        <v>5</v>
      </c>
      <c r="D12" s="25" t="s">
        <v>43</v>
      </c>
      <c r="E12" s="53"/>
      <c r="F12" s="52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87"/>
      <c r="S12" s="51"/>
    </row>
    <row r="13" spans="1:36" ht="12.75">
      <c r="A13" s="6" t="s">
        <v>103</v>
      </c>
      <c r="B13" s="9">
        <v>38161</v>
      </c>
      <c r="C13" s="10" t="s">
        <v>5</v>
      </c>
      <c r="D13" s="6" t="s">
        <v>10</v>
      </c>
      <c r="E13" s="6" t="s">
        <v>11</v>
      </c>
      <c r="F13" s="8">
        <v>4059</v>
      </c>
      <c r="G13" s="19">
        <v>0.33168855346978826</v>
      </c>
      <c r="H13" s="20"/>
      <c r="I13" s="19">
        <v>0.1120642469112687</v>
      </c>
      <c r="J13" s="19">
        <v>0.6367217098118564</v>
      </c>
      <c r="K13" s="19">
        <v>0.04064763865242866</v>
      </c>
      <c r="L13" s="19">
        <v>0.008599348166493428</v>
      </c>
      <c r="M13" s="19">
        <v>0.0017996266425137912</v>
      </c>
      <c r="N13" s="19">
        <v>0.0110748242687321</v>
      </c>
      <c r="O13" s="19">
        <v>0.22020676310517534</v>
      </c>
      <c r="P13" s="19">
        <v>0.009608747048272196</v>
      </c>
      <c r="Q13" s="19">
        <v>0.17810975409139929</v>
      </c>
      <c r="R13" s="56">
        <v>0.0008022464151479197</v>
      </c>
      <c r="S13" s="19">
        <v>0.017702233952560733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4"/>
    </row>
    <row r="14" spans="1:36" ht="12.75">
      <c r="A14" s="6" t="s">
        <v>104</v>
      </c>
      <c r="B14" s="9">
        <v>38161</v>
      </c>
      <c r="C14" s="10" t="s">
        <v>5</v>
      </c>
      <c r="D14" s="6" t="s">
        <v>9</v>
      </c>
      <c r="E14" s="6" t="s">
        <v>7</v>
      </c>
      <c r="F14" s="8">
        <v>4057</v>
      </c>
      <c r="G14" s="19">
        <v>0.27804430925911305</v>
      </c>
      <c r="H14" s="20"/>
      <c r="I14" s="19">
        <v>0.004459726218443837</v>
      </c>
      <c r="J14" s="19">
        <v>1.2956328934545385</v>
      </c>
      <c r="K14" s="19">
        <v>0.04920524677990598</v>
      </c>
      <c r="L14" s="19">
        <v>0.0011723145696724993</v>
      </c>
      <c r="M14" s="19">
        <v>0.006233529885747341</v>
      </c>
      <c r="N14" s="19">
        <v>0.015069008649936542</v>
      </c>
      <c r="O14" s="19">
        <v>0.0305916021770619</v>
      </c>
      <c r="P14" s="19">
        <v>0.010858866246886045</v>
      </c>
      <c r="Q14" s="19">
        <v>0.03165182134479374</v>
      </c>
      <c r="R14" s="188"/>
      <c r="S14" s="19">
        <v>0.011012415683050518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4"/>
    </row>
    <row r="15" spans="1:36" ht="12.75">
      <c r="A15" s="6" t="s">
        <v>105</v>
      </c>
      <c r="B15" s="9">
        <v>38161</v>
      </c>
      <c r="C15" s="10" t="s">
        <v>5</v>
      </c>
      <c r="D15" s="6" t="s">
        <v>6</v>
      </c>
      <c r="E15" s="6" t="s">
        <v>7</v>
      </c>
      <c r="F15" s="8">
        <v>4053</v>
      </c>
      <c r="G15" s="19">
        <v>3.4007911201952337</v>
      </c>
      <c r="H15" s="20"/>
      <c r="I15" s="19">
        <v>0.017476427974152154</v>
      </c>
      <c r="J15" s="19">
        <v>1.2608381830119377</v>
      </c>
      <c r="K15" s="19">
        <v>0.15566772661148415</v>
      </c>
      <c r="L15" s="19">
        <v>0.15373046006464128</v>
      </c>
      <c r="M15" s="19">
        <v>0.036748814403540275</v>
      </c>
      <c r="N15" s="19">
        <v>0.011671556423727903</v>
      </c>
      <c r="O15" s="19">
        <v>0.07454145432940489</v>
      </c>
      <c r="P15" s="19">
        <v>0.013661265873750359</v>
      </c>
      <c r="Q15" s="19">
        <v>0.08944812983888799</v>
      </c>
      <c r="R15" s="188"/>
      <c r="S15" s="19">
        <v>0.09348109579582296</v>
      </c>
      <c r="T15" s="3"/>
      <c r="U15" s="3"/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</row>
    <row r="16" spans="1:36" ht="13.5" thickBot="1">
      <c r="A16" s="6" t="s">
        <v>106</v>
      </c>
      <c r="B16" s="9">
        <v>38161</v>
      </c>
      <c r="C16" s="10" t="s">
        <v>5</v>
      </c>
      <c r="D16" s="6" t="s">
        <v>8</v>
      </c>
      <c r="E16" s="6" t="s">
        <v>7</v>
      </c>
      <c r="F16" s="8">
        <v>4055</v>
      </c>
      <c r="G16" s="19">
        <v>1.8337695919209207</v>
      </c>
      <c r="H16" s="20"/>
      <c r="I16" s="19">
        <v>0.029332282808891694</v>
      </c>
      <c r="J16" s="19">
        <v>5.511589553265048</v>
      </c>
      <c r="K16" s="19">
        <v>0.28642018939355607</v>
      </c>
      <c r="L16" s="19">
        <v>0.33051465449691797</v>
      </c>
      <c r="M16" s="19">
        <v>0.11941131611985856</v>
      </c>
      <c r="N16" s="19">
        <v>0.016799996567041845</v>
      </c>
      <c r="O16" s="19">
        <v>0.020158778826864766</v>
      </c>
      <c r="P16" s="19">
        <v>0.015840610598329176</v>
      </c>
      <c r="Q16" s="19">
        <v>0.029412158406831687</v>
      </c>
      <c r="R16" s="56">
        <v>0.00018630910858960035</v>
      </c>
      <c r="S16" s="19">
        <v>0.09549054069172741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4"/>
    </row>
    <row r="17" spans="1:19" s="8" customFormat="1" ht="12.75">
      <c r="A17" s="6" t="s">
        <v>107</v>
      </c>
      <c r="B17" s="9">
        <v>38236</v>
      </c>
      <c r="C17" s="10" t="s">
        <v>21</v>
      </c>
      <c r="D17" s="25" t="s">
        <v>43</v>
      </c>
      <c r="E17" s="53"/>
      <c r="F17" s="52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87"/>
      <c r="S17" s="51"/>
    </row>
    <row r="18" spans="1:36" ht="12.75">
      <c r="A18" s="6" t="s">
        <v>108</v>
      </c>
      <c r="B18" s="9">
        <v>38236</v>
      </c>
      <c r="C18" s="10" t="s">
        <v>21</v>
      </c>
      <c r="D18" s="6" t="s">
        <v>10</v>
      </c>
      <c r="E18" s="6" t="s">
        <v>11</v>
      </c>
      <c r="F18" s="8">
        <v>4071</v>
      </c>
      <c r="G18" s="19">
        <v>0.3115328142371625</v>
      </c>
      <c r="H18" s="20"/>
      <c r="I18" s="19">
        <v>0.09896667772736413</v>
      </c>
      <c r="J18" s="19">
        <v>0.5238176375081028</v>
      </c>
      <c r="K18" s="19">
        <v>0.05715372015337201</v>
      </c>
      <c r="L18" s="19">
        <v>0.023808090639310688</v>
      </c>
      <c r="M18" s="19">
        <v>0.010910254036037324</v>
      </c>
      <c r="N18" s="19">
        <v>0.013749779398053854</v>
      </c>
      <c r="O18" s="19">
        <v>0.26278635583997106</v>
      </c>
      <c r="P18" s="19">
        <v>0.009207165788685792</v>
      </c>
      <c r="Q18" s="19">
        <v>0.23902701082495864</v>
      </c>
      <c r="R18" s="56">
        <v>0.0005084554452201616</v>
      </c>
      <c r="S18" s="19">
        <v>0.01721063884968269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</row>
    <row r="19" spans="1:36" ht="12.75">
      <c r="A19" s="6" t="s">
        <v>109</v>
      </c>
      <c r="B19" s="9">
        <v>38236</v>
      </c>
      <c r="C19" s="10" t="s">
        <v>21</v>
      </c>
      <c r="D19" s="6" t="s">
        <v>9</v>
      </c>
      <c r="E19" s="6" t="s">
        <v>7</v>
      </c>
      <c r="F19" s="8">
        <v>4069</v>
      </c>
      <c r="G19" s="19">
        <v>0.4404065051871224</v>
      </c>
      <c r="H19" s="20"/>
      <c r="I19" s="19">
        <v>0.004848877654200921</v>
      </c>
      <c r="J19" s="19">
        <v>1.4234415942234049</v>
      </c>
      <c r="K19" s="19">
        <v>0.04741166092542773</v>
      </c>
      <c r="L19" s="19">
        <v>0.00605181013307643</v>
      </c>
      <c r="M19" s="19">
        <v>0.0035846919779194773</v>
      </c>
      <c r="N19" s="19">
        <v>0.016068820563338776</v>
      </c>
      <c r="O19" s="19">
        <v>0.03527160668561604</v>
      </c>
      <c r="P19" s="19">
        <v>0.009339307741439186</v>
      </c>
      <c r="Q19" s="19">
        <v>0.03184715349155073</v>
      </c>
      <c r="R19" s="188"/>
      <c r="S19" s="19">
        <v>0.011018865330130606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/>
    </row>
    <row r="20" spans="1:36" ht="12.75">
      <c r="A20" s="6" t="s">
        <v>110</v>
      </c>
      <c r="B20" s="9">
        <v>38236</v>
      </c>
      <c r="C20" s="10" t="s">
        <v>21</v>
      </c>
      <c r="D20" s="6" t="s">
        <v>15</v>
      </c>
      <c r="E20" s="6" t="s">
        <v>7</v>
      </c>
      <c r="F20" s="8">
        <v>4063</v>
      </c>
      <c r="G20" s="19">
        <v>3.9795741976065577</v>
      </c>
      <c r="H20" s="19">
        <v>0.004348290279484217</v>
      </c>
      <c r="I20" s="19">
        <v>0.02301096671106087</v>
      </c>
      <c r="J20" s="19">
        <v>8.342427556692915</v>
      </c>
      <c r="K20" s="19">
        <v>0.21971295520214493</v>
      </c>
      <c r="L20" s="19">
        <v>0.4007938389395593</v>
      </c>
      <c r="M20" s="19">
        <v>0.05140986092175631</v>
      </c>
      <c r="N20" s="19">
        <v>0.01557085160194411</v>
      </c>
      <c r="O20" s="19">
        <v>0.05731002578851199</v>
      </c>
      <c r="P20" s="19">
        <v>0.018721081629192022</v>
      </c>
      <c r="Q20" s="19">
        <v>0.0672418093676209</v>
      </c>
      <c r="R20" s="56">
        <v>0.00014564781029394695</v>
      </c>
      <c r="S20" s="19">
        <v>0.1371250354872633</v>
      </c>
      <c r="T20" s="3"/>
      <c r="U20" s="3"/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</row>
    <row r="21" spans="1:36" ht="12.75">
      <c r="A21" s="6" t="s">
        <v>111</v>
      </c>
      <c r="B21" s="9">
        <v>38236</v>
      </c>
      <c r="C21" s="10" t="s">
        <v>21</v>
      </c>
      <c r="D21" s="6" t="s">
        <v>16</v>
      </c>
      <c r="E21" s="6" t="s">
        <v>7</v>
      </c>
      <c r="F21" s="8">
        <v>4065</v>
      </c>
      <c r="G21" s="19">
        <v>2.9468896590189613</v>
      </c>
      <c r="H21" s="19">
        <v>0.004947435025563304</v>
      </c>
      <c r="I21" s="19">
        <v>0.031411893654187804</v>
      </c>
      <c r="J21" s="19">
        <v>5.203879765648563</v>
      </c>
      <c r="K21" s="19">
        <v>0.32365282724872096</v>
      </c>
      <c r="L21" s="19">
        <v>0.530385545142489</v>
      </c>
      <c r="M21" s="19">
        <v>0.05813177592399912</v>
      </c>
      <c r="N21" s="19">
        <v>0.021091091975056635</v>
      </c>
      <c r="O21" s="19">
        <v>0.01657742803215749</v>
      </c>
      <c r="P21" s="19">
        <v>0.018826855952314356</v>
      </c>
      <c r="Q21" s="19">
        <v>0.07555346917117992</v>
      </c>
      <c r="R21" s="56">
        <v>0.0002436618214862999</v>
      </c>
      <c r="S21" s="19">
        <v>0.15488722430398688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4"/>
    </row>
    <row r="22" spans="1:36" ht="13.5" thickBot="1">
      <c r="A22" s="6" t="s">
        <v>112</v>
      </c>
      <c r="B22" s="9">
        <v>38236</v>
      </c>
      <c r="C22" s="10" t="s">
        <v>21</v>
      </c>
      <c r="D22" s="6" t="s">
        <v>8</v>
      </c>
      <c r="E22" s="6" t="s">
        <v>7</v>
      </c>
      <c r="F22" s="8">
        <v>4067</v>
      </c>
      <c r="G22" s="19">
        <v>1.7314609183017777</v>
      </c>
      <c r="H22" s="20"/>
      <c r="I22" s="19">
        <v>0.01952127551324601</v>
      </c>
      <c r="J22" s="19">
        <v>4.7353282670730374</v>
      </c>
      <c r="K22" s="19">
        <v>0.17541519602220185</v>
      </c>
      <c r="L22" s="19">
        <v>0.2817719182577769</v>
      </c>
      <c r="M22" s="19">
        <v>0.04635657550639917</v>
      </c>
      <c r="N22" s="19">
        <v>0.015867760175607707</v>
      </c>
      <c r="O22" s="19">
        <v>0.020770090875876387</v>
      </c>
      <c r="P22" s="19">
        <v>0.016159382953889148</v>
      </c>
      <c r="Q22" s="19">
        <v>0.050369340602888835</v>
      </c>
      <c r="R22" s="56">
        <v>0.00013112202901528538</v>
      </c>
      <c r="S22" s="19">
        <v>0.09108599377190074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4"/>
    </row>
    <row r="23" spans="1:19" s="8" customFormat="1" ht="12.75">
      <c r="A23" s="6" t="s">
        <v>113</v>
      </c>
      <c r="B23" s="9">
        <v>38236</v>
      </c>
      <c r="C23" s="10" t="s">
        <v>12</v>
      </c>
      <c r="D23" s="25" t="s">
        <v>43</v>
      </c>
      <c r="E23" s="53"/>
      <c r="F23" s="5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87"/>
      <c r="S23" s="51"/>
    </row>
    <row r="24" spans="1:36" ht="12.75">
      <c r="A24" s="6" t="s">
        <v>114</v>
      </c>
      <c r="B24" s="9">
        <v>38236</v>
      </c>
      <c r="C24" s="10" t="s">
        <v>12</v>
      </c>
      <c r="D24" s="6" t="s">
        <v>10</v>
      </c>
      <c r="E24" s="6" t="s">
        <v>11</v>
      </c>
      <c r="F24" s="8">
        <v>4015</v>
      </c>
      <c r="G24" s="19">
        <v>1.2064257826441385</v>
      </c>
      <c r="H24" s="20"/>
      <c r="I24" s="19">
        <v>0.04403975755749419</v>
      </c>
      <c r="J24" s="19">
        <v>2.7531918449019113</v>
      </c>
      <c r="K24" s="19">
        <v>0.13171316651364873</v>
      </c>
      <c r="L24" s="19">
        <v>0.07225106848900019</v>
      </c>
      <c r="M24" s="19">
        <v>0.020564084052749742</v>
      </c>
      <c r="N24" s="19">
        <v>0.023025214970733555</v>
      </c>
      <c r="O24" s="19">
        <v>0.18504008143054362</v>
      </c>
      <c r="P24" s="19">
        <v>0.015819492119463464</v>
      </c>
      <c r="Q24" s="19">
        <v>0.08349114509895707</v>
      </c>
      <c r="R24" s="56">
        <v>0.00028830780447887763</v>
      </c>
      <c r="S24" s="19">
        <v>0.08763098610516076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"/>
    </row>
    <row r="25" spans="1:36" ht="12.75">
      <c r="A25" s="6" t="s">
        <v>115</v>
      </c>
      <c r="B25" s="9">
        <v>38236</v>
      </c>
      <c r="C25" s="10" t="s">
        <v>12</v>
      </c>
      <c r="D25" s="6" t="s">
        <v>14</v>
      </c>
      <c r="E25" s="6" t="s">
        <v>7</v>
      </c>
      <c r="F25" s="8">
        <v>4079</v>
      </c>
      <c r="G25" s="19">
        <v>1.0571192661041513</v>
      </c>
      <c r="H25" s="20"/>
      <c r="I25" s="19">
        <v>0.008850412294135232</v>
      </c>
      <c r="J25" s="19">
        <v>4.461717475043414</v>
      </c>
      <c r="K25" s="19">
        <v>0.06135206154845781</v>
      </c>
      <c r="L25" s="19">
        <v>0.028365419617653286</v>
      </c>
      <c r="M25" s="19">
        <v>0.011613051002340828</v>
      </c>
      <c r="N25" s="19">
        <v>0.01458240090509429</v>
      </c>
      <c r="O25" s="19">
        <v>0.03513313578610958</v>
      </c>
      <c r="P25" s="19">
        <v>0.011039947407539503</v>
      </c>
      <c r="Q25" s="19">
        <v>0.047277680092373334</v>
      </c>
      <c r="R25" s="188"/>
      <c r="S25" s="19">
        <v>0.08043457946170672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"/>
    </row>
    <row r="26" spans="1:36" ht="12.75">
      <c r="A26" s="6" t="s">
        <v>116</v>
      </c>
      <c r="B26" s="9">
        <v>38236</v>
      </c>
      <c r="C26" s="10" t="s">
        <v>12</v>
      </c>
      <c r="D26" s="6" t="s">
        <v>13</v>
      </c>
      <c r="E26" s="6" t="s">
        <v>7</v>
      </c>
      <c r="F26" s="8">
        <v>4076</v>
      </c>
      <c r="G26" s="19">
        <v>0.9840913658788376</v>
      </c>
      <c r="H26" s="20"/>
      <c r="I26" s="19">
        <v>0.016367420085293193</v>
      </c>
      <c r="J26" s="19">
        <v>1.7277652531086285</v>
      </c>
      <c r="K26" s="19">
        <v>0.11472798511442034</v>
      </c>
      <c r="L26" s="19">
        <v>0.06390077940820546</v>
      </c>
      <c r="M26" s="19">
        <v>0.012329073223109945</v>
      </c>
      <c r="N26" s="19">
        <v>0.0156388101563341</v>
      </c>
      <c r="O26" s="19">
        <v>0.011303341353487064</v>
      </c>
      <c r="P26" s="19">
        <v>0.018152727479369198</v>
      </c>
      <c r="Q26" s="19">
        <v>0.02327904921256556</v>
      </c>
      <c r="R26" s="56">
        <v>9.813408090829292E-05</v>
      </c>
      <c r="S26" s="19">
        <v>0.03338147081738791</v>
      </c>
      <c r="T26" s="3"/>
      <c r="U26" s="3"/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"/>
    </row>
    <row r="27" spans="1:36" ht="12.75">
      <c r="A27" s="6" t="s">
        <v>117</v>
      </c>
      <c r="B27" s="9">
        <v>38236</v>
      </c>
      <c r="C27" s="10" t="s">
        <v>12</v>
      </c>
      <c r="D27" s="6" t="s">
        <v>15</v>
      </c>
      <c r="E27" s="6" t="s">
        <v>7</v>
      </c>
      <c r="F27" s="8">
        <v>4081</v>
      </c>
      <c r="G27" s="19">
        <v>2.9190007481226394</v>
      </c>
      <c r="H27" s="20"/>
      <c r="I27" s="19">
        <v>0.019456242663520633</v>
      </c>
      <c r="J27" s="19">
        <v>7.37304932287663</v>
      </c>
      <c r="K27" s="19">
        <v>0.11129665015759412</v>
      </c>
      <c r="L27" s="19">
        <v>0.17323757497453188</v>
      </c>
      <c r="M27" s="19">
        <v>0.027320961051084554</v>
      </c>
      <c r="N27" s="19">
        <v>0.014376226312359896</v>
      </c>
      <c r="O27" s="19">
        <v>0.05790742542472382</v>
      </c>
      <c r="P27" s="19">
        <v>0.013349387195143309</v>
      </c>
      <c r="Q27" s="19">
        <v>0.0617392538672232</v>
      </c>
      <c r="R27" s="56">
        <v>0.0001067757001772881</v>
      </c>
      <c r="S27" s="19">
        <v>0.12303081932533812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4"/>
    </row>
    <row r="28" spans="1:36" ht="12.75">
      <c r="A28" s="6" t="s">
        <v>118</v>
      </c>
      <c r="B28" s="9">
        <v>38236</v>
      </c>
      <c r="C28" s="10" t="s">
        <v>12</v>
      </c>
      <c r="D28" s="6" t="s">
        <v>16</v>
      </c>
      <c r="E28" s="6" t="s">
        <v>7</v>
      </c>
      <c r="F28" s="8">
        <v>4083</v>
      </c>
      <c r="G28" s="19">
        <v>1.9221407405301336</v>
      </c>
      <c r="H28" s="20"/>
      <c r="I28" s="19">
        <v>0.035060045370500684</v>
      </c>
      <c r="J28" s="19">
        <v>5.323218145314012</v>
      </c>
      <c r="K28" s="19">
        <v>0.23294211243404342</v>
      </c>
      <c r="L28" s="19">
        <v>0.39859479842026396</v>
      </c>
      <c r="M28" s="19">
        <v>0.11056308642827888</v>
      </c>
      <c r="N28" s="19">
        <v>0.014998589222486465</v>
      </c>
      <c r="O28" s="19">
        <v>0.04720022703848146</v>
      </c>
      <c r="P28" s="19">
        <v>0.014230840563070423</v>
      </c>
      <c r="Q28" s="19">
        <v>0.04255564161150337</v>
      </c>
      <c r="R28" s="56">
        <v>0.00027552967664594365</v>
      </c>
      <c r="S28" s="19">
        <v>0.13674530191188125</v>
      </c>
      <c r="T28" s="3"/>
      <c r="U28" s="3"/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4"/>
    </row>
    <row r="29" spans="1:36" ht="13.5" thickBot="1">
      <c r="A29" s="6" t="s">
        <v>119</v>
      </c>
      <c r="B29" s="9">
        <v>38236</v>
      </c>
      <c r="C29" s="10" t="s">
        <v>12</v>
      </c>
      <c r="D29" s="6" t="s">
        <v>8</v>
      </c>
      <c r="E29" s="6" t="s">
        <v>7</v>
      </c>
      <c r="F29" s="8">
        <v>4013</v>
      </c>
      <c r="G29" s="19">
        <v>1.1926484407786098</v>
      </c>
      <c r="H29" s="20"/>
      <c r="I29" s="19">
        <v>0.0263386236221299</v>
      </c>
      <c r="J29" s="19">
        <v>3.550195443853165</v>
      </c>
      <c r="K29" s="19">
        <v>0.16651189308817715</v>
      </c>
      <c r="L29" s="19">
        <v>0.2688450961781929</v>
      </c>
      <c r="M29" s="19">
        <v>0.06562073484994255</v>
      </c>
      <c r="N29" s="19">
        <v>0.016792366715696533</v>
      </c>
      <c r="O29" s="19">
        <v>0.040852554443726936</v>
      </c>
      <c r="P29" s="19">
        <v>0.012978333214171137</v>
      </c>
      <c r="Q29" s="19">
        <v>0.07833331001813708</v>
      </c>
      <c r="R29" s="56">
        <v>0.00015554052808979218</v>
      </c>
      <c r="S29" s="19">
        <v>0.10322488842194191</v>
      </c>
      <c r="T29" s="3"/>
      <c r="U29" s="3"/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"/>
    </row>
    <row r="30" spans="1:19" s="8" customFormat="1" ht="12.75">
      <c r="A30" s="6" t="s">
        <v>120</v>
      </c>
      <c r="B30" s="9">
        <v>38247</v>
      </c>
      <c r="C30" s="10" t="s">
        <v>20</v>
      </c>
      <c r="D30" s="25" t="s">
        <v>43</v>
      </c>
      <c r="E30" s="53"/>
      <c r="F30" s="52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187"/>
      <c r="S30" s="51"/>
    </row>
    <row r="31" spans="1:36" ht="12.75">
      <c r="A31" s="6" t="s">
        <v>121</v>
      </c>
      <c r="B31" s="9">
        <v>38247</v>
      </c>
      <c r="C31" s="10" t="s">
        <v>20</v>
      </c>
      <c r="D31" s="6" t="s">
        <v>10</v>
      </c>
      <c r="E31" s="6" t="s">
        <v>11</v>
      </c>
      <c r="F31" s="8">
        <v>4049</v>
      </c>
      <c r="G31" s="19">
        <v>0.2989790832372785</v>
      </c>
      <c r="H31" s="19">
        <v>0.004743717661736413</v>
      </c>
      <c r="I31" s="19">
        <v>0.13575458779937025</v>
      </c>
      <c r="J31" s="19">
        <v>0.8562587899368745</v>
      </c>
      <c r="K31" s="19">
        <v>0.03595712858776332</v>
      </c>
      <c r="L31" s="19">
        <v>0.02953660754776625</v>
      </c>
      <c r="M31" s="19">
        <v>0.007307786904930449</v>
      </c>
      <c r="N31" s="19">
        <v>0.006575474370069669</v>
      </c>
      <c r="O31" s="19">
        <v>0.29753067939858413</v>
      </c>
      <c r="P31" s="19">
        <v>0.00856036703904838</v>
      </c>
      <c r="Q31" s="19">
        <v>0.13221705154956737</v>
      </c>
      <c r="R31" s="56">
        <v>0.001269456677697138</v>
      </c>
      <c r="S31" s="19">
        <v>0.01787952329076412</v>
      </c>
      <c r="T31" s="3"/>
      <c r="U31" s="3"/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4"/>
      <c r="AI31" s="3"/>
      <c r="AJ31" s="4"/>
    </row>
    <row r="32" spans="1:36" ht="12.75">
      <c r="A32" s="6" t="s">
        <v>122</v>
      </c>
      <c r="B32" s="9">
        <v>38247</v>
      </c>
      <c r="C32" s="10" t="s">
        <v>20</v>
      </c>
      <c r="D32" s="6" t="s">
        <v>9</v>
      </c>
      <c r="E32" s="6" t="s">
        <v>7</v>
      </c>
      <c r="F32" s="8">
        <v>4047</v>
      </c>
      <c r="G32" s="19">
        <v>0.5582609114724981</v>
      </c>
      <c r="H32" s="20"/>
      <c r="I32" s="19">
        <v>0.003156555523623684</v>
      </c>
      <c r="J32" s="19">
        <v>4.891887652542797</v>
      </c>
      <c r="K32" s="19">
        <v>0.032814064222313775</v>
      </c>
      <c r="L32" s="19">
        <v>0.03444792230091615</v>
      </c>
      <c r="M32" s="19">
        <v>0.008471575094707718</v>
      </c>
      <c r="N32" s="19">
        <v>0.0068166025491095475</v>
      </c>
      <c r="O32" s="19">
        <v>0.024756023405682743</v>
      </c>
      <c r="P32" s="19">
        <v>0.008325557226481168</v>
      </c>
      <c r="Q32" s="19">
        <v>0.018547751123659546</v>
      </c>
      <c r="R32" s="56">
        <v>0.00015644526521487514</v>
      </c>
      <c r="S32" s="19">
        <v>0.038276681887833966</v>
      </c>
      <c r="T32" s="3"/>
      <c r="U32" s="3"/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"/>
    </row>
    <row r="33" spans="1:36" ht="12.75">
      <c r="A33" s="6" t="s">
        <v>123</v>
      </c>
      <c r="B33" s="9">
        <v>38247</v>
      </c>
      <c r="C33" s="10" t="s">
        <v>20</v>
      </c>
      <c r="D33" s="6" t="s">
        <v>18</v>
      </c>
      <c r="E33" s="6" t="s">
        <v>7</v>
      </c>
      <c r="F33" s="8">
        <v>4041</v>
      </c>
      <c r="G33" s="19">
        <v>5.5211998332061984</v>
      </c>
      <c r="H33" s="19">
        <v>0.007216031983355459</v>
      </c>
      <c r="I33" s="19">
        <v>0.017953309197609443</v>
      </c>
      <c r="J33" s="19">
        <v>21.08641029918008</v>
      </c>
      <c r="K33" s="19">
        <v>0.6158429863784938</v>
      </c>
      <c r="L33" s="19">
        <v>1.4785346093479783</v>
      </c>
      <c r="M33" s="19">
        <v>0.05268578578743587</v>
      </c>
      <c r="N33" s="19">
        <v>0.012974626210757343</v>
      </c>
      <c r="O33" s="19">
        <v>0.1585109751488602</v>
      </c>
      <c r="P33" s="19">
        <v>0.01947877496627423</v>
      </c>
      <c r="Q33" s="19">
        <v>0.12867309820068495</v>
      </c>
      <c r="R33" s="56">
        <v>0.00026146341774290925</v>
      </c>
      <c r="S33" s="19">
        <v>0.18159873101059998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</row>
    <row r="34" spans="1:36" ht="12.75">
      <c r="A34" s="6" t="s">
        <v>124</v>
      </c>
      <c r="B34" s="9">
        <v>38247</v>
      </c>
      <c r="C34" s="10" t="s">
        <v>20</v>
      </c>
      <c r="D34" s="6" t="s">
        <v>6</v>
      </c>
      <c r="E34" s="6" t="s">
        <v>7</v>
      </c>
      <c r="F34" s="8">
        <v>4043</v>
      </c>
      <c r="G34" s="19">
        <v>7.654158751959958</v>
      </c>
      <c r="H34" s="19">
        <v>0.015324882408395286</v>
      </c>
      <c r="I34" s="19">
        <v>0.025995027509241975</v>
      </c>
      <c r="J34" s="19">
        <v>24.72615447271457</v>
      </c>
      <c r="K34" s="19">
        <v>1.4572464539859675</v>
      </c>
      <c r="L34" s="19">
        <v>3.0325943794982244</v>
      </c>
      <c r="M34" s="19">
        <v>0.105281656275907</v>
      </c>
      <c r="N34" s="19">
        <v>0.02359346320990379</v>
      </c>
      <c r="O34" s="19">
        <v>0.22489224534585686</v>
      </c>
      <c r="P34" s="19">
        <v>0.024155194662054298</v>
      </c>
      <c r="Q34" s="19">
        <v>0.17362486548052136</v>
      </c>
      <c r="R34" s="56">
        <v>0.00041213686563904077</v>
      </c>
      <c r="S34" s="19">
        <v>0.31738322136742675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"/>
    </row>
    <row r="35" spans="1:36" ht="13.5" thickBot="1">
      <c r="A35" s="6" t="s">
        <v>125</v>
      </c>
      <c r="B35" s="9">
        <v>38237</v>
      </c>
      <c r="C35" s="10" t="s">
        <v>20</v>
      </c>
      <c r="D35" s="6" t="s">
        <v>8</v>
      </c>
      <c r="E35" s="6" t="s">
        <v>7</v>
      </c>
      <c r="F35" s="8">
        <v>4045</v>
      </c>
      <c r="G35" s="19">
        <v>6.832587135274827</v>
      </c>
      <c r="H35" s="19">
        <v>0.01776851945879463</v>
      </c>
      <c r="I35" s="19">
        <v>0.024173399280887273</v>
      </c>
      <c r="J35" s="19">
        <v>23.44918826448397</v>
      </c>
      <c r="K35" s="19">
        <v>2.2941624431824548</v>
      </c>
      <c r="L35" s="19">
        <v>2.710698910098294</v>
      </c>
      <c r="M35" s="19">
        <v>0.11935964039187623</v>
      </c>
      <c r="N35" s="19">
        <v>0.031757465035056304</v>
      </c>
      <c r="O35" s="19">
        <v>0.20951768084488195</v>
      </c>
      <c r="P35" s="19">
        <v>0.029018958657693054</v>
      </c>
      <c r="Q35" s="19">
        <v>0.07201667127948001</v>
      </c>
      <c r="R35" s="56">
        <v>0.00032725543366769776</v>
      </c>
      <c r="S35" s="19">
        <v>0.3494443372956776</v>
      </c>
      <c r="T35" s="3"/>
      <c r="U35" s="3"/>
      <c r="V35" s="3"/>
      <c r="W35" s="3"/>
      <c r="X35" s="4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4"/>
    </row>
    <row r="36" spans="1:19" s="8" customFormat="1" ht="12.75">
      <c r="A36" s="6" t="s">
        <v>126</v>
      </c>
      <c r="B36" s="9">
        <v>38244</v>
      </c>
      <c r="C36" s="10" t="s">
        <v>17</v>
      </c>
      <c r="D36" s="25" t="s">
        <v>43</v>
      </c>
      <c r="E36" s="53"/>
      <c r="F36" s="52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187"/>
      <c r="S36" s="51"/>
    </row>
    <row r="37" spans="1:36" ht="12.75">
      <c r="A37" s="6" t="s">
        <v>127</v>
      </c>
      <c r="B37" s="9">
        <v>38244</v>
      </c>
      <c r="C37" s="10" t="s">
        <v>17</v>
      </c>
      <c r="D37" s="6" t="s">
        <v>10</v>
      </c>
      <c r="E37" s="6" t="s">
        <v>11</v>
      </c>
      <c r="F37" s="8">
        <v>4037</v>
      </c>
      <c r="G37" s="19">
        <v>0.26906941914012383</v>
      </c>
      <c r="H37" s="19">
        <v>0.005148707167662616</v>
      </c>
      <c r="I37" s="19">
        <v>0.26930597306839493</v>
      </c>
      <c r="J37" s="19">
        <v>0.49672248038448347</v>
      </c>
      <c r="K37" s="19">
        <v>0.04263145200022075</v>
      </c>
      <c r="L37" s="19">
        <v>0.022699671898978584</v>
      </c>
      <c r="M37" s="19">
        <v>0.009130758482310253</v>
      </c>
      <c r="N37" s="19">
        <v>0.009367875775830996</v>
      </c>
      <c r="O37" s="19">
        <v>0.3178881626774201</v>
      </c>
      <c r="P37" s="19">
        <v>0.008888864486978384</v>
      </c>
      <c r="Q37" s="19">
        <v>0.09457386580937431</v>
      </c>
      <c r="R37" s="56">
        <v>0.002891165297030814</v>
      </c>
      <c r="S37" s="19">
        <v>0.017257229207731012</v>
      </c>
      <c r="T37" s="3"/>
      <c r="U37" s="3"/>
      <c r="V37" s="3"/>
      <c r="W37" s="3"/>
      <c r="X37" s="4"/>
      <c r="Y37" s="3"/>
      <c r="Z37" s="3"/>
      <c r="AA37" s="3"/>
      <c r="AB37" s="3"/>
      <c r="AC37" s="3"/>
      <c r="AD37" s="3"/>
      <c r="AE37" s="3"/>
      <c r="AF37" s="3"/>
      <c r="AG37" s="3"/>
      <c r="AH37" s="4"/>
      <c r="AI37" s="3"/>
      <c r="AJ37" s="4"/>
    </row>
    <row r="38" spans="1:36" ht="12.75">
      <c r="A38" s="6" t="s">
        <v>128</v>
      </c>
      <c r="B38" s="9">
        <v>38244</v>
      </c>
      <c r="C38" s="10" t="s">
        <v>17</v>
      </c>
      <c r="D38" s="6" t="s">
        <v>9</v>
      </c>
      <c r="E38" s="6" t="s">
        <v>7</v>
      </c>
      <c r="F38" s="8">
        <v>4035</v>
      </c>
      <c r="G38" s="19">
        <v>0.6216214819392243</v>
      </c>
      <c r="H38" s="20"/>
      <c r="I38" s="19">
        <v>0.004496117451515128</v>
      </c>
      <c r="J38" s="19">
        <v>4.065104539732105</v>
      </c>
      <c r="K38" s="19">
        <v>0.037048782831465385</v>
      </c>
      <c r="L38" s="19">
        <v>0.029333926338706982</v>
      </c>
      <c r="M38" s="19">
        <v>0.003117677552899591</v>
      </c>
      <c r="N38" s="19">
        <v>0.00887408389716523</v>
      </c>
      <c r="O38" s="19">
        <v>0.07002480117376969</v>
      </c>
      <c r="P38" s="19">
        <v>0.008847679069365198</v>
      </c>
      <c r="Q38" s="19">
        <v>0.02043204092537743</v>
      </c>
      <c r="R38" s="56">
        <v>8.236286938965523E-05</v>
      </c>
      <c r="S38" s="19">
        <v>0.08620183690368177</v>
      </c>
      <c r="T38" s="3"/>
      <c r="U38" s="3"/>
      <c r="V38" s="3"/>
      <c r="W38" s="3"/>
      <c r="X38" s="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</row>
    <row r="39" spans="1:36" ht="12.75">
      <c r="A39" s="6" t="s">
        <v>129</v>
      </c>
      <c r="B39" s="9">
        <v>38244</v>
      </c>
      <c r="C39" s="10" t="s">
        <v>17</v>
      </c>
      <c r="D39" s="6" t="s">
        <v>18</v>
      </c>
      <c r="E39" s="6" t="s">
        <v>7</v>
      </c>
      <c r="F39" s="8">
        <v>4029</v>
      </c>
      <c r="G39" s="19">
        <v>6.714305526184974</v>
      </c>
      <c r="H39" s="19">
        <v>0.00879877981905203</v>
      </c>
      <c r="I39" s="19">
        <v>0.039595960251044914</v>
      </c>
      <c r="J39" s="19">
        <v>22.458742650986284</v>
      </c>
      <c r="K39" s="19">
        <v>0.32841517592487957</v>
      </c>
      <c r="L39" s="19">
        <v>0.8577804793530995</v>
      </c>
      <c r="M39" s="19">
        <v>0.026595043253705496</v>
      </c>
      <c r="N39" s="19">
        <v>0.011991500526982043</v>
      </c>
      <c r="O39" s="19">
        <v>0.208610358132047</v>
      </c>
      <c r="P39" s="19">
        <v>0.013153914159274603</v>
      </c>
      <c r="Q39" s="19">
        <v>0.16217428659240682</v>
      </c>
      <c r="R39" s="56">
        <v>0.0005503146194522176</v>
      </c>
      <c r="S39" s="19">
        <v>0.40773033774284906</v>
      </c>
      <c r="T39" s="3"/>
      <c r="U39" s="3"/>
      <c r="V39" s="3"/>
      <c r="W39" s="3"/>
      <c r="X39" s="4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 ht="12.75">
      <c r="A40" s="6" t="s">
        <v>130</v>
      </c>
      <c r="B40" s="9">
        <v>38244</v>
      </c>
      <c r="C40" s="10" t="s">
        <v>17</v>
      </c>
      <c r="D40" s="6" t="s">
        <v>6</v>
      </c>
      <c r="E40" s="6" t="s">
        <v>7</v>
      </c>
      <c r="F40" s="8">
        <v>4031</v>
      </c>
      <c r="G40" s="19">
        <v>5.861054298917911</v>
      </c>
      <c r="H40" s="19">
        <v>0.013858236872404795</v>
      </c>
      <c r="I40" s="19">
        <v>0.0435441508674649</v>
      </c>
      <c r="J40" s="19">
        <v>12.37606292138771</v>
      </c>
      <c r="K40" s="19">
        <v>0.7183832128227857</v>
      </c>
      <c r="L40" s="19">
        <v>2.169483838380518</v>
      </c>
      <c r="M40" s="19">
        <v>0.06854520061774712</v>
      </c>
      <c r="N40" s="19">
        <v>0.01595940356901669</v>
      </c>
      <c r="O40" s="19">
        <v>0.14931963982475013</v>
      </c>
      <c r="P40" s="19">
        <v>0.01582883898575431</v>
      </c>
      <c r="Q40" s="19">
        <v>0.06852651817799937</v>
      </c>
      <c r="R40" s="56">
        <v>0.0011587203237219193</v>
      </c>
      <c r="S40" s="19">
        <v>0.21310760794810524</v>
      </c>
      <c r="T40" s="3"/>
      <c r="U40" s="3"/>
      <c r="V40" s="3"/>
      <c r="W40" s="3"/>
      <c r="X40" s="4"/>
      <c r="Y40" s="3"/>
      <c r="Z40" s="3"/>
      <c r="AA40" s="3"/>
      <c r="AB40" s="3"/>
      <c r="AC40" s="3"/>
      <c r="AD40" s="3"/>
      <c r="AE40" s="3"/>
      <c r="AF40" s="3"/>
      <c r="AG40" s="3"/>
      <c r="AH40" s="4"/>
      <c r="AI40" s="3"/>
      <c r="AJ40" s="4"/>
    </row>
    <row r="41" spans="1:36" ht="13.5" thickBot="1">
      <c r="A41" s="6" t="s">
        <v>131</v>
      </c>
      <c r="B41" s="9">
        <v>38244</v>
      </c>
      <c r="C41" s="10" t="s">
        <v>17</v>
      </c>
      <c r="D41" s="6" t="s">
        <v>8</v>
      </c>
      <c r="E41" s="6" t="s">
        <v>7</v>
      </c>
      <c r="F41" s="8">
        <v>4033</v>
      </c>
      <c r="G41" s="19">
        <v>3.495278344345069</v>
      </c>
      <c r="H41" s="19">
        <v>0.019091252498974566</v>
      </c>
      <c r="I41" s="19">
        <v>0.025145930186103584</v>
      </c>
      <c r="J41" s="19">
        <v>7.471700126312836</v>
      </c>
      <c r="K41" s="19">
        <v>0.9125357173951734</v>
      </c>
      <c r="L41" s="19">
        <v>1.5678040629687249</v>
      </c>
      <c r="M41" s="19">
        <v>0.05132866283984527</v>
      </c>
      <c r="N41" s="19">
        <v>0.015940357648476115</v>
      </c>
      <c r="O41" s="19">
        <v>0.06640829602518702</v>
      </c>
      <c r="P41" s="19">
        <v>0.0157538427022732</v>
      </c>
      <c r="Q41" s="19">
        <v>0.06335389843880276</v>
      </c>
      <c r="R41" s="56">
        <v>0.003516431643629572</v>
      </c>
      <c r="S41" s="19">
        <v>0.14026402592149886</v>
      </c>
      <c r="T41" s="3"/>
      <c r="U41" s="3"/>
      <c r="V41" s="3"/>
      <c r="W41" s="3"/>
      <c r="X41" s="4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</row>
    <row r="42" spans="1:19" s="8" customFormat="1" ht="12.75">
      <c r="A42" s="6" t="s">
        <v>132</v>
      </c>
      <c r="B42" s="9">
        <v>38237</v>
      </c>
      <c r="C42" s="10" t="s">
        <v>22</v>
      </c>
      <c r="D42" s="25" t="s">
        <v>43</v>
      </c>
      <c r="E42" s="53"/>
      <c r="F42" s="5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187"/>
      <c r="S42" s="51"/>
    </row>
    <row r="43" spans="1:36" ht="12.75">
      <c r="A43" s="6" t="s">
        <v>133</v>
      </c>
      <c r="B43" s="9">
        <v>38237</v>
      </c>
      <c r="C43" s="10" t="s">
        <v>22</v>
      </c>
      <c r="D43" s="6" t="s">
        <v>10</v>
      </c>
      <c r="E43" s="6" t="s">
        <v>11</v>
      </c>
      <c r="F43" s="8">
        <v>4025</v>
      </c>
      <c r="G43" s="19">
        <v>2.346629830756662</v>
      </c>
      <c r="H43" s="20"/>
      <c r="I43" s="19">
        <v>0.03225289941792155</v>
      </c>
      <c r="J43" s="19">
        <v>0.9924859643928744</v>
      </c>
      <c r="K43" s="19">
        <v>0.06452891865588678</v>
      </c>
      <c r="L43" s="19">
        <v>0.03187026707060744</v>
      </c>
      <c r="M43" s="19">
        <v>0.04004513721544639</v>
      </c>
      <c r="N43" s="19">
        <v>0.0171935398983538</v>
      </c>
      <c r="O43" s="19">
        <v>0.5312088424359162</v>
      </c>
      <c r="P43" s="19">
        <v>0.010202516954114137</v>
      </c>
      <c r="Q43" s="19">
        <v>0.05253797250623997</v>
      </c>
      <c r="R43" s="56">
        <v>0.0002467556411567466</v>
      </c>
      <c r="S43" s="19">
        <v>0.013812412957782814</v>
      </c>
      <c r="T43" s="3"/>
      <c r="U43" s="3"/>
      <c r="V43" s="3"/>
      <c r="W43" s="3"/>
      <c r="X43" s="4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</row>
    <row r="44" spans="1:36" ht="12.75">
      <c r="A44" s="6" t="s">
        <v>134</v>
      </c>
      <c r="B44" s="9">
        <v>38237</v>
      </c>
      <c r="C44" s="10" t="s">
        <v>22</v>
      </c>
      <c r="D44" s="6" t="s">
        <v>18</v>
      </c>
      <c r="E44" s="6" t="s">
        <v>7</v>
      </c>
      <c r="F44" s="8">
        <v>4019</v>
      </c>
      <c r="G44" s="19">
        <v>4.9813475776802125</v>
      </c>
      <c r="H44" s="20"/>
      <c r="I44" s="19">
        <v>0.023261643605733247</v>
      </c>
      <c r="J44" s="19">
        <v>15.990484658876868</v>
      </c>
      <c r="K44" s="19">
        <v>0.20396958083901104</v>
      </c>
      <c r="L44" s="19">
        <v>0.414961352982799</v>
      </c>
      <c r="M44" s="19">
        <v>0.11743785295876807</v>
      </c>
      <c r="N44" s="19">
        <v>0.011401627572216617</v>
      </c>
      <c r="O44" s="19">
        <v>0.21510454234776352</v>
      </c>
      <c r="P44" s="19">
        <v>0.01834176139020528</v>
      </c>
      <c r="Q44" s="19">
        <v>0.0902478123858719</v>
      </c>
      <c r="R44" s="56">
        <v>0.00011613067725608478</v>
      </c>
      <c r="S44" s="19">
        <v>0.2416149260370083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</row>
    <row r="45" spans="1:36" ht="12.75">
      <c r="A45" s="6" t="s">
        <v>135</v>
      </c>
      <c r="B45" s="9">
        <v>38237</v>
      </c>
      <c r="C45" s="10" t="s">
        <v>22</v>
      </c>
      <c r="D45" s="6" t="s">
        <v>6</v>
      </c>
      <c r="E45" s="6" t="s">
        <v>7</v>
      </c>
      <c r="F45" s="8">
        <v>4021</v>
      </c>
      <c r="G45" s="19">
        <v>1.8630045694068438</v>
      </c>
      <c r="H45" s="19">
        <v>0.0046329793112485414</v>
      </c>
      <c r="I45" s="19">
        <v>0.04445584760513388</v>
      </c>
      <c r="J45" s="19">
        <v>5.684668946726563</v>
      </c>
      <c r="K45" s="19">
        <v>0.2999563568296666</v>
      </c>
      <c r="L45" s="19">
        <v>0.39343767062380447</v>
      </c>
      <c r="M45" s="19">
        <v>0.11533812649523784</v>
      </c>
      <c r="N45" s="19">
        <v>0.01239855296189366</v>
      </c>
      <c r="O45" s="19">
        <v>0.032918896002042626</v>
      </c>
      <c r="P45" s="19">
        <v>0.016811703023804445</v>
      </c>
      <c r="Q45" s="19">
        <v>0.10541215732218426</v>
      </c>
      <c r="R45" s="56">
        <v>0.00010622731727029662</v>
      </c>
      <c r="S45" s="19">
        <v>0.16710958865864547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  <c r="AF45" s="3"/>
      <c r="AG45" s="3"/>
      <c r="AH45" s="3"/>
      <c r="AI45" s="3"/>
      <c r="AJ45" s="4"/>
    </row>
    <row r="46" spans="1:36" ht="12.75">
      <c r="A46" s="6" t="s">
        <v>136</v>
      </c>
      <c r="B46" s="9">
        <v>38237</v>
      </c>
      <c r="C46" s="10" t="s">
        <v>22</v>
      </c>
      <c r="D46" s="6" t="s">
        <v>8</v>
      </c>
      <c r="E46" s="6" t="s">
        <v>7</v>
      </c>
      <c r="F46" s="8">
        <v>4023</v>
      </c>
      <c r="G46" s="19">
        <v>2.681623614979949</v>
      </c>
      <c r="H46" s="19">
        <v>0.0064795453825685755</v>
      </c>
      <c r="I46" s="19">
        <v>0.06414406579306123</v>
      </c>
      <c r="J46" s="19">
        <v>8.268641886163337</v>
      </c>
      <c r="K46" s="19">
        <v>0.4511248374291538</v>
      </c>
      <c r="L46" s="19">
        <v>0.6936860786812539</v>
      </c>
      <c r="M46" s="19">
        <v>0.20471657378278693</v>
      </c>
      <c r="N46" s="19">
        <v>0.016342580343864994</v>
      </c>
      <c r="O46" s="19">
        <v>0.03842886371520733</v>
      </c>
      <c r="P46" s="19">
        <v>0.019044872106529234</v>
      </c>
      <c r="Q46" s="19">
        <v>0.08800016885526177</v>
      </c>
      <c r="R46" s="56">
        <v>0.0004948433239253746</v>
      </c>
      <c r="S46" s="19">
        <v>0.16277494650902222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</row>
    <row r="47" spans="7:36" ht="12.75"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3"/>
      <c r="U47" s="3"/>
      <c r="V47" s="3"/>
      <c r="W47" s="3"/>
      <c r="X47" s="4"/>
      <c r="Y47" s="4"/>
      <c r="Z47" s="4"/>
      <c r="AA47" s="3"/>
      <c r="AB47" s="4"/>
      <c r="AC47" s="4"/>
      <c r="AD47" s="3"/>
      <c r="AE47" s="3"/>
      <c r="AF47" s="3"/>
      <c r="AG47" s="3"/>
      <c r="AH47" s="4"/>
      <c r="AI47" s="4"/>
      <c r="AJ47" s="4"/>
    </row>
    <row r="48" spans="7:36" ht="12.75"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3"/>
      <c r="U48" s="3"/>
      <c r="V48" s="3"/>
      <c r="W48" s="4"/>
      <c r="X48" s="4"/>
      <c r="Y48" s="4"/>
      <c r="Z48" s="4"/>
      <c r="AA48" s="3"/>
      <c r="AB48" s="4"/>
      <c r="AC48" s="4"/>
      <c r="AD48" s="3"/>
      <c r="AE48" s="3"/>
      <c r="AF48" s="3"/>
      <c r="AG48" s="3"/>
      <c r="AH48" s="4"/>
      <c r="AI48" s="4"/>
      <c r="AJ48" s="4"/>
    </row>
    <row r="49" spans="7:19" ht="12.75">
      <c r="G49" s="18" t="s">
        <v>37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6:38" ht="12.75">
      <c r="F50" s="8" t="s">
        <v>1</v>
      </c>
      <c r="G50" s="19">
        <v>0.0065743978034242265</v>
      </c>
      <c r="H50" s="19">
        <v>0.003944638682054535</v>
      </c>
      <c r="I50" s="19">
        <v>0.0032871989017121133</v>
      </c>
      <c r="J50" s="19">
        <v>0.03287198901712113</v>
      </c>
      <c r="K50" s="19">
        <v>0.0065743978034242265</v>
      </c>
      <c r="L50" s="19">
        <v>0.0006574397803424226</v>
      </c>
      <c r="M50" s="19">
        <v>0.0006574397803424226</v>
      </c>
      <c r="N50" s="19">
        <v>0.0032871989017121133</v>
      </c>
      <c r="O50" s="19">
        <v>0.0065743978034242265</v>
      </c>
      <c r="P50" s="19">
        <v>0.0065743978034242265</v>
      </c>
      <c r="Q50" s="19">
        <v>0.003944638682054535</v>
      </c>
      <c r="R50" s="56">
        <v>6.574397803424227E-05</v>
      </c>
      <c r="S50" s="19">
        <v>0.0032871989017121133</v>
      </c>
      <c r="AK50" s="3"/>
      <c r="AL50" s="3"/>
    </row>
    <row r="53" spans="8:44" ht="12.75">
      <c r="H53" s="19">
        <v>0.0065743978034242265</v>
      </c>
      <c r="K53" s="19">
        <v>0.003944638682054535</v>
      </c>
      <c r="L53" s="19"/>
      <c r="M53" s="19"/>
      <c r="N53" s="19">
        <v>0.0032871989017121133</v>
      </c>
      <c r="O53" s="19"/>
      <c r="P53" s="19"/>
      <c r="Q53" s="19">
        <v>0.03287198901712113</v>
      </c>
      <c r="R53" s="19"/>
      <c r="S53" s="19"/>
      <c r="T53" s="19">
        <v>0.0065743978034242265</v>
      </c>
      <c r="U53" s="19"/>
      <c r="V53" s="19"/>
      <c r="W53" s="19">
        <v>0.0006574397803424226</v>
      </c>
      <c r="X53" s="19"/>
      <c r="Y53" s="19"/>
      <c r="Z53" s="19">
        <v>0.0006574397803424226</v>
      </c>
      <c r="AA53" s="19"/>
      <c r="AB53" s="19"/>
      <c r="AC53" s="19">
        <v>0.0032871989017121133</v>
      </c>
      <c r="AD53" s="19"/>
      <c r="AE53" s="19"/>
      <c r="AF53" s="19">
        <v>0.0065743978034242265</v>
      </c>
      <c r="AG53" s="19"/>
      <c r="AH53" s="19"/>
      <c r="AI53" s="19">
        <v>0.0065743978034242265</v>
      </c>
      <c r="AJ53" s="19"/>
      <c r="AK53" s="19"/>
      <c r="AL53" s="19">
        <v>0.003944638682054535</v>
      </c>
      <c r="AM53" s="19"/>
      <c r="AN53" s="19"/>
      <c r="AO53" s="56">
        <v>6.574397803424227E-05</v>
      </c>
      <c r="AP53" s="56"/>
      <c r="AQ53" s="56"/>
      <c r="AR53" s="19">
        <v>0.0032871989017121133</v>
      </c>
    </row>
  </sheetData>
  <printOptions/>
  <pageMargins left="0.5" right="0.5" top="0.5" bottom="0.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T159"/>
  <sheetViews>
    <sheetView workbookViewId="0" topLeftCell="A1">
      <pane ySplit="1" topLeftCell="BM2" activePane="bottomLeft" state="frozen"/>
      <selection pane="topLeft" activeCell="A1" sqref="A1"/>
      <selection pane="bottomLeft" activeCell="H125" sqref="H125"/>
    </sheetView>
  </sheetViews>
  <sheetFormatPr defaultColWidth="9.6640625" defaultRowHeight="15"/>
  <cols>
    <col min="1" max="1" width="11.5546875" style="89" customWidth="1"/>
    <col min="2" max="2" width="9.6640625" style="89" customWidth="1"/>
    <col min="3" max="3" width="5.4453125" style="106" customWidth="1"/>
    <col min="4" max="4" width="5.4453125" style="89" customWidth="1"/>
    <col min="5" max="5" width="6.3359375" style="89" customWidth="1"/>
    <col min="6" max="6" width="5.77734375" style="89" customWidth="1"/>
    <col min="7" max="7" width="2.4453125" style="75" customWidth="1"/>
    <col min="8" max="8" width="6.6640625" style="89" customWidth="1"/>
    <col min="9" max="9" width="6.6640625" style="76" customWidth="1"/>
    <col min="10" max="10" width="2.4453125" style="75" customWidth="1"/>
    <col min="11" max="11" width="6.6640625" style="89" customWidth="1"/>
    <col min="12" max="12" width="6.6640625" style="76" customWidth="1"/>
    <col min="13" max="13" width="2.4453125" style="75" customWidth="1"/>
    <col min="14" max="14" width="6.6640625" style="89" customWidth="1"/>
    <col min="15" max="15" width="6.6640625" style="76" customWidth="1"/>
    <col min="16" max="16" width="2.4453125" style="75" customWidth="1"/>
    <col min="17" max="17" width="6.6640625" style="89" customWidth="1"/>
    <col min="18" max="18" width="6.6640625" style="76" customWidth="1"/>
    <col min="19" max="19" width="2.4453125" style="75" customWidth="1"/>
    <col min="20" max="20" width="6.6640625" style="89" customWidth="1"/>
    <col min="21" max="21" width="6.6640625" style="76" customWidth="1"/>
    <col min="22" max="22" width="2.4453125" style="75" customWidth="1"/>
    <col min="23" max="23" width="6.6640625" style="89" customWidth="1"/>
    <col min="24" max="24" width="6.6640625" style="76" customWidth="1"/>
    <col min="25" max="25" width="2.4453125" style="75" customWidth="1"/>
    <col min="26" max="26" width="6.6640625" style="89" customWidth="1"/>
    <col min="27" max="27" width="6.6640625" style="76" customWidth="1"/>
    <col min="28" max="28" width="2.4453125" style="75" customWidth="1"/>
    <col min="29" max="29" width="6.6640625" style="89" customWidth="1"/>
    <col min="30" max="30" width="6.6640625" style="76" customWidth="1"/>
    <col min="31" max="31" width="2.4453125" style="75" customWidth="1"/>
    <col min="32" max="32" width="6.6640625" style="89" customWidth="1"/>
    <col min="33" max="33" width="6.6640625" style="76" customWidth="1"/>
    <col min="34" max="34" width="2.4453125" style="75" customWidth="1"/>
    <col min="35" max="35" width="6.6640625" style="89" customWidth="1"/>
    <col min="36" max="36" width="6.6640625" style="76" customWidth="1"/>
    <col min="37" max="37" width="2.4453125" style="75" customWidth="1"/>
    <col min="38" max="38" width="6.6640625" style="89" customWidth="1"/>
    <col min="39" max="39" width="6.6640625" style="76" customWidth="1"/>
    <col min="40" max="40" width="2.4453125" style="75" customWidth="1"/>
    <col min="41" max="42" width="6.6640625" style="89" customWidth="1"/>
    <col min="43" max="43" width="2.4453125" style="75" customWidth="1"/>
    <col min="44" max="44" width="6.6640625" style="89" customWidth="1"/>
    <col min="45" max="45" width="6.6640625" style="76" customWidth="1"/>
    <col min="46" max="16384" width="9.6640625" style="2" customWidth="1"/>
  </cols>
  <sheetData>
    <row r="1" spans="1:45" ht="12.75">
      <c r="A1" s="101" t="s">
        <v>0</v>
      </c>
      <c r="B1" s="101" t="s">
        <v>2</v>
      </c>
      <c r="C1" s="102" t="s">
        <v>3</v>
      </c>
      <c r="D1" s="101" t="s">
        <v>4</v>
      </c>
      <c r="E1" s="101" t="s">
        <v>23</v>
      </c>
      <c r="F1" s="89" t="s">
        <v>0</v>
      </c>
      <c r="G1" s="66" t="s">
        <v>180</v>
      </c>
      <c r="H1" s="109" t="s">
        <v>75</v>
      </c>
      <c r="I1" s="67" t="s">
        <v>167</v>
      </c>
      <c r="J1" s="66"/>
      <c r="K1" s="109" t="s">
        <v>76</v>
      </c>
      <c r="L1" s="67" t="s">
        <v>168</v>
      </c>
      <c r="M1" s="66"/>
      <c r="N1" s="109" t="s">
        <v>77</v>
      </c>
      <c r="O1" s="67" t="s">
        <v>169</v>
      </c>
      <c r="P1" s="66"/>
      <c r="Q1" s="109" t="s">
        <v>78</v>
      </c>
      <c r="R1" s="67" t="s">
        <v>170</v>
      </c>
      <c r="S1" s="66"/>
      <c r="T1" s="109" t="s">
        <v>79</v>
      </c>
      <c r="U1" s="67" t="s">
        <v>171</v>
      </c>
      <c r="V1" s="66"/>
      <c r="W1" s="109" t="s">
        <v>80</v>
      </c>
      <c r="X1" s="67" t="s">
        <v>172</v>
      </c>
      <c r="Y1" s="66"/>
      <c r="Z1" s="109" t="s">
        <v>81</v>
      </c>
      <c r="AA1" s="67" t="s">
        <v>173</v>
      </c>
      <c r="AB1" s="66"/>
      <c r="AC1" s="109" t="s">
        <v>82</v>
      </c>
      <c r="AD1" s="67" t="s">
        <v>174</v>
      </c>
      <c r="AE1" s="66"/>
      <c r="AF1" s="109" t="s">
        <v>83</v>
      </c>
      <c r="AG1" s="67" t="s">
        <v>179</v>
      </c>
      <c r="AH1" s="66"/>
      <c r="AI1" s="109" t="s">
        <v>84</v>
      </c>
      <c r="AJ1" s="67" t="s">
        <v>178</v>
      </c>
      <c r="AK1" s="66"/>
      <c r="AL1" s="109" t="s">
        <v>85</v>
      </c>
      <c r="AM1" s="67" t="s">
        <v>177</v>
      </c>
      <c r="AN1" s="66"/>
      <c r="AO1" s="109" t="s">
        <v>86</v>
      </c>
      <c r="AP1" s="109" t="s">
        <v>176</v>
      </c>
      <c r="AQ1" s="66"/>
      <c r="AR1" s="109" t="s">
        <v>87</v>
      </c>
      <c r="AS1" s="67" t="s">
        <v>175</v>
      </c>
    </row>
    <row r="2" spans="1:45" ht="12.75">
      <c r="A2" s="101" t="s">
        <v>92</v>
      </c>
      <c r="B2" s="33">
        <v>38246</v>
      </c>
      <c r="C2" s="35">
        <v>101</v>
      </c>
      <c r="D2" s="24" t="s">
        <v>43</v>
      </c>
      <c r="E2" s="103"/>
      <c r="F2" s="90"/>
      <c r="G2" s="68"/>
      <c r="H2" s="90"/>
      <c r="I2" s="69"/>
      <c r="J2" s="68"/>
      <c r="K2" s="90"/>
      <c r="L2" s="69"/>
      <c r="M2" s="68"/>
      <c r="N2" s="90"/>
      <c r="O2" s="69"/>
      <c r="P2" s="68"/>
      <c r="Q2" s="90"/>
      <c r="R2" s="69"/>
      <c r="S2" s="68"/>
      <c r="T2" s="90"/>
      <c r="U2" s="69"/>
      <c r="V2" s="68"/>
      <c r="W2" s="90"/>
      <c r="X2" s="69"/>
      <c r="Y2" s="68"/>
      <c r="Z2" s="90"/>
      <c r="AA2" s="69"/>
      <c r="AB2" s="68"/>
      <c r="AC2" s="90"/>
      <c r="AD2" s="69"/>
      <c r="AE2" s="68"/>
      <c r="AF2" s="90"/>
      <c r="AG2" s="69"/>
      <c r="AH2" s="68"/>
      <c r="AI2" s="90"/>
      <c r="AJ2" s="69"/>
      <c r="AK2" s="68"/>
      <c r="AL2" s="90"/>
      <c r="AM2" s="69"/>
      <c r="AN2" s="68"/>
      <c r="AO2" s="90"/>
      <c r="AP2" s="90"/>
      <c r="AQ2" s="68"/>
      <c r="AR2" s="90"/>
      <c r="AS2" s="69"/>
    </row>
    <row r="3" spans="1:45" ht="12.75">
      <c r="A3" s="101" t="s">
        <v>93</v>
      </c>
      <c r="B3" s="104">
        <v>38246</v>
      </c>
      <c r="C3" s="105">
        <v>101</v>
      </c>
      <c r="D3" s="101" t="s">
        <v>10</v>
      </c>
      <c r="E3" s="101" t="s">
        <v>11</v>
      </c>
      <c r="F3" s="89">
        <v>4085</v>
      </c>
      <c r="G3" s="68"/>
      <c r="H3" s="90"/>
      <c r="I3" s="69"/>
      <c r="J3" s="68"/>
      <c r="K3" s="97"/>
      <c r="L3" s="71"/>
      <c r="M3" s="70"/>
      <c r="N3" s="97"/>
      <c r="O3" s="71"/>
      <c r="P3" s="70"/>
      <c r="Q3" s="97"/>
      <c r="R3" s="71"/>
      <c r="S3" s="70"/>
      <c r="T3" s="97"/>
      <c r="U3" s="71"/>
      <c r="V3" s="70"/>
      <c r="W3" s="97"/>
      <c r="X3" s="71"/>
      <c r="Y3" s="70"/>
      <c r="Z3" s="97"/>
      <c r="AA3" s="71"/>
      <c r="AB3" s="70"/>
      <c r="AC3" s="97"/>
      <c r="AD3" s="71"/>
      <c r="AE3" s="70"/>
      <c r="AF3" s="97"/>
      <c r="AG3" s="71"/>
      <c r="AH3" s="70"/>
      <c r="AI3" s="97"/>
      <c r="AJ3" s="71"/>
      <c r="AK3" s="70"/>
      <c r="AL3" s="97"/>
      <c r="AM3" s="71"/>
      <c r="AN3" s="70"/>
      <c r="AO3" s="97"/>
      <c r="AP3" s="97"/>
      <c r="AQ3" s="70"/>
      <c r="AR3" s="97"/>
      <c r="AS3" s="71"/>
    </row>
    <row r="4" spans="1:45" ht="12.75">
      <c r="A4" s="101" t="s">
        <v>94</v>
      </c>
      <c r="B4" s="104">
        <v>38246</v>
      </c>
      <c r="C4" s="105">
        <v>101</v>
      </c>
      <c r="D4" s="101" t="s">
        <v>6</v>
      </c>
      <c r="E4" s="101" t="s">
        <v>7</v>
      </c>
      <c r="F4" s="89">
        <v>4091</v>
      </c>
      <c r="G4" s="110">
        <v>1</v>
      </c>
      <c r="H4" s="91">
        <f>'NH4Cl Leach'!G4/1000*'Horizon Thicknesses'!$J4</f>
        <v>32.429293403937436</v>
      </c>
      <c r="I4" s="82">
        <f>'NH4Cl Leach'!G4/1000*'Horizon Thicknesses'!$L4</f>
        <v>9.540714948067096</v>
      </c>
      <c r="J4" s="110">
        <v>1</v>
      </c>
      <c r="K4" s="100">
        <f>'NH4Cl Leach'!H4/1000*'Horizon Thicknesses'!$J4</f>
        <v>2.1180843939606606</v>
      </c>
      <c r="L4" s="80">
        <f>'NH4Cl Leach'!H4/1000*'Horizon Thicknesses'!$L4</f>
        <v>0.6231415278469968</v>
      </c>
      <c r="M4" s="110">
        <v>1</v>
      </c>
      <c r="N4" s="91">
        <f>'NH4Cl Leach'!I4/1000*'Horizon Thicknesses'!$J4</f>
        <v>5.157432021980078</v>
      </c>
      <c r="O4" s="82">
        <f>'NH4Cl Leach'!I4/1000*'Horizon Thicknesses'!$L4</f>
        <v>1.5173191772279224</v>
      </c>
      <c r="P4" s="110">
        <v>1</v>
      </c>
      <c r="Q4" s="98">
        <f>'NH4Cl Leach'!J4/1000*'Horizon Thicknesses'!$J4</f>
        <v>12.913328373918446</v>
      </c>
      <c r="R4" s="82">
        <f>'NH4Cl Leach'!J4/1000*'Horizon Thicknesses'!$L4</f>
        <v>3.7991079087583186</v>
      </c>
      <c r="S4" s="110">
        <v>1</v>
      </c>
      <c r="T4" s="98">
        <f>'NH4Cl Leach'!K4/1000*'Horizon Thicknesses'!$J4</f>
        <v>11.249890170427538</v>
      </c>
      <c r="U4" s="82">
        <f>'NH4Cl Leach'!K4/1000*'Horizon Thicknesses'!$L4</f>
        <v>3.3097235260784093</v>
      </c>
      <c r="V4" s="110">
        <v>1</v>
      </c>
      <c r="W4" s="98">
        <f>'NH4Cl Leach'!L4/1000*'Horizon Thicknesses'!$J4</f>
        <v>2.169088187311788</v>
      </c>
      <c r="X4" s="82">
        <f>'NH4Cl Leach'!L4/1000*'Horizon Thicknesses'!$L4</f>
        <v>0.6381468703184472</v>
      </c>
      <c r="Y4" s="110">
        <v>1</v>
      </c>
      <c r="Z4" s="98">
        <f>'NH4Cl Leach'!M4/1000*'Horizon Thicknesses'!$J4</f>
        <v>0.6738452719307646</v>
      </c>
      <c r="AA4" s="82">
        <f>'NH4Cl Leach'!M4/1000*'Horizon Thicknesses'!$L4</f>
        <v>0.19824562868254178</v>
      </c>
      <c r="AB4" s="110">
        <v>1</v>
      </c>
      <c r="AC4" s="98">
        <f>'NH4Cl Leach'!N4/1000*'Horizon Thicknesses'!$J4</f>
        <v>1.4937398666971289</v>
      </c>
      <c r="AD4" s="82">
        <f>'NH4Cl Leach'!N4/1000*'Horizon Thicknesses'!$L4</f>
        <v>0.43945904393312213</v>
      </c>
      <c r="AE4" s="117">
        <v>0</v>
      </c>
      <c r="AF4" s="115">
        <f>AF$48/1000*'Horizon Thicknesses'!$J4</f>
        <v>1.3481461197957205</v>
      </c>
      <c r="AG4" s="116">
        <f>AF$48/1000*'Horizon Thicknesses'!$L4</f>
        <v>0.39662528804133607</v>
      </c>
      <c r="AH4" s="110">
        <v>1</v>
      </c>
      <c r="AI4" s="98">
        <f>'NH4Cl Leach'!P4/1000*'Horizon Thicknesses'!$J4</f>
        <v>2.0146695378284716</v>
      </c>
      <c r="AJ4" s="80">
        <f>'NH4Cl Leach'!P4/1000*'Horizon Thicknesses'!$L4</f>
        <v>0.5927168235075311</v>
      </c>
      <c r="AK4" s="110">
        <v>1</v>
      </c>
      <c r="AL4" s="98">
        <f>'NH4Cl Leach'!Q4/1000*'Horizon Thicknesses'!$J4</f>
        <v>15.288853647181414</v>
      </c>
      <c r="AM4" s="80">
        <f>'NH4Cl Leach'!Q4/1000*'Horizon Thicknesses'!$L4</f>
        <v>4.497988676890608</v>
      </c>
      <c r="AN4" s="112">
        <v>0</v>
      </c>
      <c r="AO4" s="99">
        <f>AO$48/1000*'Horizon Thicknesses'!$J4</f>
        <v>0.013481461197957208</v>
      </c>
      <c r="AP4" s="99">
        <f>AO$48/1000*'Horizon Thicknesses'!$L4</f>
        <v>0.003966252880413361</v>
      </c>
      <c r="AQ4" s="112">
        <v>0</v>
      </c>
      <c r="AR4" s="115">
        <f>AR$48/1000*'Horizon Thicknesses'!$J4</f>
        <v>0.6740730598978603</v>
      </c>
      <c r="AS4" s="116">
        <f>AR$48/1000*'Horizon Thicknesses'!$L4</f>
        <v>0.19831264402066803</v>
      </c>
    </row>
    <row r="5" spans="1:45" ht="12.75">
      <c r="A5" s="101" t="s">
        <v>95</v>
      </c>
      <c r="B5" s="104">
        <v>38246</v>
      </c>
      <c r="C5" s="105">
        <v>101</v>
      </c>
      <c r="D5" s="101" t="s">
        <v>8</v>
      </c>
      <c r="E5" s="101" t="s">
        <v>7</v>
      </c>
      <c r="F5" s="89">
        <v>4089</v>
      </c>
      <c r="G5" s="111"/>
      <c r="H5" s="92"/>
      <c r="I5" s="83"/>
      <c r="J5" s="111"/>
      <c r="K5" s="114"/>
      <c r="L5" s="81"/>
      <c r="M5" s="111"/>
      <c r="N5" s="92"/>
      <c r="O5" s="83"/>
      <c r="P5" s="111"/>
      <c r="Q5" s="97"/>
      <c r="R5" s="71"/>
      <c r="S5" s="111"/>
      <c r="T5" s="97"/>
      <c r="U5" s="71"/>
      <c r="V5" s="111"/>
      <c r="W5" s="97"/>
      <c r="X5" s="71"/>
      <c r="Y5" s="111"/>
      <c r="Z5" s="97"/>
      <c r="AA5" s="71"/>
      <c r="AB5" s="111"/>
      <c r="AC5" s="97"/>
      <c r="AD5" s="71"/>
      <c r="AE5" s="118"/>
      <c r="AF5" s="97"/>
      <c r="AG5" s="71"/>
      <c r="AH5" s="111"/>
      <c r="AI5" s="97"/>
      <c r="AJ5" s="71"/>
      <c r="AK5" s="111"/>
      <c r="AL5" s="97"/>
      <c r="AM5" s="71"/>
      <c r="AN5" s="111"/>
      <c r="AO5" s="97"/>
      <c r="AP5" s="97"/>
      <c r="AQ5" s="111"/>
      <c r="AR5" s="97"/>
      <c r="AS5" s="71"/>
    </row>
    <row r="6" spans="1:45" ht="12.75">
      <c r="A6" s="101" t="s">
        <v>96</v>
      </c>
      <c r="B6" s="104">
        <v>38245</v>
      </c>
      <c r="C6" s="105" t="s">
        <v>19</v>
      </c>
      <c r="D6" s="24" t="s">
        <v>43</v>
      </c>
      <c r="E6" s="103"/>
      <c r="F6" s="90"/>
      <c r="G6" s="111"/>
      <c r="H6" s="92"/>
      <c r="I6" s="83"/>
      <c r="J6" s="111"/>
      <c r="K6" s="114"/>
      <c r="L6" s="81"/>
      <c r="M6" s="111"/>
      <c r="N6" s="92"/>
      <c r="O6" s="83"/>
      <c r="P6" s="111"/>
      <c r="Q6" s="97"/>
      <c r="R6" s="71"/>
      <c r="S6" s="111"/>
      <c r="T6" s="97"/>
      <c r="U6" s="71"/>
      <c r="V6" s="111"/>
      <c r="W6" s="97"/>
      <c r="X6" s="71"/>
      <c r="Y6" s="111"/>
      <c r="Z6" s="97"/>
      <c r="AA6" s="71"/>
      <c r="AB6" s="111"/>
      <c r="AC6" s="97"/>
      <c r="AD6" s="71"/>
      <c r="AE6" s="118"/>
      <c r="AF6" s="97"/>
      <c r="AG6" s="71"/>
      <c r="AH6" s="111"/>
      <c r="AI6" s="97"/>
      <c r="AJ6" s="71"/>
      <c r="AK6" s="111"/>
      <c r="AL6" s="97"/>
      <c r="AM6" s="71"/>
      <c r="AN6" s="111"/>
      <c r="AO6" s="97"/>
      <c r="AP6" s="97"/>
      <c r="AQ6" s="111"/>
      <c r="AR6" s="97"/>
      <c r="AS6" s="71"/>
    </row>
    <row r="7" spans="1:45" ht="12.75">
      <c r="A7" s="101" t="s">
        <v>97</v>
      </c>
      <c r="B7" s="104">
        <v>38245</v>
      </c>
      <c r="C7" s="105" t="s">
        <v>19</v>
      </c>
      <c r="D7" s="101" t="s">
        <v>10</v>
      </c>
      <c r="E7" s="101" t="s">
        <v>11</v>
      </c>
      <c r="F7" s="89">
        <v>4009</v>
      </c>
      <c r="G7" s="111"/>
      <c r="H7" s="92"/>
      <c r="I7" s="83"/>
      <c r="J7" s="111"/>
      <c r="K7" s="114"/>
      <c r="L7" s="81"/>
      <c r="M7" s="111"/>
      <c r="N7" s="92"/>
      <c r="O7" s="83"/>
      <c r="P7" s="111"/>
      <c r="Q7" s="97"/>
      <c r="R7" s="71"/>
      <c r="S7" s="111"/>
      <c r="T7" s="97"/>
      <c r="U7" s="71"/>
      <c r="V7" s="111"/>
      <c r="W7" s="97"/>
      <c r="X7" s="71"/>
      <c r="Y7" s="111"/>
      <c r="Z7" s="97"/>
      <c r="AA7" s="71"/>
      <c r="AB7" s="111"/>
      <c r="AC7" s="97"/>
      <c r="AD7" s="71"/>
      <c r="AE7" s="118"/>
      <c r="AF7" s="97"/>
      <c r="AG7" s="71"/>
      <c r="AH7" s="111"/>
      <c r="AI7" s="97"/>
      <c r="AJ7" s="71"/>
      <c r="AK7" s="111"/>
      <c r="AL7" s="97"/>
      <c r="AM7" s="71"/>
      <c r="AN7" s="111"/>
      <c r="AO7" s="97"/>
      <c r="AP7" s="97"/>
      <c r="AQ7" s="111"/>
      <c r="AR7" s="97"/>
      <c r="AS7" s="71"/>
    </row>
    <row r="8" spans="1:45" ht="12.75">
      <c r="A8" s="101" t="s">
        <v>98</v>
      </c>
      <c r="B8" s="104">
        <v>38245</v>
      </c>
      <c r="C8" s="105" t="s">
        <v>19</v>
      </c>
      <c r="D8" s="101" t="s">
        <v>9</v>
      </c>
      <c r="E8" s="101" t="s">
        <v>7</v>
      </c>
      <c r="F8" s="89">
        <v>4007</v>
      </c>
      <c r="G8" s="110">
        <v>1</v>
      </c>
      <c r="H8" s="91">
        <f>'NH4Cl Leach'!G8/1000*'Horizon Thicknesses'!$J8</f>
        <v>5.101252721448022</v>
      </c>
      <c r="I8" s="82">
        <f>'NH4Cl Leach'!G8/1000*'Horizon Thicknesses'!$L8</f>
        <v>1.7876064426798481</v>
      </c>
      <c r="J8" s="112">
        <v>0</v>
      </c>
      <c r="K8" s="115">
        <f>K$48/1000*'Horizon Thicknesses'!$J8</f>
        <v>0.14853874603781844</v>
      </c>
      <c r="L8" s="116">
        <f>K$48/1000*'Horizon Thicknesses'!$L8</f>
        <v>0.052051688850541414</v>
      </c>
      <c r="M8" s="113">
        <v>1</v>
      </c>
      <c r="N8" s="91">
        <f>'NH4Cl Leach'!I8/1000*'Horizon Thicknesses'!$J8</f>
        <v>4.032645785269931</v>
      </c>
      <c r="O8" s="82">
        <f>'NH4Cl Leach'!I8/1000*'Horizon Thicknesses'!$L8</f>
        <v>1.4131398659167012</v>
      </c>
      <c r="P8" s="110">
        <v>1</v>
      </c>
      <c r="Q8" s="98">
        <f>'NH4Cl Leach'!J8/1000*'Horizon Thicknesses'!$J8</f>
        <v>2.477304937478302</v>
      </c>
      <c r="R8" s="77">
        <f>'NH4Cl Leach'!J8/1000*'Horizon Thicknesses'!$L8</f>
        <v>0.8681095622060789</v>
      </c>
      <c r="S8" s="113">
        <v>1</v>
      </c>
      <c r="T8" s="98">
        <f>'NH4Cl Leach'!K8/1000*'Horizon Thicknesses'!$J8</f>
        <v>1.9352611633143837</v>
      </c>
      <c r="U8" s="77">
        <f>'NH4Cl Leach'!K8/1000*'Horizon Thicknesses'!$L8</f>
        <v>0.6781638771323006</v>
      </c>
      <c r="V8" s="113">
        <v>1</v>
      </c>
      <c r="W8" s="98">
        <f>'NH4Cl Leach'!L8/1000*'Horizon Thicknesses'!$J8</f>
        <v>0.3286422818899019</v>
      </c>
      <c r="X8" s="77">
        <f>'NH4Cl Leach'!L8/1000*'Horizon Thicknesses'!$L8</f>
        <v>0.11516446891041987</v>
      </c>
      <c r="Y8" s="113">
        <v>1</v>
      </c>
      <c r="Z8" s="98">
        <f>'NH4Cl Leach'!M8/1000*'Horizon Thicknesses'!$J8</f>
        <v>0.18010367392501261</v>
      </c>
      <c r="AA8" s="77">
        <f>'NH4Cl Leach'!M8/1000*'Horizon Thicknesses'!$L8</f>
        <v>0.06311282844408352</v>
      </c>
      <c r="AB8" s="113">
        <v>1</v>
      </c>
      <c r="AC8" s="98">
        <f>'NH4Cl Leach'!N8/1000*'Horizon Thicknesses'!$J8</f>
        <v>0.38576117276026406</v>
      </c>
      <c r="AD8" s="77">
        <f>'NH4Cl Leach'!N8/1000*'Horizon Thicknesses'!$L8</f>
        <v>0.13518035577077583</v>
      </c>
      <c r="AE8" s="117">
        <v>0</v>
      </c>
      <c r="AF8" s="115">
        <f>AF$48/1000*'Horizon Thicknesses'!$J8</f>
        <v>0.24756457672969742</v>
      </c>
      <c r="AG8" s="116">
        <f>AF$48/1000*'Horizon Thicknesses'!$L8</f>
        <v>0.08675281475090235</v>
      </c>
      <c r="AH8" s="113">
        <v>1</v>
      </c>
      <c r="AI8" s="98">
        <f>'NH4Cl Leach'!P8/1000*'Horizon Thicknesses'!$J8</f>
        <v>0.3080668368164524</v>
      </c>
      <c r="AJ8" s="77">
        <f>'NH4Cl Leach'!P8/1000*'Horizon Thicknesses'!$L8</f>
        <v>0.10795431874090168</v>
      </c>
      <c r="AK8" s="113">
        <v>1</v>
      </c>
      <c r="AL8" s="98">
        <f>'NH4Cl Leach'!Q8/1000*'Horizon Thicknesses'!$J8</f>
        <v>1.2437091577143713</v>
      </c>
      <c r="AM8" s="77">
        <f>'NH4Cl Leach'!Q8/1000*'Horizon Thicknesses'!$L8</f>
        <v>0.43582677129531644</v>
      </c>
      <c r="AN8" s="113">
        <v>1</v>
      </c>
      <c r="AO8" s="98">
        <f>'NH4Cl Leach'!R8/1000*'Horizon Thicknesses'!$J8</f>
        <v>0.01811547839155546</v>
      </c>
      <c r="AP8" s="98">
        <f>'NH4Cl Leach'!R8/1000*'Horizon Thicknesses'!$L8</f>
        <v>0.006348116365381698</v>
      </c>
      <c r="AQ8" s="112">
        <v>0</v>
      </c>
      <c r="AR8" s="115">
        <f>AR$48/1000*'Horizon Thicknesses'!$J8</f>
        <v>0.12378228836484871</v>
      </c>
      <c r="AS8" s="116">
        <f>AR$48/1000*'Horizon Thicknesses'!$L8</f>
        <v>0.043376407375451176</v>
      </c>
    </row>
    <row r="9" spans="1:45" ht="12.75">
      <c r="A9" s="101" t="s">
        <v>99</v>
      </c>
      <c r="B9" s="104">
        <v>38245</v>
      </c>
      <c r="C9" s="105" t="s">
        <v>19</v>
      </c>
      <c r="D9" s="101" t="s">
        <v>18</v>
      </c>
      <c r="E9" s="101" t="s">
        <v>7</v>
      </c>
      <c r="F9" s="89">
        <v>4001</v>
      </c>
      <c r="G9" s="110">
        <v>1</v>
      </c>
      <c r="H9" s="91">
        <f>'NH4Cl Leach'!G9/1000*'Horizon Thicknesses'!$J9</f>
        <v>5.785466513724212</v>
      </c>
      <c r="I9" s="82">
        <f>'NH4Cl Leach'!G9/1000*'Horizon Thicknesses'!$L9</f>
        <v>1.628917756291283</v>
      </c>
      <c r="J9" s="110">
        <v>1</v>
      </c>
      <c r="K9" s="100">
        <f>'NH4Cl Leach'!H9/1000*'Horizon Thicknesses'!$J9</f>
        <v>0.23996230876435357</v>
      </c>
      <c r="L9" s="80">
        <f>'NH4Cl Leach'!H9/1000*'Horizon Thicknesses'!$L9</f>
        <v>0.06756220343850732</v>
      </c>
      <c r="M9" s="110">
        <v>1</v>
      </c>
      <c r="N9" s="91">
        <f>'NH4Cl Leach'!I9/1000*'Horizon Thicknesses'!$J9</f>
        <v>9.609516295450478</v>
      </c>
      <c r="O9" s="82">
        <f>'NH4Cl Leach'!I9/1000*'Horizon Thicknesses'!$L9</f>
        <v>2.705591966680232</v>
      </c>
      <c r="P9" s="110">
        <v>1</v>
      </c>
      <c r="Q9" s="98">
        <f>'NH4Cl Leach'!J9/1000*'Horizon Thicknesses'!$J9</f>
        <v>1.3554447176401039</v>
      </c>
      <c r="R9" s="77">
        <f>'NH4Cl Leach'!J9/1000*'Horizon Thicknesses'!$L9</f>
        <v>0.38163006613167977</v>
      </c>
      <c r="S9" s="110">
        <v>1</v>
      </c>
      <c r="T9" s="98">
        <f>'NH4Cl Leach'!K9/1000*'Horizon Thicknesses'!$J9</f>
        <v>1.4051846166764315</v>
      </c>
      <c r="U9" s="77">
        <f>'NH4Cl Leach'!K9/1000*'Horizon Thicknesses'!$L9</f>
        <v>0.39563450372443215</v>
      </c>
      <c r="V9" s="110">
        <v>1</v>
      </c>
      <c r="W9" s="98">
        <f>'NH4Cl Leach'!L9/1000*'Horizon Thicknesses'!$J9</f>
        <v>0.2628790766439772</v>
      </c>
      <c r="X9" s="77">
        <f>'NH4Cl Leach'!L9/1000*'Horizon Thicknesses'!$L9</f>
        <v>0.07401449730752756</v>
      </c>
      <c r="Y9" s="110">
        <v>1</v>
      </c>
      <c r="Z9" s="98">
        <f>'NH4Cl Leach'!M9/1000*'Horizon Thicknesses'!$J9</f>
        <v>0.5761620422045904</v>
      </c>
      <c r="AA9" s="77">
        <f>'NH4Cl Leach'!M9/1000*'Horizon Thicknesses'!$L9</f>
        <v>0.16222038081488468</v>
      </c>
      <c r="AB9" s="110">
        <v>1</v>
      </c>
      <c r="AC9" s="98">
        <f>'NH4Cl Leach'!N9/1000*'Horizon Thicknesses'!$J9</f>
        <v>0.2786430489289467</v>
      </c>
      <c r="AD9" s="77">
        <f>'NH4Cl Leach'!N9/1000*'Horizon Thicknesses'!$L9</f>
        <v>0.07845289727125684</v>
      </c>
      <c r="AE9" s="117">
        <v>0</v>
      </c>
      <c r="AF9" s="115">
        <f>AF$48/1000*'Horizon Thicknesses'!$J9</f>
        <v>0.09570274287530636</v>
      </c>
      <c r="AG9" s="116">
        <f>AF$48/1000*'Horizon Thicknesses'!$L9</f>
        <v>0.026945432460037715</v>
      </c>
      <c r="AH9" s="110">
        <v>1</v>
      </c>
      <c r="AI9" s="98">
        <f>'NH4Cl Leach'!P9/1000*'Horizon Thicknesses'!$J9</f>
        <v>0.10602057642754671</v>
      </c>
      <c r="AJ9" s="77">
        <f>'NH4Cl Leach'!P9/1000*'Horizon Thicknesses'!$L9</f>
        <v>0.029850453557270434</v>
      </c>
      <c r="AK9" s="110">
        <v>1</v>
      </c>
      <c r="AL9" s="98">
        <f>'NH4Cl Leach'!Q9/1000*'Horizon Thicknesses'!$J9</f>
        <v>0.6017584745941809</v>
      </c>
      <c r="AM9" s="77">
        <f>'NH4Cl Leach'!Q9/1000*'Horizon Thicknesses'!$L9</f>
        <v>0.16942714333234218</v>
      </c>
      <c r="AN9" s="110">
        <v>1</v>
      </c>
      <c r="AO9" s="98">
        <f>'NH4Cl Leach'!R9/1000*'Horizon Thicknesses'!$J9</f>
        <v>0.06851708038655564</v>
      </c>
      <c r="AP9" s="98">
        <f>'NH4Cl Leach'!R9/1000*'Horizon Thicknesses'!$L9</f>
        <v>0.01929121680786518</v>
      </c>
      <c r="AQ9" s="112">
        <v>0</v>
      </c>
      <c r="AR9" s="115">
        <f>AR$48/1000*'Horizon Thicknesses'!$J9</f>
        <v>0.04785137143765318</v>
      </c>
      <c r="AS9" s="116">
        <f>AR$48/1000*'Horizon Thicknesses'!$L9</f>
        <v>0.013472716230018857</v>
      </c>
    </row>
    <row r="10" spans="1:45" ht="12.75">
      <c r="A10" s="101" t="s">
        <v>100</v>
      </c>
      <c r="B10" s="104">
        <v>38245</v>
      </c>
      <c r="C10" s="105" t="s">
        <v>19</v>
      </c>
      <c r="D10" s="101" t="s">
        <v>6</v>
      </c>
      <c r="E10" s="101" t="s">
        <v>7</v>
      </c>
      <c r="F10" s="89">
        <v>4003</v>
      </c>
      <c r="G10" s="110">
        <v>1</v>
      </c>
      <c r="H10" s="91">
        <f>'NH4Cl Leach'!G10/1000*'Horizon Thicknesses'!$J10</f>
        <v>8.45938685283193</v>
      </c>
      <c r="I10" s="82">
        <f>'NH4Cl Leach'!G10/1000*'Horizon Thicknesses'!$L10</f>
        <v>2.3817691139041357</v>
      </c>
      <c r="J10" s="110">
        <v>1</v>
      </c>
      <c r="K10" s="100">
        <f>'NH4Cl Leach'!H10/1000*'Horizon Thicknesses'!$J10</f>
        <v>2.249745108543244</v>
      </c>
      <c r="L10" s="80">
        <f>'NH4Cl Leach'!H10/1000*'Horizon Thicknesses'!$L10</f>
        <v>0.6334233800752823</v>
      </c>
      <c r="M10" s="110">
        <v>1</v>
      </c>
      <c r="N10" s="91">
        <f>'NH4Cl Leach'!I10/1000*'Horizon Thicknesses'!$J10</f>
        <v>3.2848074687722133</v>
      </c>
      <c r="O10" s="82">
        <f>'NH4Cl Leach'!I10/1000*'Horizon Thicknesses'!$L10</f>
        <v>0.9248487047999436</v>
      </c>
      <c r="P10" s="112">
        <v>0</v>
      </c>
      <c r="Q10" s="115">
        <f>Q$48/1000*'Horizon Thicknesses'!$J10</f>
        <v>7.0580772870538455</v>
      </c>
      <c r="R10" s="116">
        <f>Q$48/1000*'Horizon Thicknesses'!$L10</f>
        <v>1.9872256439277818</v>
      </c>
      <c r="S10" s="110">
        <v>1</v>
      </c>
      <c r="T10" s="98">
        <f>'NH4Cl Leach'!K10/1000*'Horizon Thicknesses'!$J10</f>
        <v>7.60076619074014</v>
      </c>
      <c r="U10" s="77">
        <f>'NH4Cl Leach'!K10/1000*'Horizon Thicknesses'!$L10</f>
        <v>2.1400215488491656</v>
      </c>
      <c r="V10" s="110">
        <v>1</v>
      </c>
      <c r="W10" s="98">
        <f>'NH4Cl Leach'!L10/1000*'Horizon Thicknesses'!$J10</f>
        <v>3.796062439394805</v>
      </c>
      <c r="X10" s="77">
        <f>'NH4Cl Leach'!L10/1000*'Horizon Thicknesses'!$L10</f>
        <v>1.0687942790529064</v>
      </c>
      <c r="Y10" s="110">
        <v>1</v>
      </c>
      <c r="Z10" s="98">
        <f>'NH4Cl Leach'!M10/1000*'Horizon Thicknesses'!$J10</f>
        <v>1.7892330200982942</v>
      </c>
      <c r="AA10" s="77">
        <f>'NH4Cl Leach'!M10/1000*'Horizon Thicknesses'!$L10</f>
        <v>0.5037646367267042</v>
      </c>
      <c r="AB10" s="110">
        <v>1</v>
      </c>
      <c r="AC10" s="98">
        <f>'NH4Cl Leach'!N10/1000*'Horizon Thicknesses'!$J10</f>
        <v>1.3009470625010398</v>
      </c>
      <c r="AD10" s="77">
        <f>'NH4Cl Leach'!N10/1000*'Horizon Thicknesses'!$L10</f>
        <v>0.36628606614106946</v>
      </c>
      <c r="AE10" s="117">
        <v>0</v>
      </c>
      <c r="AF10" s="115">
        <f>AF$48/1000*'Horizon Thicknesses'!$J10</f>
        <v>1.4116154574107689</v>
      </c>
      <c r="AG10" s="116">
        <f>AF$48/1000*'Horizon Thicknesses'!$L10</f>
        <v>0.39744512878555627</v>
      </c>
      <c r="AH10" s="110">
        <v>1</v>
      </c>
      <c r="AI10" s="98">
        <f>'NH4Cl Leach'!P10/1000*'Horizon Thicknesses'!$J10</f>
        <v>1.5203935623782392</v>
      </c>
      <c r="AJ10" s="77">
        <f>'NH4Cl Leach'!P10/1000*'Horizon Thicknesses'!$L10</f>
        <v>0.42807197387348483</v>
      </c>
      <c r="AK10" s="110">
        <v>1</v>
      </c>
      <c r="AL10" s="98">
        <f>'NH4Cl Leach'!Q10/1000*'Horizon Thicknesses'!$J10</f>
        <v>12.160721955655706</v>
      </c>
      <c r="AM10" s="77">
        <f>'NH4Cl Leach'!Q10/1000*'Horizon Thicknesses'!$L10</f>
        <v>3.423892589456461</v>
      </c>
      <c r="AN10" s="112">
        <v>0</v>
      </c>
      <c r="AO10" s="99">
        <f>AO$48/1000*'Horizon Thicknesses'!$J10</f>
        <v>0.01411615457410769</v>
      </c>
      <c r="AP10" s="99">
        <f>AO$48/1000*'Horizon Thicknesses'!$L10</f>
        <v>0.0039744512878555635</v>
      </c>
      <c r="AQ10" s="112">
        <v>0</v>
      </c>
      <c r="AR10" s="115">
        <f>AR$48/1000*'Horizon Thicknesses'!$J10</f>
        <v>0.7058077287053844</v>
      </c>
      <c r="AS10" s="116">
        <f>AR$48/1000*'Horizon Thicknesses'!$L10</f>
        <v>0.19872256439277813</v>
      </c>
    </row>
    <row r="11" spans="1:45" ht="12.75">
      <c r="A11" s="101" t="s">
        <v>101</v>
      </c>
      <c r="B11" s="104">
        <v>38245</v>
      </c>
      <c r="C11" s="105" t="s">
        <v>19</v>
      </c>
      <c r="D11" s="101" t="s">
        <v>8</v>
      </c>
      <c r="E11" s="101" t="s">
        <v>7</v>
      </c>
      <c r="F11" s="89">
        <v>4005</v>
      </c>
      <c r="G11" s="111"/>
      <c r="H11" s="92"/>
      <c r="I11" s="83"/>
      <c r="J11" s="111"/>
      <c r="K11" s="114"/>
      <c r="L11" s="81"/>
      <c r="M11" s="111"/>
      <c r="N11" s="92"/>
      <c r="O11" s="83"/>
      <c r="P11" s="111"/>
      <c r="Q11" s="97"/>
      <c r="R11" s="71"/>
      <c r="S11" s="111"/>
      <c r="T11" s="97"/>
      <c r="U11" s="71"/>
      <c r="V11" s="111"/>
      <c r="W11" s="97"/>
      <c r="X11" s="71"/>
      <c r="Y11" s="111"/>
      <c r="Z11" s="97"/>
      <c r="AA11" s="71"/>
      <c r="AB11" s="111"/>
      <c r="AC11" s="97"/>
      <c r="AD11" s="71"/>
      <c r="AE11" s="118"/>
      <c r="AF11" s="97"/>
      <c r="AG11" s="71"/>
      <c r="AH11" s="111"/>
      <c r="AI11" s="97"/>
      <c r="AJ11" s="71"/>
      <c r="AK11" s="111"/>
      <c r="AL11" s="97"/>
      <c r="AM11" s="71"/>
      <c r="AN11" s="111"/>
      <c r="AO11" s="97"/>
      <c r="AP11" s="97"/>
      <c r="AQ11" s="111"/>
      <c r="AR11" s="97"/>
      <c r="AS11" s="71"/>
    </row>
    <row r="12" spans="1:45" ht="12.75">
      <c r="A12" s="101" t="s">
        <v>102</v>
      </c>
      <c r="B12" s="104">
        <v>38161</v>
      </c>
      <c r="C12" s="105" t="s">
        <v>5</v>
      </c>
      <c r="D12" s="24" t="s">
        <v>43</v>
      </c>
      <c r="E12" s="103"/>
      <c r="F12" s="90"/>
      <c r="G12" s="111"/>
      <c r="H12" s="92"/>
      <c r="I12" s="83"/>
      <c r="J12" s="111"/>
      <c r="K12" s="114"/>
      <c r="L12" s="81"/>
      <c r="M12" s="111"/>
      <c r="N12" s="92"/>
      <c r="O12" s="83"/>
      <c r="P12" s="111"/>
      <c r="Q12" s="97"/>
      <c r="R12" s="71"/>
      <c r="S12" s="111"/>
      <c r="T12" s="97"/>
      <c r="U12" s="71"/>
      <c r="V12" s="111"/>
      <c r="W12" s="97"/>
      <c r="X12" s="71"/>
      <c r="Y12" s="111"/>
      <c r="Z12" s="97"/>
      <c r="AA12" s="71"/>
      <c r="AB12" s="111"/>
      <c r="AC12" s="97"/>
      <c r="AD12" s="71"/>
      <c r="AE12" s="118"/>
      <c r="AF12" s="97"/>
      <c r="AG12" s="71"/>
      <c r="AH12" s="111"/>
      <c r="AI12" s="97"/>
      <c r="AJ12" s="71"/>
      <c r="AK12" s="111"/>
      <c r="AL12" s="97"/>
      <c r="AM12" s="71"/>
      <c r="AN12" s="111"/>
      <c r="AO12" s="97"/>
      <c r="AP12" s="97"/>
      <c r="AQ12" s="111"/>
      <c r="AR12" s="97"/>
      <c r="AS12" s="71"/>
    </row>
    <row r="13" spans="1:45" ht="12.75">
      <c r="A13" s="101" t="s">
        <v>103</v>
      </c>
      <c r="B13" s="104">
        <v>38161</v>
      </c>
      <c r="C13" s="105" t="s">
        <v>5</v>
      </c>
      <c r="D13" s="101" t="s">
        <v>10</v>
      </c>
      <c r="E13" s="101" t="s">
        <v>11</v>
      </c>
      <c r="F13" s="89">
        <v>4059</v>
      </c>
      <c r="G13" s="111"/>
      <c r="H13" s="92"/>
      <c r="I13" s="83"/>
      <c r="J13" s="111"/>
      <c r="K13" s="114"/>
      <c r="L13" s="81"/>
      <c r="M13" s="111"/>
      <c r="N13" s="92"/>
      <c r="O13" s="83"/>
      <c r="P13" s="111"/>
      <c r="Q13" s="97"/>
      <c r="R13" s="71"/>
      <c r="S13" s="111"/>
      <c r="T13" s="97"/>
      <c r="U13" s="71"/>
      <c r="V13" s="111"/>
      <c r="W13" s="97"/>
      <c r="X13" s="71"/>
      <c r="Y13" s="111"/>
      <c r="Z13" s="97"/>
      <c r="AA13" s="71"/>
      <c r="AB13" s="111"/>
      <c r="AC13" s="97"/>
      <c r="AD13" s="71"/>
      <c r="AE13" s="118"/>
      <c r="AF13" s="97"/>
      <c r="AG13" s="71"/>
      <c r="AH13" s="111"/>
      <c r="AI13" s="97"/>
      <c r="AJ13" s="71"/>
      <c r="AK13" s="111"/>
      <c r="AL13" s="97"/>
      <c r="AM13" s="71"/>
      <c r="AN13" s="111"/>
      <c r="AO13" s="97"/>
      <c r="AP13" s="97"/>
      <c r="AQ13" s="111"/>
      <c r="AR13" s="97"/>
      <c r="AS13" s="71"/>
    </row>
    <row r="14" spans="1:45" ht="12.75">
      <c r="A14" s="101" t="s">
        <v>104</v>
      </c>
      <c r="B14" s="104">
        <v>38161</v>
      </c>
      <c r="C14" s="105" t="s">
        <v>5</v>
      </c>
      <c r="D14" s="101" t="s">
        <v>9</v>
      </c>
      <c r="E14" s="101" t="s">
        <v>7</v>
      </c>
      <c r="F14" s="89">
        <v>4057</v>
      </c>
      <c r="G14" s="110">
        <v>1</v>
      </c>
      <c r="H14" s="91">
        <f>'NH4Cl Leach'!G14/1000*'Horizon Thicknesses'!$J14</f>
        <v>0.3513125690319851</v>
      </c>
      <c r="I14" s="82">
        <f>'NH4Cl Leach'!G14/1000*'Horizon Thicknesses'!$L14</f>
        <v>0.13298812368330876</v>
      </c>
      <c r="J14" s="112">
        <v>0</v>
      </c>
      <c r="K14" s="115">
        <f>K$48/1000*'Horizon Thicknesses'!$J14</f>
        <v>0.04218900469757223</v>
      </c>
      <c r="L14" s="116">
        <f>K$48/1000*'Horizon Thicknesses'!$L14</f>
        <v>0.015970497697409776</v>
      </c>
      <c r="M14" s="113">
        <v>1</v>
      </c>
      <c r="N14" s="91">
        <f>'NH4Cl Leach'!I14/1000*'Horizon Thicknesses'!$J14</f>
        <v>1.1992746804410372</v>
      </c>
      <c r="O14" s="82">
        <f>'NH4Cl Leach'!I14/1000*'Horizon Thicknesses'!$L14</f>
        <v>0.4539811654681579</v>
      </c>
      <c r="P14" s="112">
        <v>0</v>
      </c>
      <c r="Q14" s="115">
        <f>Q$48/1000*'Horizon Thicknesses'!$J14</f>
        <v>0.35157503914643534</v>
      </c>
      <c r="R14" s="116">
        <f>Q$48/1000*'Horizon Thicknesses'!$L14</f>
        <v>0.13308748081174815</v>
      </c>
      <c r="S14" s="113">
        <v>1</v>
      </c>
      <c r="T14" s="98">
        <f>'NH4Cl Leach'!K14/1000*'Horizon Thicknesses'!$J14</f>
        <v>0.6730187292238703</v>
      </c>
      <c r="U14" s="77">
        <f>'NH4Cl Leach'!K14/1000*'Horizon Thicknesses'!$L14</f>
        <v>0.2547688465853283</v>
      </c>
      <c r="V14" s="113">
        <v>1</v>
      </c>
      <c r="W14" s="98">
        <f>'NH4Cl Leach'!L14/1000*'Horizon Thicknesses'!$J14</f>
        <v>0.13745121832979804</v>
      </c>
      <c r="X14" s="77">
        <f>'NH4Cl Leach'!L14/1000*'Horizon Thicknesses'!$L14</f>
        <v>0.05203166990020338</v>
      </c>
      <c r="Y14" s="112">
        <v>0</v>
      </c>
      <c r="Z14" s="115">
        <f>Z$48/1000*'Horizon Thicknesses'!$J14</f>
        <v>0.007031500782928706</v>
      </c>
      <c r="AA14" s="116">
        <f>Z$48/1000*'Horizon Thicknesses'!$L14</f>
        <v>0.002661749616234963</v>
      </c>
      <c r="AB14" s="113">
        <v>1</v>
      </c>
      <c r="AC14" s="98">
        <f>'NH4Cl Leach'!N14/1000*'Horizon Thicknesses'!$J14</f>
        <v>0.10660164935897606</v>
      </c>
      <c r="AD14" s="77">
        <f>'NH4Cl Leach'!N14/1000*'Horizon Thicknesses'!$L14</f>
        <v>0.040353675272305746</v>
      </c>
      <c r="AE14" s="117">
        <v>0</v>
      </c>
      <c r="AF14" s="115">
        <f>AF$48/1000*'Horizon Thicknesses'!$J14</f>
        <v>0.07031500782928705</v>
      </c>
      <c r="AG14" s="116">
        <f>AF$48/1000*'Horizon Thicknesses'!$L14</f>
        <v>0.026617496162349628</v>
      </c>
      <c r="AH14" s="113">
        <v>1</v>
      </c>
      <c r="AI14" s="98">
        <f>'NH4Cl Leach'!P14/1000*'Horizon Thicknesses'!$J14</f>
        <v>0.09199942608751406</v>
      </c>
      <c r="AJ14" s="77">
        <f>'NH4Cl Leach'!P14/1000*'Horizon Thicknesses'!$L14</f>
        <v>0.03482605558073793</v>
      </c>
      <c r="AK14" s="113">
        <v>1</v>
      </c>
      <c r="AL14" s="98">
        <f>'NH4Cl Leach'!Q14/1000*'Horizon Thicknesses'!$J14</f>
        <v>0.0955287833115861</v>
      </c>
      <c r="AM14" s="77">
        <f>'NH4Cl Leach'!Q14/1000*'Horizon Thicknesses'!$L14</f>
        <v>0.036162081206950976</v>
      </c>
      <c r="AN14" s="113">
        <v>1</v>
      </c>
      <c r="AO14" s="98">
        <f>'NH4Cl Leach'!R14/1000*'Horizon Thicknesses'!$J14</f>
        <v>0.00823274972997641</v>
      </c>
      <c r="AP14" s="98">
        <f>'NH4Cl Leach'!R14/1000*'Horizon Thicknesses'!$L14</f>
        <v>0.0031164781333062664</v>
      </c>
      <c r="AQ14" s="112">
        <v>0</v>
      </c>
      <c r="AR14" s="115">
        <f>AR$48/1000*'Horizon Thicknesses'!$J14</f>
        <v>0.03515750391464353</v>
      </c>
      <c r="AS14" s="116">
        <f>AR$48/1000*'Horizon Thicknesses'!$L14</f>
        <v>0.013308748081174814</v>
      </c>
    </row>
    <row r="15" spans="1:45" ht="12.75">
      <c r="A15" s="101" t="s">
        <v>105</v>
      </c>
      <c r="B15" s="104">
        <v>38161</v>
      </c>
      <c r="C15" s="105" t="s">
        <v>5</v>
      </c>
      <c r="D15" s="101" t="s">
        <v>6</v>
      </c>
      <c r="E15" s="101" t="s">
        <v>7</v>
      </c>
      <c r="F15" s="89">
        <v>4053</v>
      </c>
      <c r="G15" s="110">
        <v>1</v>
      </c>
      <c r="H15" s="91">
        <f>'NH4Cl Leach'!G15/1000*'Horizon Thicknesses'!$J15</f>
        <v>30.36655722373559</v>
      </c>
      <c r="I15" s="82">
        <f>'NH4Cl Leach'!G15/1000*'Horizon Thicknesses'!$L15</f>
        <v>8.779987457810906</v>
      </c>
      <c r="J15" s="110">
        <v>1</v>
      </c>
      <c r="K15" s="100">
        <f>'NH4Cl Leach'!H15/1000*'Horizon Thicknesses'!$J15</f>
        <v>1.4354820593193989</v>
      </c>
      <c r="L15" s="80">
        <f>'NH4Cl Leach'!H15/1000*'Horizon Thicknesses'!$L15</f>
        <v>0.4150458803701835</v>
      </c>
      <c r="M15" s="110">
        <v>1</v>
      </c>
      <c r="N15" s="91">
        <f>'NH4Cl Leach'!I15/1000*'Horizon Thicknesses'!$J15</f>
        <v>10.923702352449656</v>
      </c>
      <c r="O15" s="82">
        <f>'NH4Cl Leach'!I15/1000*'Horizon Thicknesses'!$L15</f>
        <v>3.158407749048377</v>
      </c>
      <c r="P15" s="110">
        <v>1</v>
      </c>
      <c r="Q15" s="98">
        <f>'NH4Cl Leach'!J15/1000*'Horizon Thicknesses'!$J15</f>
        <v>12.695845249748919</v>
      </c>
      <c r="R15" s="77">
        <f>'NH4Cl Leach'!J15/1000*'Horizon Thicknesses'!$L15</f>
        <v>3.6707935390178252</v>
      </c>
      <c r="S15" s="110">
        <v>1</v>
      </c>
      <c r="T15" s="98">
        <f>'NH4Cl Leach'!K15/1000*'Horizon Thicknesses'!$J15</f>
        <v>9.306757661293101</v>
      </c>
      <c r="U15" s="77">
        <f>'NH4Cl Leach'!K15/1000*'Horizon Thicknesses'!$L15</f>
        <v>2.6908949518705736</v>
      </c>
      <c r="V15" s="110">
        <v>1</v>
      </c>
      <c r="W15" s="98">
        <f>'NH4Cl Leach'!L15/1000*'Horizon Thicknesses'!$J15</f>
        <v>0.45737441453736344</v>
      </c>
      <c r="X15" s="77">
        <f>'NH4Cl Leach'!L15/1000*'Horizon Thicknesses'!$L15</f>
        <v>0.13224224246345612</v>
      </c>
      <c r="Y15" s="110">
        <v>1</v>
      </c>
      <c r="Z15" s="98">
        <f>'NH4Cl Leach'!M15/1000*'Horizon Thicknesses'!$J15</f>
        <v>0.9401542198974726</v>
      </c>
      <c r="AA15" s="77">
        <f>'NH4Cl Leach'!M15/1000*'Horizon Thicknesses'!$L15</f>
        <v>0.2718300332266761</v>
      </c>
      <c r="AB15" s="110">
        <v>1</v>
      </c>
      <c r="AC15" s="98">
        <f>'NH4Cl Leach'!N15/1000*'Horizon Thicknesses'!$J15</f>
        <v>2.7406935298470643</v>
      </c>
      <c r="AD15" s="77">
        <f>'NH4Cl Leach'!N15/1000*'Horizon Thicknesses'!$L15</f>
        <v>0.7924261759562267</v>
      </c>
      <c r="AE15" s="117">
        <v>0</v>
      </c>
      <c r="AF15" s="115">
        <f>AF$48/1000*'Horizon Thicknesses'!$J15</f>
        <v>1.3496081691229134</v>
      </c>
      <c r="AG15" s="116">
        <f>AF$48/1000*'Horizon Thicknesses'!$L15</f>
        <v>0.39021686622401475</v>
      </c>
      <c r="AH15" s="110">
        <v>1</v>
      </c>
      <c r="AI15" s="98">
        <f>'NH4Cl Leach'!P15/1000*'Horizon Thicknesses'!$J15</f>
        <v>1.9733225016968785</v>
      </c>
      <c r="AJ15" s="77">
        <f>'NH4Cl Leach'!P15/1000*'Horizon Thicknesses'!$L15</f>
        <v>0.5705535430790359</v>
      </c>
      <c r="AK15" s="110">
        <v>1</v>
      </c>
      <c r="AL15" s="98">
        <f>'NH4Cl Leach'!Q15/1000*'Horizon Thicknesses'!$J15</f>
        <v>16.8717680140617</v>
      </c>
      <c r="AM15" s="77">
        <f>'NH4Cl Leach'!Q15/1000*'Horizon Thicknesses'!$L15</f>
        <v>4.878192495222019</v>
      </c>
      <c r="AN15" s="110">
        <v>1</v>
      </c>
      <c r="AO15" s="98">
        <f>'NH4Cl Leach'!R15/1000*'Horizon Thicknesses'!$J15</f>
        <v>0.06797887263454885</v>
      </c>
      <c r="AP15" s="98">
        <f>'NH4Cl Leach'!R15/1000*'Horizon Thicknesses'!$L15</f>
        <v>0.019654965978854584</v>
      </c>
      <c r="AQ15" s="112">
        <v>0</v>
      </c>
      <c r="AR15" s="115">
        <f>AR$48/1000*'Horizon Thicknesses'!$J15</f>
        <v>0.6748040845614567</v>
      </c>
      <c r="AS15" s="116">
        <f>AR$48/1000*'Horizon Thicknesses'!$L15</f>
        <v>0.19510843311200737</v>
      </c>
    </row>
    <row r="16" spans="1:45" ht="12.75">
      <c r="A16" s="101" t="s">
        <v>106</v>
      </c>
      <c r="B16" s="104">
        <v>38161</v>
      </c>
      <c r="C16" s="105" t="s">
        <v>5</v>
      </c>
      <c r="D16" s="101" t="s">
        <v>8</v>
      </c>
      <c r="E16" s="101" t="s">
        <v>7</v>
      </c>
      <c r="F16" s="89">
        <v>4055</v>
      </c>
      <c r="G16" s="111"/>
      <c r="H16" s="92"/>
      <c r="I16" s="83"/>
      <c r="J16" s="111"/>
      <c r="K16" s="114"/>
      <c r="L16" s="81"/>
      <c r="M16" s="111"/>
      <c r="N16" s="92"/>
      <c r="O16" s="83"/>
      <c r="P16" s="111"/>
      <c r="Q16" s="97"/>
      <c r="R16" s="71"/>
      <c r="S16" s="111"/>
      <c r="T16" s="97"/>
      <c r="U16" s="71"/>
      <c r="V16" s="111"/>
      <c r="W16" s="97"/>
      <c r="X16" s="71"/>
      <c r="Y16" s="111"/>
      <c r="Z16" s="97"/>
      <c r="AA16" s="71"/>
      <c r="AB16" s="111"/>
      <c r="AC16" s="97"/>
      <c r="AD16" s="71"/>
      <c r="AE16" s="118"/>
      <c r="AF16" s="97"/>
      <c r="AG16" s="71"/>
      <c r="AH16" s="111"/>
      <c r="AI16" s="97"/>
      <c r="AJ16" s="71"/>
      <c r="AK16" s="111"/>
      <c r="AL16" s="97"/>
      <c r="AM16" s="71"/>
      <c r="AN16" s="111"/>
      <c r="AO16" s="97"/>
      <c r="AP16" s="97"/>
      <c r="AQ16" s="111"/>
      <c r="AR16" s="97"/>
      <c r="AS16" s="71"/>
    </row>
    <row r="17" spans="1:45" ht="12.75">
      <c r="A17" s="101" t="s">
        <v>107</v>
      </c>
      <c r="B17" s="104">
        <v>38236</v>
      </c>
      <c r="C17" s="105" t="s">
        <v>21</v>
      </c>
      <c r="D17" s="24" t="s">
        <v>43</v>
      </c>
      <c r="E17" s="103"/>
      <c r="F17" s="90"/>
      <c r="G17" s="111"/>
      <c r="H17" s="92"/>
      <c r="I17" s="83"/>
      <c r="J17" s="111"/>
      <c r="K17" s="114"/>
      <c r="L17" s="81"/>
      <c r="M17" s="111"/>
      <c r="N17" s="92"/>
      <c r="O17" s="83"/>
      <c r="P17" s="111"/>
      <c r="Q17" s="97"/>
      <c r="R17" s="71"/>
      <c r="S17" s="111"/>
      <c r="T17" s="97"/>
      <c r="U17" s="71"/>
      <c r="V17" s="111"/>
      <c r="W17" s="97"/>
      <c r="X17" s="71"/>
      <c r="Y17" s="111"/>
      <c r="Z17" s="97"/>
      <c r="AA17" s="71"/>
      <c r="AB17" s="111"/>
      <c r="AC17" s="97"/>
      <c r="AD17" s="71"/>
      <c r="AE17" s="118"/>
      <c r="AF17" s="97"/>
      <c r="AG17" s="71"/>
      <c r="AH17" s="111"/>
      <c r="AI17" s="97"/>
      <c r="AJ17" s="71"/>
      <c r="AK17" s="111"/>
      <c r="AL17" s="97"/>
      <c r="AM17" s="71"/>
      <c r="AN17" s="111"/>
      <c r="AO17" s="97"/>
      <c r="AP17" s="97"/>
      <c r="AQ17" s="111"/>
      <c r="AR17" s="97"/>
      <c r="AS17" s="71"/>
    </row>
    <row r="18" spans="1:45" ht="12.75">
      <c r="A18" s="101" t="s">
        <v>108</v>
      </c>
      <c r="B18" s="104">
        <v>38236</v>
      </c>
      <c r="C18" s="105" t="s">
        <v>21</v>
      </c>
      <c r="D18" s="101" t="s">
        <v>10</v>
      </c>
      <c r="E18" s="101" t="s">
        <v>11</v>
      </c>
      <c r="F18" s="89">
        <v>4071</v>
      </c>
      <c r="G18" s="111"/>
      <c r="H18" s="92"/>
      <c r="I18" s="83"/>
      <c r="J18" s="111"/>
      <c r="K18" s="114"/>
      <c r="L18" s="81"/>
      <c r="M18" s="111"/>
      <c r="N18" s="92"/>
      <c r="O18" s="83"/>
      <c r="P18" s="111"/>
      <c r="Q18" s="97"/>
      <c r="R18" s="71"/>
      <c r="S18" s="111"/>
      <c r="T18" s="97"/>
      <c r="U18" s="71"/>
      <c r="V18" s="111"/>
      <c r="W18" s="97"/>
      <c r="X18" s="71"/>
      <c r="Y18" s="111"/>
      <c r="Z18" s="97"/>
      <c r="AA18" s="71"/>
      <c r="AB18" s="111"/>
      <c r="AC18" s="97"/>
      <c r="AD18" s="71"/>
      <c r="AE18" s="118"/>
      <c r="AF18" s="97"/>
      <c r="AG18" s="71"/>
      <c r="AH18" s="111"/>
      <c r="AI18" s="97"/>
      <c r="AJ18" s="71"/>
      <c r="AK18" s="111"/>
      <c r="AL18" s="97"/>
      <c r="AM18" s="71"/>
      <c r="AN18" s="111"/>
      <c r="AO18" s="97"/>
      <c r="AP18" s="97"/>
      <c r="AQ18" s="111"/>
      <c r="AR18" s="97"/>
      <c r="AS18" s="71"/>
    </row>
    <row r="19" spans="1:45" ht="12.75">
      <c r="A19" s="101" t="s">
        <v>109</v>
      </c>
      <c r="B19" s="104">
        <v>38236</v>
      </c>
      <c r="C19" s="105" t="s">
        <v>21</v>
      </c>
      <c r="D19" s="101" t="s">
        <v>9</v>
      </c>
      <c r="E19" s="101" t="s">
        <v>7</v>
      </c>
      <c r="F19" s="89">
        <v>4069</v>
      </c>
      <c r="G19" s="110">
        <v>1</v>
      </c>
      <c r="H19" s="91">
        <f>'NH4Cl Leach'!G19/1000*'Horizon Thicknesses'!$J19</f>
        <v>1.550956660939481</v>
      </c>
      <c r="I19" s="82">
        <f>'NH4Cl Leach'!G19/1000*'Horizon Thicknesses'!$L19</f>
        <v>0.5871091285484082</v>
      </c>
      <c r="J19" s="112">
        <v>0</v>
      </c>
      <c r="K19" s="115">
        <f>K$48/1000*'Horizon Thicknesses'!$J19</f>
        <v>0.04218900469757223</v>
      </c>
      <c r="L19" s="116">
        <f>K$48/1000*'Horizon Thicknesses'!$L19</f>
        <v>0.015970497697409776</v>
      </c>
      <c r="M19" s="113">
        <v>1</v>
      </c>
      <c r="N19" s="91">
        <f>'NH4Cl Leach'!I19/1000*'Horizon Thicknesses'!$J19</f>
        <v>0.33679101904092484</v>
      </c>
      <c r="O19" s="82">
        <f>'NH4Cl Leach'!I19/1000*'Horizon Thicknesses'!$L19</f>
        <v>0.12749104257514993</v>
      </c>
      <c r="P19" s="112">
        <v>0</v>
      </c>
      <c r="Q19" s="115">
        <f>Q$48/1000*'Horizon Thicknesses'!$J19</f>
        <v>0.35157503914643534</v>
      </c>
      <c r="R19" s="116">
        <f>Q$48/1000*'Horizon Thicknesses'!$L19</f>
        <v>0.13308748081174815</v>
      </c>
      <c r="S19" s="113">
        <v>1</v>
      </c>
      <c r="T19" s="98">
        <f>'NH4Cl Leach'!K19/1000*'Horizon Thicknesses'!$J19</f>
        <v>0.4699259822994772</v>
      </c>
      <c r="U19" s="77">
        <f>'NH4Cl Leach'!K19/1000*'Horizon Thicknesses'!$L19</f>
        <v>0.1778888094674274</v>
      </c>
      <c r="V19" s="113">
        <v>1</v>
      </c>
      <c r="W19" s="98">
        <f>'NH4Cl Leach'!L19/1000*'Horizon Thicknesses'!$J19</f>
        <v>0.0591493965246124</v>
      </c>
      <c r="X19" s="77">
        <f>'NH4Cl Leach'!L19/1000*'Horizon Thicknesses'!$L19</f>
        <v>0.022390793709666724</v>
      </c>
      <c r="Y19" s="113">
        <v>1</v>
      </c>
      <c r="Z19" s="98">
        <f>'NH4Cl Leach'!M19/1000*'Horizon Thicknesses'!$J19</f>
        <v>0.007827605659528138</v>
      </c>
      <c r="AA19" s="77">
        <f>'NH4Cl Leach'!M19/1000*'Horizon Thicknesses'!$L19</f>
        <v>0.0029631122861952615</v>
      </c>
      <c r="AB19" s="113">
        <v>1</v>
      </c>
      <c r="AC19" s="98">
        <f>'NH4Cl Leach'!N19/1000*'Horizon Thicknesses'!$J19</f>
        <v>0.08211030954447057</v>
      </c>
      <c r="AD19" s="77">
        <f>'NH4Cl Leach'!N19/1000*'Horizon Thicknesses'!$L19</f>
        <v>0.03108256568065073</v>
      </c>
      <c r="AE19" s="117">
        <v>0</v>
      </c>
      <c r="AF19" s="115">
        <f>AF$48/1000*'Horizon Thicknesses'!$J19</f>
        <v>0.07031500782928705</v>
      </c>
      <c r="AG19" s="116">
        <f>AF$48/1000*'Horizon Thicknesses'!$L19</f>
        <v>0.026617496162349628</v>
      </c>
      <c r="AH19" s="113">
        <v>1</v>
      </c>
      <c r="AI19" s="98">
        <f>'NH4Cl Leach'!P19/1000*'Horizon Thicknesses'!$J19</f>
        <v>0.07991926335276335</v>
      </c>
      <c r="AJ19" s="77">
        <f>'NH4Cl Leach'!P19/1000*'Horizon Thicknesses'!$L19</f>
        <v>0.030253152936491064</v>
      </c>
      <c r="AK19" s="113">
        <v>1</v>
      </c>
      <c r="AL19" s="98">
        <f>'NH4Cl Leach'!Q19/1000*'Horizon Thicknesses'!$J19</f>
        <v>0.12958311316475868</v>
      </c>
      <c r="AM19" s="77">
        <f>'NH4Cl Leach'!Q19/1000*'Horizon Thicknesses'!$L19</f>
        <v>0.049053226670219566</v>
      </c>
      <c r="AN19" s="113">
        <v>1</v>
      </c>
      <c r="AO19" s="98">
        <f>'NH4Cl Leach'!R19/1000*'Horizon Thicknesses'!$J19</f>
        <v>0.004238068302425741</v>
      </c>
      <c r="AP19" s="98">
        <f>'NH4Cl Leach'!R19/1000*'Horizon Thicknesses'!$L19</f>
        <v>0.0016043056846337628</v>
      </c>
      <c r="AQ19" s="112">
        <v>0</v>
      </c>
      <c r="AR19" s="115">
        <f>AR$48/1000*'Horizon Thicknesses'!$J19</f>
        <v>0.03515750391464353</v>
      </c>
      <c r="AS19" s="116">
        <f>AR$48/1000*'Horizon Thicknesses'!$L19</f>
        <v>0.013308748081174814</v>
      </c>
    </row>
    <row r="20" spans="1:45" ht="12.75">
      <c r="A20" s="101" t="s">
        <v>110</v>
      </c>
      <c r="B20" s="104">
        <v>38236</v>
      </c>
      <c r="C20" s="105" t="s">
        <v>21</v>
      </c>
      <c r="D20" s="101" t="s">
        <v>15</v>
      </c>
      <c r="E20" s="101" t="s">
        <v>7</v>
      </c>
      <c r="F20" s="89">
        <v>4063</v>
      </c>
      <c r="G20" s="110">
        <v>1</v>
      </c>
      <c r="H20" s="91">
        <f>'NH4Cl Leach'!G20/1000*'Horizon Thicknesses'!$J20</f>
        <v>30.72562750503104</v>
      </c>
      <c r="I20" s="82">
        <f>'NH4Cl Leach'!G20/1000*'Horizon Thicknesses'!$L20</f>
        <v>8.988560132529281</v>
      </c>
      <c r="J20" s="110">
        <v>1</v>
      </c>
      <c r="K20" s="100">
        <f>'NH4Cl Leach'!H20/1000*'Horizon Thicknesses'!$J20</f>
        <v>1.3300870978414887</v>
      </c>
      <c r="L20" s="80">
        <f>'NH4Cl Leach'!H20/1000*'Horizon Thicknesses'!$L20</f>
        <v>0.38910736187542355</v>
      </c>
      <c r="M20" s="110">
        <v>1</v>
      </c>
      <c r="N20" s="91">
        <f>'NH4Cl Leach'!I20/1000*'Horizon Thicknesses'!$J20</f>
        <v>3.980570448585715</v>
      </c>
      <c r="O20" s="82">
        <f>'NH4Cl Leach'!I20/1000*'Horizon Thicknesses'!$L20</f>
        <v>1.164487099019318</v>
      </c>
      <c r="P20" s="110">
        <v>1</v>
      </c>
      <c r="Q20" s="98">
        <f>'NH4Cl Leach'!J20/1000*'Horizon Thicknesses'!$J20</f>
        <v>9.378241127782983</v>
      </c>
      <c r="R20" s="77">
        <f>'NH4Cl Leach'!J20/1000*'Horizon Thicknesses'!$L20</f>
        <v>2.7435366226656797</v>
      </c>
      <c r="S20" s="110">
        <v>1</v>
      </c>
      <c r="T20" s="98">
        <f>'NH4Cl Leach'!K20/1000*'Horizon Thicknesses'!$J20</f>
        <v>4.1409392408325045</v>
      </c>
      <c r="U20" s="77">
        <f>'NH4Cl Leach'!K20/1000*'Horizon Thicknesses'!$L20</f>
        <v>1.2114018294753623</v>
      </c>
      <c r="V20" s="110">
        <v>1</v>
      </c>
      <c r="W20" s="98">
        <f>'NH4Cl Leach'!L20/1000*'Horizon Thicknesses'!$J20</f>
        <v>0.16595133336876977</v>
      </c>
      <c r="X20" s="77">
        <f>'NH4Cl Leach'!L20/1000*'Horizon Thicknesses'!$L20</f>
        <v>0.0485478624908264</v>
      </c>
      <c r="Y20" s="112">
        <v>0</v>
      </c>
      <c r="Z20" s="115">
        <f>Z$48/1000*'Horizon Thicknesses'!$J20</f>
        <v>0.0930908669043448</v>
      </c>
      <c r="AA20" s="116">
        <f>Z$48/1000*'Horizon Thicknesses'!$L20</f>
        <v>0.027233059921134974</v>
      </c>
      <c r="AB20" s="110">
        <v>1</v>
      </c>
      <c r="AC20" s="98">
        <f>'NH4Cl Leach'!N20/1000*'Horizon Thicknesses'!$J20</f>
        <v>1.2845753215090006</v>
      </c>
      <c r="AD20" s="77">
        <f>'NH4Cl Leach'!N20/1000*'Horizon Thicknesses'!$L20</f>
        <v>0.3757932208302713</v>
      </c>
      <c r="AE20" s="117">
        <v>0</v>
      </c>
      <c r="AF20" s="115">
        <f>AF$48/1000*'Horizon Thicknesses'!$J20</f>
        <v>0.9309086690434479</v>
      </c>
      <c r="AG20" s="116">
        <f>AF$48/1000*'Horizon Thicknesses'!$L20</f>
        <v>0.2723305992113497</v>
      </c>
      <c r="AH20" s="110">
        <v>1</v>
      </c>
      <c r="AI20" s="98">
        <f>'NH4Cl Leach'!P20/1000*'Horizon Thicknesses'!$J20</f>
        <v>1.5237631621251122</v>
      </c>
      <c r="AJ20" s="77">
        <f>'NH4Cl Leach'!P20/1000*'Horizon Thicknesses'!$L20</f>
        <v>0.4457658939024718</v>
      </c>
      <c r="AK20" s="110">
        <v>1</v>
      </c>
      <c r="AL20" s="98">
        <f>'NH4Cl Leach'!Q20/1000*'Horizon Thicknesses'!$J20</f>
        <v>9.709075972276743</v>
      </c>
      <c r="AM20" s="77">
        <f>'NH4Cl Leach'!Q20/1000*'Horizon Thicknesses'!$L20</f>
        <v>2.84031996397193</v>
      </c>
      <c r="AN20" s="110">
        <v>1</v>
      </c>
      <c r="AO20" s="98">
        <f>'NH4Cl Leach'!R20/1000*'Horizon Thicknesses'!$J20</f>
        <v>0.05534001766629578</v>
      </c>
      <c r="AP20" s="98">
        <f>'NH4Cl Leach'!R20/1000*'Horizon Thicknesses'!$L20</f>
        <v>0.016189321973889167</v>
      </c>
      <c r="AQ20" s="112">
        <v>0</v>
      </c>
      <c r="AR20" s="115">
        <f>AR$48/1000*'Horizon Thicknesses'!$J20</f>
        <v>0.46545433452172397</v>
      </c>
      <c r="AS20" s="116">
        <f>AR$48/1000*'Horizon Thicknesses'!$L20</f>
        <v>0.13616529960567486</v>
      </c>
    </row>
    <row r="21" spans="1:45" ht="12.75">
      <c r="A21" s="101" t="s">
        <v>111</v>
      </c>
      <c r="B21" s="104">
        <v>38236</v>
      </c>
      <c r="C21" s="105" t="s">
        <v>21</v>
      </c>
      <c r="D21" s="101" t="s">
        <v>16</v>
      </c>
      <c r="E21" s="101" t="s">
        <v>7</v>
      </c>
      <c r="F21" s="89">
        <v>4065</v>
      </c>
      <c r="G21" s="110">
        <v>1</v>
      </c>
      <c r="H21" s="91">
        <f>'NH4Cl Leach'!G21/1000*'Horizon Thicknesses'!$J21</f>
        <v>4.356466875978752</v>
      </c>
      <c r="I21" s="82">
        <f>'NH4Cl Leach'!G21/1000*'Horizon Thicknesses'!$L21</f>
        <v>1.226578052460037</v>
      </c>
      <c r="J21" s="110">
        <v>1</v>
      </c>
      <c r="K21" s="100">
        <f>'NH4Cl Leach'!H21/1000*'Horizon Thicknesses'!$J21</f>
        <v>1.4082466168368348</v>
      </c>
      <c r="L21" s="80">
        <f>'NH4Cl Leach'!H21/1000*'Horizon Thicknesses'!$L21</f>
        <v>0.39649662027444865</v>
      </c>
      <c r="M21" s="110">
        <v>1</v>
      </c>
      <c r="N21" s="91">
        <f>'NH4Cl Leach'!I21/1000*'Horizon Thicknesses'!$J21</f>
        <v>0.6473930113238004</v>
      </c>
      <c r="O21" s="82">
        <f>'NH4Cl Leach'!I21/1000*'Horizon Thicknesses'!$L21</f>
        <v>0.1822757022173807</v>
      </c>
      <c r="P21" s="112">
        <v>0</v>
      </c>
      <c r="Q21" s="115">
        <f>Q$48/1000*'Horizon Thicknesses'!$J21</f>
        <v>4.725322929468253</v>
      </c>
      <c r="R21" s="116">
        <f>Q$48/1000*'Horizon Thicknesses'!$L21</f>
        <v>1.3304307277143623</v>
      </c>
      <c r="S21" s="110">
        <v>1</v>
      </c>
      <c r="T21" s="98">
        <f>'NH4Cl Leach'!K21/1000*'Horizon Thicknesses'!$J21</f>
        <v>3.124170858948357</v>
      </c>
      <c r="U21" s="77">
        <f>'NH4Cl Leach'!K21/1000*'Horizon Thicknesses'!$L21</f>
        <v>0.8796209214514792</v>
      </c>
      <c r="V21" s="112">
        <v>0</v>
      </c>
      <c r="W21" s="115">
        <f>W$48/1000*'Horizon Thicknesses'!$J21</f>
        <v>0.09450645858936503</v>
      </c>
      <c r="X21" s="116">
        <f>W$48/1000*'Horizon Thicknesses'!$L21</f>
        <v>0.026608614554287244</v>
      </c>
      <c r="Y21" s="112">
        <v>0</v>
      </c>
      <c r="Z21" s="115">
        <f>Z$48/1000*'Horizon Thicknesses'!$J21</f>
        <v>0.09450645858936503</v>
      </c>
      <c r="AA21" s="116">
        <f>Z$48/1000*'Horizon Thicknesses'!$L21</f>
        <v>0.026608614554287244</v>
      </c>
      <c r="AB21" s="110">
        <v>1</v>
      </c>
      <c r="AC21" s="98">
        <f>'NH4Cl Leach'!N21/1000*'Horizon Thicknesses'!$J21</f>
        <v>1.070746511533065</v>
      </c>
      <c r="AD21" s="77">
        <f>'NH4Cl Leach'!N21/1000*'Horizon Thicknesses'!$L21</f>
        <v>0.3014723187811542</v>
      </c>
      <c r="AE21" s="117">
        <v>0</v>
      </c>
      <c r="AF21" s="115">
        <f>AF$48/1000*'Horizon Thicknesses'!$J21</f>
        <v>0.9450645858936504</v>
      </c>
      <c r="AG21" s="116">
        <f>AF$48/1000*'Horizon Thicknesses'!$L21</f>
        <v>0.2660861455428724</v>
      </c>
      <c r="AH21" s="110">
        <v>1</v>
      </c>
      <c r="AI21" s="98">
        <f>'NH4Cl Leach'!P21/1000*'Horizon Thicknesses'!$J21</f>
        <v>1.2534559732356474</v>
      </c>
      <c r="AJ21" s="77">
        <f>'NH4Cl Leach'!P21/1000*'Horizon Thicknesses'!$L21</f>
        <v>0.35291478858091047</v>
      </c>
      <c r="AK21" s="110">
        <v>1</v>
      </c>
      <c r="AL21" s="98">
        <f>'NH4Cl Leach'!Q21/1000*'Horizon Thicknesses'!$J21</f>
        <v>5.553291248900898</v>
      </c>
      <c r="AM21" s="77">
        <f>'NH4Cl Leach'!Q21/1000*'Horizon Thicknesses'!$L21</f>
        <v>1.5635480215352042</v>
      </c>
      <c r="AN21" s="110">
        <v>1</v>
      </c>
      <c r="AO21" s="98">
        <f>'NH4Cl Leach'!R21/1000*'Horizon Thicknesses'!$J21</f>
        <v>0.01177342818995165</v>
      </c>
      <c r="AP21" s="98">
        <f>'NH4Cl Leach'!R21/1000*'Horizon Thicknesses'!$L21</f>
        <v>0.0033148487136757075</v>
      </c>
      <c r="AQ21" s="112">
        <v>0</v>
      </c>
      <c r="AR21" s="115">
        <f>AR$48/1000*'Horizon Thicknesses'!$J21</f>
        <v>0.4725322929468252</v>
      </c>
      <c r="AS21" s="116">
        <f>AR$48/1000*'Horizon Thicknesses'!$L21</f>
        <v>0.1330430727714362</v>
      </c>
    </row>
    <row r="22" spans="1:45" ht="12.75">
      <c r="A22" s="101" t="s">
        <v>112</v>
      </c>
      <c r="B22" s="104">
        <v>38236</v>
      </c>
      <c r="C22" s="105" t="s">
        <v>21</v>
      </c>
      <c r="D22" s="101" t="s">
        <v>8</v>
      </c>
      <c r="E22" s="101" t="s">
        <v>7</v>
      </c>
      <c r="F22" s="89">
        <v>4067</v>
      </c>
      <c r="G22" s="111"/>
      <c r="H22" s="92"/>
      <c r="I22" s="83"/>
      <c r="J22" s="111"/>
      <c r="K22" s="114"/>
      <c r="L22" s="81"/>
      <c r="M22" s="111"/>
      <c r="N22" s="92"/>
      <c r="O22" s="83"/>
      <c r="P22" s="111"/>
      <c r="Q22" s="97"/>
      <c r="R22" s="71"/>
      <c r="S22" s="111"/>
      <c r="T22" s="97"/>
      <c r="U22" s="71"/>
      <c r="V22" s="111"/>
      <c r="W22" s="97"/>
      <c r="X22" s="71"/>
      <c r="Y22" s="111"/>
      <c r="Z22" s="97"/>
      <c r="AA22" s="71"/>
      <c r="AB22" s="111"/>
      <c r="AC22" s="97"/>
      <c r="AD22" s="71"/>
      <c r="AE22" s="118"/>
      <c r="AF22" s="97"/>
      <c r="AG22" s="71"/>
      <c r="AH22" s="111"/>
      <c r="AI22" s="97"/>
      <c r="AJ22" s="71"/>
      <c r="AK22" s="111"/>
      <c r="AL22" s="97"/>
      <c r="AM22" s="71"/>
      <c r="AN22" s="111"/>
      <c r="AO22" s="97"/>
      <c r="AP22" s="97"/>
      <c r="AQ22" s="111"/>
      <c r="AR22" s="97"/>
      <c r="AS22" s="71"/>
    </row>
    <row r="23" spans="1:45" ht="12.75">
      <c r="A23" s="101" t="s">
        <v>113</v>
      </c>
      <c r="B23" s="104">
        <v>38236</v>
      </c>
      <c r="C23" s="105" t="s">
        <v>12</v>
      </c>
      <c r="D23" s="24" t="s">
        <v>43</v>
      </c>
      <c r="E23" s="103"/>
      <c r="F23" s="90"/>
      <c r="G23" s="111"/>
      <c r="H23" s="92"/>
      <c r="I23" s="83"/>
      <c r="J23" s="111"/>
      <c r="K23" s="114"/>
      <c r="L23" s="81"/>
      <c r="M23" s="111"/>
      <c r="N23" s="92"/>
      <c r="O23" s="83"/>
      <c r="P23" s="111"/>
      <c r="Q23" s="97"/>
      <c r="R23" s="71"/>
      <c r="S23" s="111"/>
      <c r="T23" s="97"/>
      <c r="U23" s="71"/>
      <c r="V23" s="111"/>
      <c r="W23" s="97"/>
      <c r="X23" s="71"/>
      <c r="Y23" s="111"/>
      <c r="Z23" s="97"/>
      <c r="AA23" s="71"/>
      <c r="AB23" s="111"/>
      <c r="AC23" s="97"/>
      <c r="AD23" s="71"/>
      <c r="AE23" s="118"/>
      <c r="AF23" s="97"/>
      <c r="AG23" s="71"/>
      <c r="AH23" s="111"/>
      <c r="AI23" s="97"/>
      <c r="AJ23" s="71"/>
      <c r="AK23" s="111"/>
      <c r="AL23" s="97"/>
      <c r="AM23" s="71"/>
      <c r="AN23" s="111"/>
      <c r="AO23" s="97"/>
      <c r="AP23" s="97"/>
      <c r="AQ23" s="111"/>
      <c r="AR23" s="97"/>
      <c r="AS23" s="71"/>
    </row>
    <row r="24" spans="1:45" ht="12.75">
      <c r="A24" s="101" t="s">
        <v>114</v>
      </c>
      <c r="B24" s="104">
        <v>38236</v>
      </c>
      <c r="C24" s="105" t="s">
        <v>12</v>
      </c>
      <c r="D24" s="101" t="s">
        <v>10</v>
      </c>
      <c r="E24" s="101" t="s">
        <v>11</v>
      </c>
      <c r="F24" s="89">
        <v>4015</v>
      </c>
      <c r="G24" s="111"/>
      <c r="H24" s="92"/>
      <c r="I24" s="83"/>
      <c r="J24" s="111"/>
      <c r="K24" s="114"/>
      <c r="L24" s="81"/>
      <c r="M24" s="111"/>
      <c r="N24" s="92"/>
      <c r="O24" s="83"/>
      <c r="P24" s="111"/>
      <c r="Q24" s="97"/>
      <c r="R24" s="71"/>
      <c r="S24" s="111"/>
      <c r="T24" s="97"/>
      <c r="U24" s="71"/>
      <c r="V24" s="111"/>
      <c r="W24" s="97"/>
      <c r="X24" s="71"/>
      <c r="Y24" s="111"/>
      <c r="Z24" s="97"/>
      <c r="AA24" s="71"/>
      <c r="AB24" s="111"/>
      <c r="AC24" s="97"/>
      <c r="AD24" s="71"/>
      <c r="AE24" s="118"/>
      <c r="AF24" s="97"/>
      <c r="AG24" s="71"/>
      <c r="AH24" s="111"/>
      <c r="AI24" s="97"/>
      <c r="AJ24" s="71"/>
      <c r="AK24" s="111"/>
      <c r="AL24" s="97"/>
      <c r="AM24" s="71"/>
      <c r="AN24" s="111"/>
      <c r="AO24" s="97"/>
      <c r="AP24" s="97"/>
      <c r="AQ24" s="111"/>
      <c r="AR24" s="97"/>
      <c r="AS24" s="71"/>
    </row>
    <row r="25" spans="1:45" ht="12.75">
      <c r="A25" s="101" t="s">
        <v>115</v>
      </c>
      <c r="B25" s="104">
        <v>38236</v>
      </c>
      <c r="C25" s="105" t="s">
        <v>12</v>
      </c>
      <c r="D25" s="101" t="s">
        <v>14</v>
      </c>
      <c r="E25" s="101" t="s">
        <v>7</v>
      </c>
      <c r="F25" s="89">
        <v>4079</v>
      </c>
      <c r="G25" s="110">
        <v>1</v>
      </c>
      <c r="H25" s="91">
        <f>'NH4Cl Leach'!G25/1000*'Horizon Thicknesses'!$J25</f>
        <v>2.8082685595044103</v>
      </c>
      <c r="I25" s="82">
        <f>'NH4Cl Leach'!G25/1000*'Horizon Thicknesses'!$L25</f>
        <v>1.0630600765477247</v>
      </c>
      <c r="J25" s="110">
        <v>1</v>
      </c>
      <c r="K25" s="100">
        <f>'NH4Cl Leach'!H25/1000*'Horizon Thicknesses'!$J25</f>
        <v>0.14247644333322781</v>
      </c>
      <c r="L25" s="80">
        <f>'NH4Cl Leach'!H25/1000*'Horizon Thicknesses'!$L25</f>
        <v>0.05393395095474694</v>
      </c>
      <c r="M25" s="110">
        <v>1</v>
      </c>
      <c r="N25" s="91">
        <f>'NH4Cl Leach'!I25/1000*'Horizon Thicknesses'!$J25</f>
        <v>2.985114322483167</v>
      </c>
      <c r="O25" s="82">
        <f>'NH4Cl Leach'!I25/1000*'Horizon Thicknesses'!$L25</f>
        <v>1.1300044112314824</v>
      </c>
      <c r="P25" s="112">
        <v>0</v>
      </c>
      <c r="Q25" s="115">
        <f>Q$48/1000*'Horizon Thicknesses'!$J25</f>
        <v>0.8789375978660884</v>
      </c>
      <c r="R25" s="116">
        <f>Q$48/1000*'Horizon Thicknesses'!$L25</f>
        <v>0.33271870202937043</v>
      </c>
      <c r="S25" s="110">
        <v>1</v>
      </c>
      <c r="T25" s="98">
        <f>'NH4Cl Leach'!K25/1000*'Horizon Thicknesses'!$J25</f>
        <v>0.9238845719289432</v>
      </c>
      <c r="U25" s="77">
        <f>'NH4Cl Leach'!K25/1000*'Horizon Thicknesses'!$L25</f>
        <v>0.3497332192222272</v>
      </c>
      <c r="V25" s="110">
        <v>1</v>
      </c>
      <c r="W25" s="98">
        <f>'NH4Cl Leach'!L25/1000*'Horizon Thicknesses'!$J25</f>
        <v>0.14667722687830717</v>
      </c>
      <c r="X25" s="77">
        <f>'NH4Cl Leach'!L25/1000*'Horizon Thicknesses'!$L25</f>
        <v>0.0555241426270778</v>
      </c>
      <c r="Y25" s="110">
        <v>1</v>
      </c>
      <c r="Z25" s="98">
        <f>'NH4Cl Leach'!M25/1000*'Horizon Thicknesses'!$J25</f>
        <v>0.4474750068879416</v>
      </c>
      <c r="AA25" s="77">
        <f>'NH4Cl Leach'!M25/1000*'Horizon Thicknesses'!$L25</f>
        <v>0.16939007256465416</v>
      </c>
      <c r="AB25" s="110">
        <v>1</v>
      </c>
      <c r="AC25" s="98">
        <f>'NH4Cl Leach'!N25/1000*'Horizon Thicknesses'!$J25</f>
        <v>0.1927121886674136</v>
      </c>
      <c r="AD25" s="77">
        <f>'NH4Cl Leach'!N25/1000*'Horizon Thicknesses'!$L25</f>
        <v>0.0729505137046486</v>
      </c>
      <c r="AE25" s="117">
        <v>0</v>
      </c>
      <c r="AF25" s="115">
        <f>AF$48/1000*'Horizon Thicknesses'!$J25</f>
        <v>0.17578751957321764</v>
      </c>
      <c r="AG25" s="116">
        <f>AF$48/1000*'Horizon Thicknesses'!$L25</f>
        <v>0.06654374040587407</v>
      </c>
      <c r="AH25" s="110">
        <v>1</v>
      </c>
      <c r="AI25" s="98">
        <f>'NH4Cl Leach'!P25/1000*'Horizon Thicknesses'!$J25</f>
        <v>0.22842703848271106</v>
      </c>
      <c r="AJ25" s="77">
        <f>'NH4Cl Leach'!P25/1000*'Horizon Thicknesses'!$L25</f>
        <v>0.0864702430945047</v>
      </c>
      <c r="AK25" s="110">
        <v>1</v>
      </c>
      <c r="AL25" s="98">
        <f>'NH4Cl Leach'!Q25/1000*'Horizon Thicknesses'!$J25</f>
        <v>0.26579668989172456</v>
      </c>
      <c r="AM25" s="77">
        <f>'NH4Cl Leach'!Q25/1000*'Horizon Thicknesses'!$L25</f>
        <v>0.10061639174292256</v>
      </c>
      <c r="AN25" s="110">
        <v>1</v>
      </c>
      <c r="AO25" s="98">
        <f>'NH4Cl Leach'!R25/1000*'Horizon Thicknesses'!$J25</f>
        <v>0.016910215543300404</v>
      </c>
      <c r="AP25" s="98">
        <f>'NH4Cl Leach'!R25/1000*'Horizon Thicknesses'!$L25</f>
        <v>0.006401301958482159</v>
      </c>
      <c r="AQ25" s="112">
        <v>0</v>
      </c>
      <c r="AR25" s="115">
        <f>AR$48/1000*'Horizon Thicknesses'!$J25</f>
        <v>0.08789375978660882</v>
      </c>
      <c r="AS25" s="116">
        <f>AR$48/1000*'Horizon Thicknesses'!$L25</f>
        <v>0.03327187020293704</v>
      </c>
    </row>
    <row r="26" spans="1:45" ht="12.75">
      <c r="A26" s="101" t="s">
        <v>116</v>
      </c>
      <c r="B26" s="104">
        <v>38236</v>
      </c>
      <c r="C26" s="105" t="s">
        <v>12</v>
      </c>
      <c r="D26" s="101" t="s">
        <v>13</v>
      </c>
      <c r="E26" s="101" t="s">
        <v>7</v>
      </c>
      <c r="F26" s="89">
        <v>4076</v>
      </c>
      <c r="G26" s="110">
        <v>1</v>
      </c>
      <c r="H26" s="91">
        <f>'NH4Cl Leach'!G26/1000*'Horizon Thicknesses'!$J26</f>
        <v>2.409313129083484</v>
      </c>
      <c r="I26" s="82">
        <f>'NH4Cl Leach'!G26/1000*'Horizon Thicknesses'!$L26</f>
        <v>0.6783502984798159</v>
      </c>
      <c r="J26" s="112">
        <v>0</v>
      </c>
      <c r="K26" s="115">
        <f>K$48/1000*'Horizon Thicknesses'!$J26</f>
        <v>0.27275281719462313</v>
      </c>
      <c r="L26" s="116">
        <f>K$48/1000*'Horizon Thicknesses'!$L26</f>
        <v>0.07679448251110749</v>
      </c>
      <c r="M26" s="113">
        <v>1</v>
      </c>
      <c r="N26" s="91">
        <f>'NH4Cl Leach'!I26/1000*'Horizon Thicknesses'!$J26</f>
        <v>1.2149870249273176</v>
      </c>
      <c r="O26" s="82">
        <f>'NH4Cl Leach'!I26/1000*'Horizon Thicknesses'!$L26</f>
        <v>0.3420837254649729</v>
      </c>
      <c r="P26" s="112">
        <v>0</v>
      </c>
      <c r="Q26" s="115">
        <f>Q$48/1000*'Horizon Thicknesses'!$J26</f>
        <v>2.2729401432885266</v>
      </c>
      <c r="R26" s="116">
        <f>Q$48/1000*'Horizon Thicknesses'!$L26</f>
        <v>0.6399540209258958</v>
      </c>
      <c r="S26" s="113">
        <v>1</v>
      </c>
      <c r="T26" s="98">
        <f>'NH4Cl Leach'!K26/1000*'Horizon Thicknesses'!$J26</f>
        <v>2.072788597719476</v>
      </c>
      <c r="U26" s="77">
        <f>'NH4Cl Leach'!K26/1000*'Horizon Thicknesses'!$L26</f>
        <v>0.5836006731443185</v>
      </c>
      <c r="V26" s="112">
        <v>0</v>
      </c>
      <c r="W26" s="115">
        <f>W$48/1000*'Horizon Thicknesses'!$J26</f>
        <v>0.045458802865770524</v>
      </c>
      <c r="X26" s="116">
        <f>W$48/1000*'Horizon Thicknesses'!$L26</f>
        <v>0.012799080418517914</v>
      </c>
      <c r="Y26" s="112">
        <v>0</v>
      </c>
      <c r="Z26" s="115">
        <f>Z$48/1000*'Horizon Thicknesses'!$J26</f>
        <v>0.045458802865770524</v>
      </c>
      <c r="AA26" s="116">
        <f>Z$48/1000*'Horizon Thicknesses'!$L26</f>
        <v>0.012799080418517914</v>
      </c>
      <c r="AB26" s="113">
        <v>1</v>
      </c>
      <c r="AC26" s="98">
        <f>'NH4Cl Leach'!N26/1000*'Horizon Thicknesses'!$J26</f>
        <v>0.7198340928444754</v>
      </c>
      <c r="AD26" s="77">
        <f>'NH4Cl Leach'!N26/1000*'Horizon Thicknesses'!$L26</f>
        <v>0.20267173487854162</v>
      </c>
      <c r="AE26" s="117">
        <v>0</v>
      </c>
      <c r="AF26" s="115">
        <f>AF$48/1000*'Horizon Thicknesses'!$J26</f>
        <v>0.4545880286577052</v>
      </c>
      <c r="AG26" s="116">
        <f>AF$48/1000*'Horizon Thicknesses'!$L26</f>
        <v>0.12799080418517914</v>
      </c>
      <c r="AH26" s="113">
        <v>1</v>
      </c>
      <c r="AI26" s="98">
        <f>'NH4Cl Leach'!P26/1000*'Horizon Thicknesses'!$J26</f>
        <v>0.7120666928465507</v>
      </c>
      <c r="AJ26" s="77">
        <f>'NH4Cl Leach'!P26/1000*'Horizon Thicknesses'!$L26</f>
        <v>0.20048479701504823</v>
      </c>
      <c r="AK26" s="113">
        <v>1</v>
      </c>
      <c r="AL26" s="98">
        <f>'NH4Cl Leach'!Q26/1000*'Horizon Thicknesses'!$J26</f>
        <v>3.171824999203447</v>
      </c>
      <c r="AM26" s="77">
        <f>'NH4Cl Leach'!Q26/1000*'Horizon Thicknesses'!$L26</f>
        <v>0.8930381065718443</v>
      </c>
      <c r="AN26" s="112">
        <v>0</v>
      </c>
      <c r="AO26" s="99">
        <f>AO$48/1000*'Horizon Thicknesses'!$J26</f>
        <v>0.004545880286577053</v>
      </c>
      <c r="AP26" s="99">
        <f>AO$48/1000*'Horizon Thicknesses'!$L26</f>
        <v>0.0012799080418517915</v>
      </c>
      <c r="AQ26" s="112">
        <v>0</v>
      </c>
      <c r="AR26" s="115">
        <f>AR$48/1000*'Horizon Thicknesses'!$J26</f>
        <v>0.2272940143288526</v>
      </c>
      <c r="AS26" s="116">
        <f>AR$48/1000*'Horizon Thicknesses'!$L26</f>
        <v>0.06399540209258957</v>
      </c>
    </row>
    <row r="27" spans="1:45" ht="12.75">
      <c r="A27" s="101" t="s">
        <v>117</v>
      </c>
      <c r="B27" s="104">
        <v>38236</v>
      </c>
      <c r="C27" s="105" t="s">
        <v>12</v>
      </c>
      <c r="D27" s="101" t="s">
        <v>15</v>
      </c>
      <c r="E27" s="101" t="s">
        <v>7</v>
      </c>
      <c r="F27" s="89">
        <v>4081</v>
      </c>
      <c r="G27" s="110">
        <v>1</v>
      </c>
      <c r="H27" s="91">
        <f>'NH4Cl Leach'!G27/1000*'Horizon Thicknesses'!$J27</f>
        <v>2.6568564158593393</v>
      </c>
      <c r="I27" s="82">
        <f>'NH4Cl Leach'!G27/1000*'Horizon Thicknesses'!$L27</f>
        <v>0.7480469520380664</v>
      </c>
      <c r="J27" s="110">
        <v>1</v>
      </c>
      <c r="K27" s="100">
        <f>'NH4Cl Leach'!H27/1000*'Horizon Thicknesses'!$J27</f>
        <v>0.3600635243877903</v>
      </c>
      <c r="L27" s="80">
        <f>'NH4Cl Leach'!H27/1000*'Horizon Thicknesses'!$L27</f>
        <v>0.10137710880821281</v>
      </c>
      <c r="M27" s="110">
        <v>1</v>
      </c>
      <c r="N27" s="91">
        <f>'NH4Cl Leach'!I27/1000*'Horizon Thicknesses'!$J27</f>
        <v>4.263308025562377</v>
      </c>
      <c r="O27" s="82">
        <f>'NH4Cl Leach'!I27/1000*'Horizon Thicknesses'!$L27</f>
        <v>1.2003488615661062</v>
      </c>
      <c r="P27" s="112">
        <v>0</v>
      </c>
      <c r="Q27" s="115">
        <f>Q$48/1000*'Horizon Thicknesses'!$J27</f>
        <v>2.0336832861002607</v>
      </c>
      <c r="R27" s="116">
        <f>Q$48/1000*'Horizon Thicknesses'!$L27</f>
        <v>0.5725904397758015</v>
      </c>
      <c r="S27" s="110">
        <v>1</v>
      </c>
      <c r="T27" s="98">
        <f>'NH4Cl Leach'!K27/1000*'Horizon Thicknesses'!$J27</f>
        <v>2.041040155505225</v>
      </c>
      <c r="U27" s="77">
        <f>'NH4Cl Leach'!K27/1000*'Horizon Thicknesses'!$L27</f>
        <v>0.5746617913558401</v>
      </c>
      <c r="V27" s="110">
        <v>1</v>
      </c>
      <c r="W27" s="98">
        <f>'NH4Cl Leach'!L27/1000*'Horizon Thicknesses'!$J27</f>
        <v>0.10682346853736105</v>
      </c>
      <c r="X27" s="77">
        <f>'NH4Cl Leach'!L27/1000*'Horizon Thicknesses'!$L27</f>
        <v>0.03007651055906282</v>
      </c>
      <c r="Y27" s="110">
        <v>1</v>
      </c>
      <c r="Z27" s="98">
        <f>'NH4Cl Leach'!M27/1000*'Horizon Thicknesses'!$J27</f>
        <v>0.4046936308199261</v>
      </c>
      <c r="AA27" s="77">
        <f>'NH4Cl Leach'!M27/1000*'Horizon Thicknesses'!$L27</f>
        <v>0.1139428669298821</v>
      </c>
      <c r="AB27" s="110">
        <v>1</v>
      </c>
      <c r="AC27" s="98">
        <f>'NH4Cl Leach'!N27/1000*'Horizon Thicknesses'!$J27</f>
        <v>0.44371994932146563</v>
      </c>
      <c r="AD27" s="77">
        <f>'NH4Cl Leach'!N27/1000*'Horizon Thicknesses'!$L27</f>
        <v>0.12493085951769421</v>
      </c>
      <c r="AE27" s="117">
        <v>0</v>
      </c>
      <c r="AF27" s="115">
        <f>AF$48/1000*'Horizon Thicknesses'!$J27</f>
        <v>0.40673665722005203</v>
      </c>
      <c r="AG27" s="116">
        <f>AF$48/1000*'Horizon Thicknesses'!$L27</f>
        <v>0.11451808795516029</v>
      </c>
      <c r="AH27" s="110">
        <v>1</v>
      </c>
      <c r="AI27" s="98">
        <f>'NH4Cl Leach'!P27/1000*'Horizon Thicknesses'!$J27</f>
        <v>0.5403611891272234</v>
      </c>
      <c r="AJ27" s="77">
        <f>'NH4Cl Leach'!P27/1000*'Horizon Thicknesses'!$L27</f>
        <v>0.15214052897756777</v>
      </c>
      <c r="AK27" s="110">
        <v>1</v>
      </c>
      <c r="AL27" s="98">
        <f>'NH4Cl Leach'!Q27/1000*'Horizon Thicknesses'!$J27</f>
        <v>1.3947163912359246</v>
      </c>
      <c r="AM27" s="77">
        <f>'NH4Cl Leach'!Q27/1000*'Horizon Thicknesses'!$L27</f>
        <v>0.39268713928001764</v>
      </c>
      <c r="AN27" s="110">
        <v>1</v>
      </c>
      <c r="AO27" s="98">
        <f>'NH4Cl Leach'!R27/1000*'Horizon Thicknesses'!$J27</f>
        <v>0.021879293529102655</v>
      </c>
      <c r="AP27" s="98">
        <f>'NH4Cl Leach'!R27/1000*'Horizon Thicknesses'!$L27</f>
        <v>0.006160189440232787</v>
      </c>
      <c r="AQ27" s="112">
        <v>0</v>
      </c>
      <c r="AR27" s="115">
        <f>AR$48/1000*'Horizon Thicknesses'!$J27</f>
        <v>0.20336832861002602</v>
      </c>
      <c r="AS27" s="116">
        <f>AR$48/1000*'Horizon Thicknesses'!$L27</f>
        <v>0.057259043977580144</v>
      </c>
    </row>
    <row r="28" spans="1:45" ht="12.75">
      <c r="A28" s="101" t="s">
        <v>118</v>
      </c>
      <c r="B28" s="104">
        <v>38236</v>
      </c>
      <c r="C28" s="105" t="s">
        <v>12</v>
      </c>
      <c r="D28" s="101" t="s">
        <v>16</v>
      </c>
      <c r="E28" s="101" t="s">
        <v>7</v>
      </c>
      <c r="F28" s="89">
        <v>4083</v>
      </c>
      <c r="G28" s="110">
        <v>1</v>
      </c>
      <c r="H28" s="91">
        <f>'NH4Cl Leach'!G28/1000*'Horizon Thicknesses'!$J28</f>
        <v>2.716174299255847</v>
      </c>
      <c r="I28" s="82">
        <f>'NH4Cl Leach'!G28/1000*'Horizon Thicknesses'!$L28</f>
        <v>0.7647481036739763</v>
      </c>
      <c r="J28" s="110">
        <v>1</v>
      </c>
      <c r="K28" s="100">
        <f>'NH4Cl Leach'!H28/1000*'Horizon Thicknesses'!$J28</f>
        <v>0.7843780182550807</v>
      </c>
      <c r="L28" s="80">
        <f>'NH4Cl Leach'!H28/1000*'Horizon Thicknesses'!$L28</f>
        <v>0.22084429640191594</v>
      </c>
      <c r="M28" s="110">
        <v>1</v>
      </c>
      <c r="N28" s="91">
        <f>'NH4Cl Leach'!I28/1000*'Horizon Thicknesses'!$J28</f>
        <v>6.528960665948681</v>
      </c>
      <c r="O28" s="82">
        <f>'NH4Cl Leach'!I28/1000*'Horizon Thicknesses'!$L28</f>
        <v>1.8382510612865217</v>
      </c>
      <c r="P28" s="112">
        <v>0</v>
      </c>
      <c r="Q28" s="115">
        <f>Q$48/1000*'Horizon Thicknesses'!$J28</f>
        <v>4.904765572359452</v>
      </c>
      <c r="R28" s="116">
        <f>Q$48/1000*'Horizon Thicknesses'!$L28</f>
        <v>1.380953413576933</v>
      </c>
      <c r="S28" s="110">
        <v>1</v>
      </c>
      <c r="T28" s="98">
        <f>'NH4Cl Leach'!K28/1000*'Horizon Thicknesses'!$J28</f>
        <v>4.695996360596208</v>
      </c>
      <c r="U28" s="77">
        <f>'NH4Cl Leach'!K28/1000*'Horizon Thicknesses'!$L28</f>
        <v>1.322173732595049</v>
      </c>
      <c r="V28" s="112">
        <v>0</v>
      </c>
      <c r="W28" s="115">
        <f>W$48/1000*'Horizon Thicknesses'!$J28</f>
        <v>0.09809531144718903</v>
      </c>
      <c r="X28" s="116">
        <f>W$48/1000*'Horizon Thicknesses'!$L28</f>
        <v>0.027619068271538656</v>
      </c>
      <c r="Y28" s="110">
        <v>1</v>
      </c>
      <c r="Z28" s="98">
        <f>'NH4Cl Leach'!M28/1000*'Horizon Thicknesses'!$J28</f>
        <v>0.6525807813530037</v>
      </c>
      <c r="AA28" s="77">
        <f>'NH4Cl Leach'!M28/1000*'Horizon Thicknesses'!$L28</f>
        <v>0.18373633649744764</v>
      </c>
      <c r="AB28" s="110">
        <v>1</v>
      </c>
      <c r="AC28" s="98">
        <f>'NH4Cl Leach'!N28/1000*'Horizon Thicknesses'!$J28</f>
        <v>1.0761569534524018</v>
      </c>
      <c r="AD28" s="77">
        <f>'NH4Cl Leach'!N28/1000*'Horizon Thicknesses'!$L28</f>
        <v>0.3029956470885403</v>
      </c>
      <c r="AE28" s="117">
        <v>0</v>
      </c>
      <c r="AF28" s="115">
        <f>AF$48/1000*'Horizon Thicknesses'!$J28</f>
        <v>0.9809531144718903</v>
      </c>
      <c r="AG28" s="116">
        <f>AF$48/1000*'Horizon Thicknesses'!$L28</f>
        <v>0.27619068271538655</v>
      </c>
      <c r="AH28" s="110">
        <v>1</v>
      </c>
      <c r="AI28" s="98">
        <f>'NH4Cl Leach'!P28/1000*'Horizon Thicknesses'!$J28</f>
        <v>1.4400911076336924</v>
      </c>
      <c r="AJ28" s="77">
        <f>'NH4Cl Leach'!P28/1000*'Horizon Thicknesses'!$L28</f>
        <v>0.40546254486773864</v>
      </c>
      <c r="AK28" s="110">
        <v>1</v>
      </c>
      <c r="AL28" s="98">
        <f>'NH4Cl Leach'!Q28/1000*'Horizon Thicknesses'!$J28</f>
        <v>2.524076889723398</v>
      </c>
      <c r="AM28" s="77">
        <f>'NH4Cl Leach'!Q28/1000*'Horizon Thicknesses'!$L28</f>
        <v>0.7106624252619276</v>
      </c>
      <c r="AN28" s="110">
        <v>1</v>
      </c>
      <c r="AO28" s="98">
        <f>'NH4Cl Leach'!R28/1000*'Horizon Thicknesses'!$J28</f>
        <v>0.02309020124296611</v>
      </c>
      <c r="AP28" s="98">
        <f>'NH4Cl Leach'!R28/1000*'Horizon Thicknesses'!$L28</f>
        <v>0.006501124621805993</v>
      </c>
      <c r="AQ28" s="112">
        <v>0</v>
      </c>
      <c r="AR28" s="115">
        <f>AR$48/1000*'Horizon Thicknesses'!$J28</f>
        <v>0.49047655723594513</v>
      </c>
      <c r="AS28" s="116">
        <f>AR$48/1000*'Horizon Thicknesses'!$L28</f>
        <v>0.13809534135769327</v>
      </c>
    </row>
    <row r="29" spans="1:45" ht="12.75">
      <c r="A29" s="101" t="s">
        <v>119</v>
      </c>
      <c r="B29" s="104">
        <v>38236</v>
      </c>
      <c r="C29" s="105" t="s">
        <v>12</v>
      </c>
      <c r="D29" s="101" t="s">
        <v>8</v>
      </c>
      <c r="E29" s="101" t="s">
        <v>7</v>
      </c>
      <c r="F29" s="89">
        <v>4013</v>
      </c>
      <c r="G29" s="111"/>
      <c r="H29" s="92"/>
      <c r="I29" s="83"/>
      <c r="J29" s="111"/>
      <c r="K29" s="114"/>
      <c r="L29" s="81"/>
      <c r="M29" s="111"/>
      <c r="N29" s="92"/>
      <c r="O29" s="83"/>
      <c r="P29" s="111"/>
      <c r="Q29" s="97"/>
      <c r="R29" s="71"/>
      <c r="S29" s="111"/>
      <c r="T29" s="97"/>
      <c r="U29" s="71"/>
      <c r="V29" s="111"/>
      <c r="W29" s="97"/>
      <c r="X29" s="71"/>
      <c r="Y29" s="111"/>
      <c r="Z29" s="97"/>
      <c r="AA29" s="71"/>
      <c r="AB29" s="111"/>
      <c r="AC29" s="97"/>
      <c r="AD29" s="71"/>
      <c r="AE29" s="118"/>
      <c r="AF29" s="97"/>
      <c r="AG29" s="71"/>
      <c r="AH29" s="111"/>
      <c r="AI29" s="97"/>
      <c r="AJ29" s="71"/>
      <c r="AK29" s="111"/>
      <c r="AL29" s="97"/>
      <c r="AM29" s="71"/>
      <c r="AN29" s="111"/>
      <c r="AO29" s="97"/>
      <c r="AP29" s="97"/>
      <c r="AQ29" s="111"/>
      <c r="AR29" s="97"/>
      <c r="AS29" s="71"/>
    </row>
    <row r="30" spans="1:45" ht="12.75">
      <c r="A30" s="101" t="s">
        <v>120</v>
      </c>
      <c r="B30" s="104">
        <v>38247</v>
      </c>
      <c r="C30" s="105" t="s">
        <v>20</v>
      </c>
      <c r="D30" s="24" t="s">
        <v>43</v>
      </c>
      <c r="E30" s="103"/>
      <c r="F30" s="90"/>
      <c r="G30" s="111"/>
      <c r="H30" s="92"/>
      <c r="I30" s="83"/>
      <c r="J30" s="111"/>
      <c r="K30" s="114"/>
      <c r="L30" s="81"/>
      <c r="M30" s="111"/>
      <c r="N30" s="92"/>
      <c r="O30" s="83"/>
      <c r="P30" s="111"/>
      <c r="Q30" s="97"/>
      <c r="R30" s="71"/>
      <c r="S30" s="111"/>
      <c r="T30" s="97"/>
      <c r="U30" s="71"/>
      <c r="V30" s="111"/>
      <c r="W30" s="97"/>
      <c r="X30" s="71"/>
      <c r="Y30" s="111"/>
      <c r="Z30" s="97"/>
      <c r="AA30" s="71"/>
      <c r="AB30" s="111"/>
      <c r="AC30" s="97"/>
      <c r="AD30" s="71"/>
      <c r="AE30" s="118"/>
      <c r="AF30" s="97"/>
      <c r="AG30" s="71"/>
      <c r="AH30" s="111"/>
      <c r="AI30" s="97"/>
      <c r="AJ30" s="71"/>
      <c r="AK30" s="111"/>
      <c r="AL30" s="97"/>
      <c r="AM30" s="71"/>
      <c r="AN30" s="111"/>
      <c r="AO30" s="97"/>
      <c r="AP30" s="97"/>
      <c r="AQ30" s="111"/>
      <c r="AR30" s="97"/>
      <c r="AS30" s="71"/>
    </row>
    <row r="31" spans="1:45" ht="12.75">
      <c r="A31" s="101" t="s">
        <v>121</v>
      </c>
      <c r="B31" s="104">
        <v>38247</v>
      </c>
      <c r="C31" s="105" t="s">
        <v>20</v>
      </c>
      <c r="D31" s="101" t="s">
        <v>10</v>
      </c>
      <c r="E31" s="101" t="s">
        <v>11</v>
      </c>
      <c r="F31" s="89">
        <v>4049</v>
      </c>
      <c r="G31" s="111"/>
      <c r="H31" s="92"/>
      <c r="I31" s="83"/>
      <c r="J31" s="111"/>
      <c r="K31" s="114"/>
      <c r="L31" s="81"/>
      <c r="M31" s="111"/>
      <c r="N31" s="92"/>
      <c r="O31" s="83"/>
      <c r="P31" s="111"/>
      <c r="Q31" s="97"/>
      <c r="R31" s="71"/>
      <c r="S31" s="111"/>
      <c r="T31" s="97"/>
      <c r="U31" s="71"/>
      <c r="V31" s="111"/>
      <c r="W31" s="97"/>
      <c r="X31" s="71"/>
      <c r="Y31" s="111"/>
      <c r="Z31" s="97"/>
      <c r="AA31" s="71"/>
      <c r="AB31" s="111"/>
      <c r="AC31" s="97"/>
      <c r="AD31" s="71"/>
      <c r="AE31" s="118"/>
      <c r="AF31" s="97"/>
      <c r="AG31" s="71"/>
      <c r="AH31" s="111"/>
      <c r="AI31" s="97"/>
      <c r="AJ31" s="71"/>
      <c r="AK31" s="111"/>
      <c r="AL31" s="97"/>
      <c r="AM31" s="71"/>
      <c r="AN31" s="111"/>
      <c r="AO31" s="97"/>
      <c r="AP31" s="97"/>
      <c r="AQ31" s="111"/>
      <c r="AR31" s="97"/>
      <c r="AS31" s="71"/>
    </row>
    <row r="32" spans="1:45" ht="12.75">
      <c r="A32" s="101" t="s">
        <v>122</v>
      </c>
      <c r="B32" s="104">
        <v>38247</v>
      </c>
      <c r="C32" s="105" t="s">
        <v>20</v>
      </c>
      <c r="D32" s="101" t="s">
        <v>9</v>
      </c>
      <c r="E32" s="101" t="s">
        <v>7</v>
      </c>
      <c r="F32" s="89">
        <v>4047</v>
      </c>
      <c r="G32" s="110">
        <v>1</v>
      </c>
      <c r="H32" s="91">
        <f>'NH4Cl Leach'!G32/1000*'Horizon Thicknesses'!$J32</f>
        <v>19.013372558141857</v>
      </c>
      <c r="I32" s="82">
        <f>'NH4Cl Leach'!G32/1000*'Horizon Thicknesses'!$L32</f>
        <v>6.134355590774986</v>
      </c>
      <c r="J32" s="110">
        <v>1</v>
      </c>
      <c r="K32" s="100">
        <f>'NH4Cl Leach'!H32/1000*'Horizon Thicknesses'!$J32</f>
        <v>0.2537656974702748</v>
      </c>
      <c r="L32" s="80">
        <f>'NH4Cl Leach'!H32/1000*'Horizon Thicknesses'!$L32</f>
        <v>0.08187337729082116</v>
      </c>
      <c r="M32" s="110">
        <v>1</v>
      </c>
      <c r="N32" s="91">
        <f>'NH4Cl Leach'!I32/1000*'Horizon Thicknesses'!$J32</f>
        <v>2.6351256357417077</v>
      </c>
      <c r="O32" s="82">
        <f>'NH4Cl Leach'!I32/1000*'Horizon Thicknesses'!$L32</f>
        <v>0.8501804520253081</v>
      </c>
      <c r="P32" s="110">
        <v>1</v>
      </c>
      <c r="Q32" s="98">
        <f>'NH4Cl Leach'!J32/1000*'Horizon Thicknesses'!$J32</f>
        <v>2.6655951926206347</v>
      </c>
      <c r="R32" s="77">
        <f>'NH4Cl Leach'!J32/1000*'Horizon Thicknesses'!$L32</f>
        <v>0.8600109592652583</v>
      </c>
      <c r="S32" s="110">
        <v>1</v>
      </c>
      <c r="T32" s="98">
        <f>'NH4Cl Leach'!K32/1000*'Horizon Thicknesses'!$J32</f>
        <v>1.5609500451545273</v>
      </c>
      <c r="U32" s="77">
        <f>'NH4Cl Leach'!K32/1000*'Horizon Thicknesses'!$L32</f>
        <v>0.503615158601296</v>
      </c>
      <c r="V32" s="110">
        <v>1</v>
      </c>
      <c r="W32" s="98">
        <f>'NH4Cl Leach'!L32/1000*'Horizon Thicknesses'!$J32</f>
        <v>0.5026653538357289</v>
      </c>
      <c r="X32" s="77">
        <f>'NH4Cl Leach'!L32/1000*'Horizon Thicknesses'!$L32</f>
        <v>0.162176805517371</v>
      </c>
      <c r="Y32" s="110">
        <v>1</v>
      </c>
      <c r="Z32" s="98">
        <f>'NH4Cl Leach'!M32/1000*'Horizon Thicknesses'!$J32</f>
        <v>0.054979796949975325</v>
      </c>
      <c r="AA32" s="77">
        <f>'NH4Cl Leach'!M32/1000*'Horizon Thicknesses'!$L32</f>
        <v>0.017738337781391215</v>
      </c>
      <c r="AB32" s="110">
        <v>1</v>
      </c>
      <c r="AC32" s="98">
        <f>'NH4Cl Leach'!N32/1000*'Horizon Thicknesses'!$J32</f>
        <v>0.40768992030244394</v>
      </c>
      <c r="AD32" s="77">
        <f>'NH4Cl Leach'!N32/1000*'Horizon Thicknesses'!$L32</f>
        <v>0.13153452572720825</v>
      </c>
      <c r="AE32" s="117">
        <v>0</v>
      </c>
      <c r="AF32" s="115">
        <f>AF$48/1000*'Horizon Thicknesses'!$J32</f>
        <v>0.41504437676148354</v>
      </c>
      <c r="AG32" s="116">
        <f>AF$48/1000*'Horizon Thicknesses'!$L32</f>
        <v>0.13390732155596835</v>
      </c>
      <c r="AH32" s="110">
        <v>1</v>
      </c>
      <c r="AI32" s="98">
        <f>'NH4Cl Leach'!P32/1000*'Horizon Thicknesses'!$J32</f>
        <v>0.46767954587025523</v>
      </c>
      <c r="AJ32" s="77">
        <f>'NH4Cl Leach'!P32/1000*'Horizon Thicknesses'!$L32</f>
        <v>0.15088920327665847</v>
      </c>
      <c r="AK32" s="110">
        <v>1</v>
      </c>
      <c r="AL32" s="98">
        <f>'NH4Cl Leach'!Q32/1000*'Horizon Thicknesses'!$J32</f>
        <v>0.6894777980185168</v>
      </c>
      <c r="AM32" s="77">
        <f>'NH4Cl Leach'!Q32/1000*'Horizon Thicknesses'!$L32</f>
        <v>0.22244880396976016</v>
      </c>
      <c r="AN32" s="110">
        <v>1</v>
      </c>
      <c r="AO32" s="98">
        <f>'NH4Cl Leach'!R32/1000*'Horizon Thicknesses'!$J32</f>
        <v>0.03656546440454929</v>
      </c>
      <c r="AP32" s="98">
        <f>'NH4Cl Leach'!R32/1000*'Horizon Thicknesses'!$L32</f>
        <v>0.011797252713237302</v>
      </c>
      <c r="AQ32" s="112">
        <v>0</v>
      </c>
      <c r="AR32" s="115">
        <f>AR$48/1000*'Horizon Thicknesses'!$J32</f>
        <v>0.20752218838074177</v>
      </c>
      <c r="AS32" s="116">
        <f>AR$48/1000*'Horizon Thicknesses'!$L32</f>
        <v>0.06695366077798418</v>
      </c>
    </row>
    <row r="33" spans="1:45" ht="12.75">
      <c r="A33" s="101" t="s">
        <v>123</v>
      </c>
      <c r="B33" s="104">
        <v>38247</v>
      </c>
      <c r="C33" s="105" t="s">
        <v>20</v>
      </c>
      <c r="D33" s="101" t="s">
        <v>18</v>
      </c>
      <c r="E33" s="101" t="s">
        <v>7</v>
      </c>
      <c r="F33" s="89">
        <v>4041</v>
      </c>
      <c r="G33" s="110">
        <v>1</v>
      </c>
      <c r="H33" s="91">
        <f>'NH4Cl Leach'!G33/1000*'Horizon Thicknesses'!$J33</f>
        <v>32.15037529059449</v>
      </c>
      <c r="I33" s="82">
        <f>'NH4Cl Leach'!G33/1000*'Horizon Thicknesses'!$L33</f>
        <v>9.052047411914954</v>
      </c>
      <c r="J33" s="110">
        <v>1</v>
      </c>
      <c r="K33" s="100">
        <f>'NH4Cl Leach'!H33/1000*'Horizon Thicknesses'!$J33</f>
        <v>0.4203475518068808</v>
      </c>
      <c r="L33" s="80">
        <f>'NH4Cl Leach'!H33/1000*'Horizon Thicknesses'!$L33</f>
        <v>0.1183502815766946</v>
      </c>
      <c r="M33" s="110">
        <v>1</v>
      </c>
      <c r="N33" s="91">
        <f>'NH4Cl Leach'!I33/1000*'Horizon Thicknesses'!$J33</f>
        <v>3.693764222585219</v>
      </c>
      <c r="O33" s="82">
        <f>'NH4Cl Leach'!I33/1000*'Horizon Thicknesses'!$L33</f>
        <v>1.0399918684948675</v>
      </c>
      <c r="P33" s="110">
        <v>1</v>
      </c>
      <c r="Q33" s="98">
        <f>'NH4Cl Leach'!J33/1000*'Horizon Thicknesses'!$J33</f>
        <v>4.233328180919042</v>
      </c>
      <c r="R33" s="77">
        <f>'NH4Cl Leach'!J33/1000*'Horizon Thicknesses'!$L33</f>
        <v>1.1919079344335166</v>
      </c>
      <c r="S33" s="110">
        <v>1</v>
      </c>
      <c r="T33" s="98">
        <f>'NH4Cl Leach'!K33/1000*'Horizon Thicknesses'!$J33</f>
        <v>2.187312873341632</v>
      </c>
      <c r="U33" s="77">
        <f>'NH4Cl Leach'!K33/1000*'Horizon Thicknesses'!$L33</f>
        <v>0.6158453721058964</v>
      </c>
      <c r="V33" s="110">
        <v>1</v>
      </c>
      <c r="W33" s="98">
        <f>'NH4Cl Leach'!L33/1000*'Horizon Thicknesses'!$J33</f>
        <v>0.7468514973371234</v>
      </c>
      <c r="X33" s="77">
        <f>'NH4Cl Leach'!L33/1000*'Horizon Thicknesses'!$L33</f>
        <v>0.21027857692016097</v>
      </c>
      <c r="Y33" s="110">
        <v>1</v>
      </c>
      <c r="Z33" s="98">
        <f>'NH4Cl Leach'!M33/1000*'Horizon Thicknesses'!$J33</f>
        <v>0.12145180329653546</v>
      </c>
      <c r="AA33" s="77">
        <f>'NH4Cl Leach'!M33/1000*'Horizon Thicknesses'!$L33</f>
        <v>0.03419516791844202</v>
      </c>
      <c r="AB33" s="110">
        <v>1</v>
      </c>
      <c r="AC33" s="98">
        <f>'NH4Cl Leach'!N33/1000*'Horizon Thicknesses'!$J33</f>
        <v>0.5364770569597538</v>
      </c>
      <c r="AD33" s="77">
        <f>'NH4Cl Leach'!N33/1000*'Horizon Thicknesses'!$L33</f>
        <v>0.1510469383673093</v>
      </c>
      <c r="AE33" s="117">
        <v>0</v>
      </c>
      <c r="AF33" s="115">
        <f>AF$48/1000*'Horizon Thicknesses'!$J33</f>
        <v>0.4306623429388786</v>
      </c>
      <c r="AG33" s="116">
        <f>AF$48/1000*'Horizon Thicknesses'!$L33</f>
        <v>0.12125444607016972</v>
      </c>
      <c r="AH33" s="110">
        <v>1</v>
      </c>
      <c r="AI33" s="98">
        <f>'NH4Cl Leach'!P33/1000*'Horizon Thicknesses'!$J33</f>
        <v>0.5225030938882674</v>
      </c>
      <c r="AJ33" s="77">
        <f>'NH4Cl Leach'!P33/1000*'Horizon Thicknesses'!$L33</f>
        <v>0.1471125215801918</v>
      </c>
      <c r="AK33" s="110">
        <v>1</v>
      </c>
      <c r="AL33" s="98">
        <f>'NH4Cl Leach'!Q33/1000*'Horizon Thicknesses'!$J33</f>
        <v>0.9082132052100297</v>
      </c>
      <c r="AM33" s="77">
        <f>'NH4Cl Leach'!Q33/1000*'Horizon Thicknesses'!$L33</f>
        <v>0.2557105140882608</v>
      </c>
      <c r="AN33" s="110">
        <v>1</v>
      </c>
      <c r="AO33" s="98">
        <f>'NH4Cl Leach'!R33/1000*'Horizon Thicknesses'!$J33</f>
        <v>0.05724879720346048</v>
      </c>
      <c r="AP33" s="98">
        <f>'NH4Cl Leach'!R33/1000*'Horizon Thicknesses'!$L33</f>
        <v>0.01611859338738208</v>
      </c>
      <c r="AQ33" s="112">
        <v>0</v>
      </c>
      <c r="AR33" s="115">
        <f>AR$48/1000*'Horizon Thicknesses'!$J33</f>
        <v>0.2153311714694393</v>
      </c>
      <c r="AS33" s="116">
        <f>AR$48/1000*'Horizon Thicknesses'!$L33</f>
        <v>0.06062722303508486</v>
      </c>
    </row>
    <row r="34" spans="1:45" ht="12.75">
      <c r="A34" s="101" t="s">
        <v>124</v>
      </c>
      <c r="B34" s="104">
        <v>38247</v>
      </c>
      <c r="C34" s="105" t="s">
        <v>20</v>
      </c>
      <c r="D34" s="101" t="s">
        <v>6</v>
      </c>
      <c r="E34" s="101" t="s">
        <v>7</v>
      </c>
      <c r="F34" s="89">
        <v>4043</v>
      </c>
      <c r="G34" s="110">
        <v>1</v>
      </c>
      <c r="H34" s="91">
        <f>'NH4Cl Leach'!G34/1000*'Horizon Thicknesses'!$J34</f>
        <v>13.43511989500055</v>
      </c>
      <c r="I34" s="82">
        <f>'NH4Cl Leach'!G34/1000*'Horizon Thicknesses'!$L34</f>
        <v>3.7827036597574364</v>
      </c>
      <c r="J34" s="110">
        <v>1</v>
      </c>
      <c r="K34" s="100">
        <f>'NH4Cl Leach'!H34/1000*'Horizon Thicknesses'!$J34</f>
        <v>0.8695619671831077</v>
      </c>
      <c r="L34" s="80">
        <f>'NH4Cl Leach'!H34/1000*'Horizon Thicknesses'!$L34</f>
        <v>0.24482812668262258</v>
      </c>
      <c r="M34" s="110">
        <v>1</v>
      </c>
      <c r="N34" s="91">
        <f>'NH4Cl Leach'!I34/1000*'Horizon Thicknesses'!$J34</f>
        <v>2.9624918385765175</v>
      </c>
      <c r="O34" s="82">
        <f>'NH4Cl Leach'!I34/1000*'Horizon Thicknesses'!$L34</f>
        <v>0.8340996438710584</v>
      </c>
      <c r="P34" s="112">
        <v>0</v>
      </c>
      <c r="Q34" s="115">
        <f>Q$48/1000*'Horizon Thicknesses'!$J34</f>
        <v>3.349596000635723</v>
      </c>
      <c r="R34" s="116">
        <f>Q$48/1000*'Horizon Thicknesses'!$L34</f>
        <v>0.9430901361013201</v>
      </c>
      <c r="S34" s="110">
        <v>1</v>
      </c>
      <c r="T34" s="98">
        <f>'NH4Cl Leach'!K34/1000*'Horizon Thicknesses'!$J34</f>
        <v>2.7895979614763653</v>
      </c>
      <c r="U34" s="77">
        <f>'NH4Cl Leach'!K34/1000*'Horizon Thicknesses'!$L34</f>
        <v>0.7854207852700446</v>
      </c>
      <c r="V34" s="110">
        <v>1</v>
      </c>
      <c r="W34" s="98">
        <f>'NH4Cl Leach'!L34/1000*'Horizon Thicknesses'!$J34</f>
        <v>0.866101065445931</v>
      </c>
      <c r="X34" s="77">
        <f>'NH4Cl Leach'!L34/1000*'Horizon Thicknesses'!$L34</f>
        <v>0.24385369803817475</v>
      </c>
      <c r="Y34" s="110">
        <v>1</v>
      </c>
      <c r="Z34" s="98">
        <f>'NH4Cl Leach'!M34/1000*'Horizon Thicknesses'!$J34</f>
        <v>0.11668672023670384</v>
      </c>
      <c r="AA34" s="77">
        <f>'NH4Cl Leach'!M34/1000*'Horizon Thicknesses'!$L34</f>
        <v>0.03285354259091662</v>
      </c>
      <c r="AB34" s="110">
        <v>1</v>
      </c>
      <c r="AC34" s="98">
        <f>'NH4Cl Leach'!N34/1000*'Horizon Thicknesses'!$J34</f>
        <v>0.5863548910304542</v>
      </c>
      <c r="AD34" s="77">
        <f>'NH4Cl Leach'!N34/1000*'Horizon Thicknesses'!$L34</f>
        <v>0.16509021203770072</v>
      </c>
      <c r="AE34" s="117">
        <v>0</v>
      </c>
      <c r="AF34" s="115">
        <f>AF$48/1000*'Horizon Thicknesses'!$J34</f>
        <v>0.6699192001271446</v>
      </c>
      <c r="AG34" s="116">
        <f>AF$48/1000*'Horizon Thicknesses'!$L34</f>
        <v>0.188618027220264</v>
      </c>
      <c r="AH34" s="110">
        <v>1</v>
      </c>
      <c r="AI34" s="98">
        <f>'NH4Cl Leach'!P34/1000*'Horizon Thicknesses'!$J34</f>
        <v>0.8190150673652917</v>
      </c>
      <c r="AJ34" s="77">
        <f>'NH4Cl Leach'!P34/1000*'Horizon Thicknesses'!$L34</f>
        <v>0.23059647527760643</v>
      </c>
      <c r="AK34" s="110">
        <v>1</v>
      </c>
      <c r="AL34" s="98">
        <f>'NH4Cl Leach'!Q34/1000*'Horizon Thicknesses'!$J34</f>
        <v>2.5620216066576544</v>
      </c>
      <c r="AM34" s="77">
        <f>'NH4Cl Leach'!Q34/1000*'Horizon Thicknesses'!$L34</f>
        <v>0.721345889253126</v>
      </c>
      <c r="AN34" s="110">
        <v>1</v>
      </c>
      <c r="AO34" s="98">
        <f>'NH4Cl Leach'!R34/1000*'Horizon Thicknesses'!$J34</f>
        <v>0.031805555655844225</v>
      </c>
      <c r="AP34" s="98">
        <f>'NH4Cl Leach'!R34/1000*'Horizon Thicknesses'!$L34</f>
        <v>0.008954962272033812</v>
      </c>
      <c r="AQ34" s="112">
        <v>0</v>
      </c>
      <c r="AR34" s="115">
        <f>AR$48/1000*'Horizon Thicknesses'!$J34</f>
        <v>0.3349596000635723</v>
      </c>
      <c r="AS34" s="116">
        <f>AR$48/1000*'Horizon Thicknesses'!$L34</f>
        <v>0.094309013610132</v>
      </c>
    </row>
    <row r="35" spans="1:45" ht="12.75">
      <c r="A35" s="101" t="s">
        <v>125</v>
      </c>
      <c r="B35" s="104">
        <v>38237</v>
      </c>
      <c r="C35" s="105" t="s">
        <v>20</v>
      </c>
      <c r="D35" s="101" t="s">
        <v>8</v>
      </c>
      <c r="E35" s="101" t="s">
        <v>7</v>
      </c>
      <c r="F35" s="89">
        <v>4045</v>
      </c>
      <c r="G35" s="111"/>
      <c r="H35" s="92"/>
      <c r="I35" s="83"/>
      <c r="J35" s="111"/>
      <c r="K35" s="114"/>
      <c r="L35" s="81"/>
      <c r="M35" s="111"/>
      <c r="N35" s="92"/>
      <c r="O35" s="83"/>
      <c r="P35" s="111"/>
      <c r="Q35" s="97"/>
      <c r="R35" s="71"/>
      <c r="S35" s="111"/>
      <c r="T35" s="97"/>
      <c r="U35" s="71"/>
      <c r="V35" s="111"/>
      <c r="W35" s="97"/>
      <c r="X35" s="71"/>
      <c r="Y35" s="111"/>
      <c r="Z35" s="97"/>
      <c r="AA35" s="71"/>
      <c r="AB35" s="111"/>
      <c r="AC35" s="97"/>
      <c r="AD35" s="71"/>
      <c r="AE35" s="118"/>
      <c r="AF35" s="97"/>
      <c r="AG35" s="71"/>
      <c r="AH35" s="111"/>
      <c r="AI35" s="97"/>
      <c r="AJ35" s="71"/>
      <c r="AK35" s="111"/>
      <c r="AL35" s="97"/>
      <c r="AM35" s="71"/>
      <c r="AN35" s="111"/>
      <c r="AO35" s="97"/>
      <c r="AP35" s="97"/>
      <c r="AQ35" s="111"/>
      <c r="AR35" s="97"/>
      <c r="AS35" s="71"/>
    </row>
    <row r="36" spans="1:45" ht="12.75">
      <c r="A36" s="101" t="s">
        <v>126</v>
      </c>
      <c r="B36" s="104">
        <v>38244</v>
      </c>
      <c r="C36" s="105" t="s">
        <v>17</v>
      </c>
      <c r="D36" s="24" t="s">
        <v>43</v>
      </c>
      <c r="E36" s="103"/>
      <c r="F36" s="90"/>
      <c r="G36" s="111"/>
      <c r="H36" s="92"/>
      <c r="I36" s="83"/>
      <c r="J36" s="111"/>
      <c r="K36" s="114"/>
      <c r="L36" s="81"/>
      <c r="M36" s="111"/>
      <c r="N36" s="92"/>
      <c r="O36" s="83"/>
      <c r="P36" s="111"/>
      <c r="Q36" s="97"/>
      <c r="R36" s="71"/>
      <c r="S36" s="111"/>
      <c r="T36" s="97"/>
      <c r="U36" s="71"/>
      <c r="V36" s="111"/>
      <c r="W36" s="97"/>
      <c r="X36" s="71"/>
      <c r="Y36" s="111"/>
      <c r="Z36" s="97"/>
      <c r="AA36" s="71"/>
      <c r="AB36" s="111"/>
      <c r="AC36" s="97"/>
      <c r="AD36" s="71"/>
      <c r="AE36" s="118"/>
      <c r="AF36" s="97"/>
      <c r="AG36" s="71"/>
      <c r="AH36" s="111"/>
      <c r="AI36" s="97"/>
      <c r="AJ36" s="71"/>
      <c r="AK36" s="111"/>
      <c r="AL36" s="97"/>
      <c r="AM36" s="71"/>
      <c r="AN36" s="111"/>
      <c r="AO36" s="97"/>
      <c r="AP36" s="97"/>
      <c r="AQ36" s="111"/>
      <c r="AR36" s="97"/>
      <c r="AS36" s="71"/>
    </row>
    <row r="37" spans="1:45" ht="12.75">
      <c r="A37" s="101" t="s">
        <v>127</v>
      </c>
      <c r="B37" s="104">
        <v>38244</v>
      </c>
      <c r="C37" s="105" t="s">
        <v>17</v>
      </c>
      <c r="D37" s="101" t="s">
        <v>10</v>
      </c>
      <c r="E37" s="101" t="s">
        <v>11</v>
      </c>
      <c r="F37" s="89">
        <v>4037</v>
      </c>
      <c r="G37" s="111"/>
      <c r="H37" s="92"/>
      <c r="I37" s="83"/>
      <c r="J37" s="111"/>
      <c r="K37" s="114"/>
      <c r="L37" s="81"/>
      <c r="M37" s="111"/>
      <c r="N37" s="92"/>
      <c r="O37" s="83"/>
      <c r="P37" s="111"/>
      <c r="Q37" s="97"/>
      <c r="R37" s="71"/>
      <c r="S37" s="111"/>
      <c r="T37" s="97"/>
      <c r="U37" s="71"/>
      <c r="V37" s="111"/>
      <c r="W37" s="97"/>
      <c r="X37" s="71"/>
      <c r="Y37" s="111"/>
      <c r="Z37" s="97"/>
      <c r="AA37" s="71"/>
      <c r="AB37" s="111"/>
      <c r="AC37" s="97"/>
      <c r="AD37" s="71"/>
      <c r="AE37" s="118"/>
      <c r="AF37" s="97"/>
      <c r="AG37" s="71"/>
      <c r="AH37" s="111"/>
      <c r="AI37" s="97"/>
      <c r="AJ37" s="71"/>
      <c r="AK37" s="111"/>
      <c r="AL37" s="97"/>
      <c r="AM37" s="71"/>
      <c r="AN37" s="111"/>
      <c r="AO37" s="97"/>
      <c r="AP37" s="97"/>
      <c r="AQ37" s="111"/>
      <c r="AR37" s="97"/>
      <c r="AS37" s="71"/>
    </row>
    <row r="38" spans="1:45" ht="12.75">
      <c r="A38" s="101" t="s">
        <v>128</v>
      </c>
      <c r="B38" s="104">
        <v>38244</v>
      </c>
      <c r="C38" s="105" t="s">
        <v>17</v>
      </c>
      <c r="D38" s="101" t="s">
        <v>9</v>
      </c>
      <c r="E38" s="101" t="s">
        <v>7</v>
      </c>
      <c r="F38" s="89">
        <v>4035</v>
      </c>
      <c r="G38" s="110">
        <v>1</v>
      </c>
      <c r="H38" s="91">
        <f>'NH4Cl Leach'!G38/1000*'Horizon Thicknesses'!$J38</f>
        <v>7.467337285870688</v>
      </c>
      <c r="I38" s="82">
        <f>'NH4Cl Leach'!G38/1000*'Horizon Thicknesses'!$L38</f>
        <v>2.6167416065787057</v>
      </c>
      <c r="J38" s="110">
        <v>1</v>
      </c>
      <c r="K38" s="100">
        <f>'NH4Cl Leach'!H38/1000*'Horizon Thicknesses'!$J38</f>
        <v>0.16742589434138036</v>
      </c>
      <c r="L38" s="80">
        <f>'NH4Cl Leach'!H38/1000*'Horizon Thicknesses'!$L38</f>
        <v>0.058670217638449276</v>
      </c>
      <c r="M38" s="110">
        <v>1</v>
      </c>
      <c r="N38" s="91">
        <f>'NH4Cl Leach'!I38/1000*'Horizon Thicknesses'!$J38</f>
        <v>9.301162083182485</v>
      </c>
      <c r="O38" s="82">
        <f>'NH4Cl Leach'!I38/1000*'Horizon Thicknesses'!$L38</f>
        <v>3.2593596459943477</v>
      </c>
      <c r="P38" s="110">
        <v>1</v>
      </c>
      <c r="Q38" s="98">
        <f>'NH4Cl Leach'!J38/1000*'Horizon Thicknesses'!$J38</f>
        <v>4.046211521789408</v>
      </c>
      <c r="R38" s="77">
        <f>'NH4Cl Leach'!J38/1000*'Horizon Thicknesses'!$L38</f>
        <v>1.4178936390242274</v>
      </c>
      <c r="S38" s="110">
        <v>1</v>
      </c>
      <c r="T38" s="98">
        <f>'NH4Cl Leach'!K38/1000*'Horizon Thicknesses'!$J38</f>
        <v>1.669865776686886</v>
      </c>
      <c r="U38" s="77">
        <f>'NH4Cl Leach'!K38/1000*'Horizon Thicknesses'!$L38</f>
        <v>0.585162700970584</v>
      </c>
      <c r="V38" s="110">
        <v>1</v>
      </c>
      <c r="W38" s="98">
        <f>'NH4Cl Leach'!L38/1000*'Horizon Thicknesses'!$J38</f>
        <v>1.2658550435751321</v>
      </c>
      <c r="X38" s="77">
        <f>'NH4Cl Leach'!L38/1000*'Horizon Thicknesses'!$L38</f>
        <v>0.4435872431647265</v>
      </c>
      <c r="Y38" s="112">
        <v>0</v>
      </c>
      <c r="Z38" s="115">
        <f>Z$48/1000*'Horizon Thicknesses'!$J38</f>
        <v>0.02475645767296974</v>
      </c>
      <c r="AA38" s="116">
        <f>Z$48/1000*'Horizon Thicknesses'!$L38</f>
        <v>0.008675281475090236</v>
      </c>
      <c r="AB38" s="110">
        <v>1</v>
      </c>
      <c r="AC38" s="98">
        <f>'NH4Cl Leach'!N38/1000*'Horizon Thicknesses'!$J38</f>
        <v>0.24171658936640864</v>
      </c>
      <c r="AD38" s="77">
        <f>'NH4Cl Leach'!N38/1000*'Horizon Thicknesses'!$L38</f>
        <v>0.08470353382753772</v>
      </c>
      <c r="AE38" s="117">
        <v>0</v>
      </c>
      <c r="AF38" s="115">
        <f>AF$48/1000*'Horizon Thicknesses'!$J38</f>
        <v>0.24756457672969742</v>
      </c>
      <c r="AG38" s="116">
        <f>AF$48/1000*'Horizon Thicknesses'!$L38</f>
        <v>0.08675281475090235</v>
      </c>
      <c r="AH38" s="110">
        <v>1</v>
      </c>
      <c r="AI38" s="98">
        <f>'NH4Cl Leach'!P38/1000*'Horizon Thicknesses'!$J38</f>
        <v>0.2816710098920299</v>
      </c>
      <c r="AJ38" s="77">
        <f>'NH4Cl Leach'!P38/1000*'Horizon Thicknesses'!$L38</f>
        <v>0.09870456130944354</v>
      </c>
      <c r="AK38" s="110">
        <v>1</v>
      </c>
      <c r="AL38" s="98">
        <f>'NH4Cl Leach'!Q38/1000*'Horizon Thicknesses'!$J38</f>
        <v>0.5253724042281824</v>
      </c>
      <c r="AM38" s="77">
        <f>'NH4Cl Leach'!Q38/1000*'Horizon Thicknesses'!$L38</f>
        <v>0.18410362040207146</v>
      </c>
      <c r="AN38" s="110">
        <v>1</v>
      </c>
      <c r="AO38" s="98">
        <f>'NH4Cl Leach'!R38/1000*'Horizon Thicknesses'!$J38</f>
        <v>0.11915337313344347</v>
      </c>
      <c r="AP38" s="98">
        <f>'NH4Cl Leach'!R38/1000*'Horizon Thicknesses'!$L38</f>
        <v>0.041754319793809065</v>
      </c>
      <c r="AQ38" s="112">
        <v>0</v>
      </c>
      <c r="AR38" s="115">
        <f>AR$48/1000*'Horizon Thicknesses'!$J38</f>
        <v>0.12378228836484871</v>
      </c>
      <c r="AS38" s="116">
        <f>AR$48/1000*'Horizon Thicknesses'!$L38</f>
        <v>0.043376407375451176</v>
      </c>
    </row>
    <row r="39" spans="1:45" ht="12.75">
      <c r="A39" s="101" t="s">
        <v>129</v>
      </c>
      <c r="B39" s="104">
        <v>38244</v>
      </c>
      <c r="C39" s="105" t="s">
        <v>17</v>
      </c>
      <c r="D39" s="101" t="s">
        <v>18</v>
      </c>
      <c r="E39" s="101" t="s">
        <v>7</v>
      </c>
      <c r="F39" s="89">
        <v>4029</v>
      </c>
      <c r="G39" s="110">
        <v>1</v>
      </c>
      <c r="H39" s="91">
        <f>'NH4Cl Leach'!G39/1000*'Horizon Thicknesses'!$J39</f>
        <v>26.487137881281235</v>
      </c>
      <c r="I39" s="82">
        <f>'NH4Cl Leach'!G39/1000*'Horizon Thicknesses'!$L39</f>
        <v>7.457543675312192</v>
      </c>
      <c r="J39" s="110">
        <v>1</v>
      </c>
      <c r="K39" s="100">
        <f>'NH4Cl Leach'!H39/1000*'Horizon Thicknesses'!$J39</f>
        <v>0.6699567328191183</v>
      </c>
      <c r="L39" s="80">
        <f>'NH4Cl Leach'!H39/1000*'Horizon Thicknesses'!$L39</f>
        <v>0.18862859467722748</v>
      </c>
      <c r="M39" s="110">
        <v>1</v>
      </c>
      <c r="N39" s="91">
        <f>'NH4Cl Leach'!I39/1000*'Horizon Thicknesses'!$J39</f>
        <v>18.346675173123362</v>
      </c>
      <c r="O39" s="82">
        <f>'NH4Cl Leach'!I39/1000*'Horizon Thicknesses'!$L39</f>
        <v>5.165568738063859</v>
      </c>
      <c r="P39" s="110">
        <v>1</v>
      </c>
      <c r="Q39" s="98">
        <f>'NH4Cl Leach'!J39/1000*'Horizon Thicknesses'!$J39</f>
        <v>2.576515030422595</v>
      </c>
      <c r="R39" s="77">
        <f>'NH4Cl Leach'!J39/1000*'Horizon Thicknesses'!$L39</f>
        <v>0.7254265619636433</v>
      </c>
      <c r="S39" s="110">
        <v>1</v>
      </c>
      <c r="T39" s="98">
        <f>'NH4Cl Leach'!K39/1000*'Horizon Thicknesses'!$J39</f>
        <v>3.2320045819406635</v>
      </c>
      <c r="U39" s="77">
        <f>'NH4Cl Leach'!K39/1000*'Horizon Thicknesses'!$L39</f>
        <v>0.9099818725852353</v>
      </c>
      <c r="V39" s="110">
        <v>1</v>
      </c>
      <c r="W39" s="98">
        <f>'NH4Cl Leach'!L39/1000*'Horizon Thicknesses'!$J39</f>
        <v>2.373349011930272</v>
      </c>
      <c r="X39" s="77">
        <f>'NH4Cl Leach'!L39/1000*'Horizon Thicknesses'!$L39</f>
        <v>0.6682244790871639</v>
      </c>
      <c r="Y39" s="110">
        <v>1</v>
      </c>
      <c r="Z39" s="98">
        <f>'NH4Cl Leach'!M39/1000*'Horizon Thicknesses'!$J39</f>
        <v>0.16912639467897736</v>
      </c>
      <c r="AA39" s="77">
        <f>'NH4Cl Leach'!M39/1000*'Horizon Thicknesses'!$L39</f>
        <v>0.04761811112320722</v>
      </c>
      <c r="AB39" s="110">
        <v>1</v>
      </c>
      <c r="AC39" s="98">
        <f>'NH4Cl Leach'!N39/1000*'Horizon Thicknesses'!$J39</f>
        <v>0.5399073317219083</v>
      </c>
      <c r="AD39" s="77">
        <f>'NH4Cl Leach'!N39/1000*'Horizon Thicknesses'!$L39</f>
        <v>0.15201274388286737</v>
      </c>
      <c r="AE39" s="117">
        <v>0</v>
      </c>
      <c r="AF39" s="115">
        <f>AF$48/1000*'Horizon Thicknesses'!$J39</f>
        <v>0.4545880286577052</v>
      </c>
      <c r="AG39" s="116">
        <f>AF$48/1000*'Horizon Thicknesses'!$L39</f>
        <v>0.12799080418517914</v>
      </c>
      <c r="AH39" s="110">
        <v>1</v>
      </c>
      <c r="AI39" s="98">
        <f>'NH4Cl Leach'!P39/1000*'Horizon Thicknesses'!$J39</f>
        <v>0.5750842873528639</v>
      </c>
      <c r="AJ39" s="77">
        <f>'NH4Cl Leach'!P39/1000*'Horizon Thicknesses'!$L39</f>
        <v>0.1619169352741073</v>
      </c>
      <c r="AK39" s="110">
        <v>1</v>
      </c>
      <c r="AL39" s="98">
        <f>'NH4Cl Leach'!Q39/1000*'Horizon Thicknesses'!$J39</f>
        <v>1.4931632624041067</v>
      </c>
      <c r="AM39" s="77">
        <f>'NH4Cl Leach'!Q39/1000*'Horizon Thicknesses'!$L39</f>
        <v>0.42040519038562224</v>
      </c>
      <c r="AN39" s="110">
        <v>1</v>
      </c>
      <c r="AO39" s="98">
        <f>'NH4Cl Leach'!R39/1000*'Horizon Thicknesses'!$J39</f>
        <v>0.30078153060488816</v>
      </c>
      <c r="AP39" s="98">
        <f>'NH4Cl Leach'!R39/1000*'Horizon Thicknesses'!$L39</f>
        <v>0.0846860620149685</v>
      </c>
      <c r="AQ39" s="112">
        <v>0</v>
      </c>
      <c r="AR39" s="115">
        <f>AR$48/1000*'Horizon Thicknesses'!$J39</f>
        <v>0.2272940143288526</v>
      </c>
      <c r="AS39" s="116">
        <f>AR$48/1000*'Horizon Thicknesses'!$L39</f>
        <v>0.06399540209258957</v>
      </c>
    </row>
    <row r="40" spans="1:45" ht="12.75">
      <c r="A40" s="101" t="s">
        <v>130</v>
      </c>
      <c r="B40" s="104">
        <v>38244</v>
      </c>
      <c r="C40" s="105" t="s">
        <v>17</v>
      </c>
      <c r="D40" s="101" t="s">
        <v>6</v>
      </c>
      <c r="E40" s="101" t="s">
        <v>7</v>
      </c>
      <c r="F40" s="89">
        <v>4031</v>
      </c>
      <c r="G40" s="110">
        <v>1</v>
      </c>
      <c r="H40" s="91">
        <f>'NH4Cl Leach'!G40/1000*'Horizon Thicknesses'!$J40</f>
        <v>11.294804685207655</v>
      </c>
      <c r="I40" s="82">
        <f>'NH4Cl Leach'!G40/1000*'Horizon Thicknesses'!$L40</f>
        <v>3.1800906395244852</v>
      </c>
      <c r="J40" s="110">
        <v>1</v>
      </c>
      <c r="K40" s="100">
        <f>'NH4Cl Leach'!H40/1000*'Horizon Thicknesses'!$J40</f>
        <v>1.5380399211466567</v>
      </c>
      <c r="L40" s="80">
        <f>'NH4Cl Leach'!H40/1000*'Horizon Thicknesses'!$L40</f>
        <v>0.43304036614808783</v>
      </c>
      <c r="M40" s="110">
        <v>1</v>
      </c>
      <c r="N40" s="91">
        <f>'NH4Cl Leach'!I40/1000*'Horizon Thicknesses'!$J40</f>
        <v>4.0972622244492305</v>
      </c>
      <c r="O40" s="82">
        <f>'NH4Cl Leach'!I40/1000*'Horizon Thicknesses'!$L40</f>
        <v>1.1535981020293948</v>
      </c>
      <c r="P40" s="112">
        <v>0</v>
      </c>
      <c r="Q40" s="115">
        <f>Q$48/1000*'Horizon Thicknesses'!$J40</f>
        <v>3.469224429229856</v>
      </c>
      <c r="R40" s="116">
        <f>Q$48/1000*'Horizon Thicknesses'!$L40</f>
        <v>0.9767719266763673</v>
      </c>
      <c r="S40" s="110">
        <v>1</v>
      </c>
      <c r="T40" s="98">
        <f>'NH4Cl Leach'!K40/1000*'Horizon Thicknesses'!$J40</f>
        <v>2.96504385740142</v>
      </c>
      <c r="U40" s="77">
        <f>'NH4Cl Leach'!K40/1000*'Horizon Thicknesses'!$L40</f>
        <v>0.8348181734431184</v>
      </c>
      <c r="V40" s="110">
        <v>1</v>
      </c>
      <c r="W40" s="98">
        <f>'NH4Cl Leach'!L40/1000*'Horizon Thicknesses'!$J40</f>
        <v>1.2155090617334317</v>
      </c>
      <c r="X40" s="77">
        <f>'NH4Cl Leach'!L40/1000*'Horizon Thicknesses'!$L40</f>
        <v>0.34223070670164585</v>
      </c>
      <c r="Y40" s="112">
        <v>0</v>
      </c>
      <c r="Z40" s="115">
        <f>Z$48/1000*'Horizon Thicknesses'!$J40</f>
        <v>0.06938448858459711</v>
      </c>
      <c r="AA40" s="116">
        <f>Z$48/1000*'Horizon Thicknesses'!$L40</f>
        <v>0.019535438533527343</v>
      </c>
      <c r="AB40" s="110">
        <v>1</v>
      </c>
      <c r="AC40" s="98">
        <f>'NH4Cl Leach'!N40/1000*'Horizon Thicknesses'!$J40</f>
        <v>0.6693550563548656</v>
      </c>
      <c r="AD40" s="77">
        <f>'NH4Cl Leach'!N40/1000*'Horizon Thicknesses'!$L40</f>
        <v>0.18845919062418545</v>
      </c>
      <c r="AE40" s="117">
        <v>0</v>
      </c>
      <c r="AF40" s="115">
        <f>AF$48/1000*'Horizon Thicknesses'!$J40</f>
        <v>0.6938448858459711</v>
      </c>
      <c r="AG40" s="116">
        <f>AF$48/1000*'Horizon Thicknesses'!$L40</f>
        <v>0.19535438533527344</v>
      </c>
      <c r="AH40" s="110">
        <v>1</v>
      </c>
      <c r="AI40" s="98">
        <f>'NH4Cl Leach'!P40/1000*'Horizon Thicknesses'!$J40</f>
        <v>0.8738491350074483</v>
      </c>
      <c r="AJ40" s="77">
        <f>'NH4Cl Leach'!P40/1000*'Horizon Thicknesses'!$L40</f>
        <v>0.24603519335161167</v>
      </c>
      <c r="AK40" s="110">
        <v>1</v>
      </c>
      <c r="AL40" s="98">
        <f>'NH4Cl Leach'!Q40/1000*'Horizon Thicknesses'!$J40</f>
        <v>4.8010305190933344</v>
      </c>
      <c r="AM40" s="77">
        <f>'NH4Cl Leach'!Q40/1000*'Horizon Thicknesses'!$L40</f>
        <v>1.351746456832104</v>
      </c>
      <c r="AN40" s="110">
        <v>1</v>
      </c>
      <c r="AO40" s="98">
        <f>'NH4Cl Leach'!R40/1000*'Horizon Thicknesses'!$J40</f>
        <v>0.07233966892280669</v>
      </c>
      <c r="AP40" s="98">
        <f>'NH4Cl Leach'!R40/1000*'Horizon Thicknesses'!$L40</f>
        <v>0.020367479599625184</v>
      </c>
      <c r="AQ40" s="112">
        <v>0</v>
      </c>
      <c r="AR40" s="115">
        <f>AR$48/1000*'Horizon Thicknesses'!$J40</f>
        <v>0.3469224429229856</v>
      </c>
      <c r="AS40" s="116">
        <f>AR$48/1000*'Horizon Thicknesses'!$L40</f>
        <v>0.09767719266763672</v>
      </c>
    </row>
    <row r="41" spans="1:45" ht="12.75">
      <c r="A41" s="101" t="s">
        <v>131</v>
      </c>
      <c r="B41" s="104">
        <v>38244</v>
      </c>
      <c r="C41" s="105" t="s">
        <v>17</v>
      </c>
      <c r="D41" s="101" t="s">
        <v>8</v>
      </c>
      <c r="E41" s="101" t="s">
        <v>7</v>
      </c>
      <c r="F41" s="89">
        <v>4033</v>
      </c>
      <c r="G41" s="111"/>
      <c r="H41" s="92"/>
      <c r="I41" s="83"/>
      <c r="J41" s="111"/>
      <c r="K41" s="114"/>
      <c r="L41" s="81"/>
      <c r="M41" s="111"/>
      <c r="N41" s="92"/>
      <c r="O41" s="83"/>
      <c r="P41" s="111"/>
      <c r="Q41" s="97"/>
      <c r="R41" s="71"/>
      <c r="S41" s="111"/>
      <c r="T41" s="97"/>
      <c r="U41" s="71"/>
      <c r="V41" s="111"/>
      <c r="W41" s="97"/>
      <c r="X41" s="71"/>
      <c r="Y41" s="111"/>
      <c r="Z41" s="97"/>
      <c r="AA41" s="71"/>
      <c r="AB41" s="111"/>
      <c r="AC41" s="97"/>
      <c r="AD41" s="71"/>
      <c r="AE41" s="118"/>
      <c r="AF41" s="97"/>
      <c r="AG41" s="71"/>
      <c r="AH41" s="111"/>
      <c r="AI41" s="97"/>
      <c r="AJ41" s="71"/>
      <c r="AK41" s="111"/>
      <c r="AL41" s="97"/>
      <c r="AM41" s="71"/>
      <c r="AN41" s="111"/>
      <c r="AO41" s="97"/>
      <c r="AP41" s="97"/>
      <c r="AQ41" s="111"/>
      <c r="AR41" s="97"/>
      <c r="AS41" s="71"/>
    </row>
    <row r="42" spans="1:45" ht="12.75">
      <c r="A42" s="101" t="s">
        <v>132</v>
      </c>
      <c r="B42" s="104">
        <v>38237</v>
      </c>
      <c r="C42" s="105" t="s">
        <v>22</v>
      </c>
      <c r="D42" s="24" t="s">
        <v>43</v>
      </c>
      <c r="E42" s="103"/>
      <c r="F42" s="90"/>
      <c r="G42" s="111"/>
      <c r="H42" s="92"/>
      <c r="I42" s="83"/>
      <c r="J42" s="111"/>
      <c r="K42" s="114"/>
      <c r="L42" s="81"/>
      <c r="M42" s="111"/>
      <c r="N42" s="92"/>
      <c r="O42" s="83"/>
      <c r="P42" s="111"/>
      <c r="Q42" s="97"/>
      <c r="R42" s="71"/>
      <c r="S42" s="111"/>
      <c r="T42" s="97"/>
      <c r="U42" s="71"/>
      <c r="V42" s="111"/>
      <c r="W42" s="97"/>
      <c r="X42" s="71"/>
      <c r="Y42" s="111"/>
      <c r="Z42" s="97"/>
      <c r="AA42" s="71"/>
      <c r="AB42" s="111"/>
      <c r="AC42" s="97"/>
      <c r="AD42" s="71"/>
      <c r="AE42" s="118"/>
      <c r="AF42" s="97"/>
      <c r="AG42" s="71"/>
      <c r="AH42" s="111"/>
      <c r="AI42" s="97"/>
      <c r="AJ42" s="71"/>
      <c r="AK42" s="111"/>
      <c r="AL42" s="97"/>
      <c r="AM42" s="71"/>
      <c r="AN42" s="111"/>
      <c r="AO42" s="97"/>
      <c r="AP42" s="97"/>
      <c r="AQ42" s="111"/>
      <c r="AR42" s="97"/>
      <c r="AS42" s="71"/>
    </row>
    <row r="43" spans="1:45" ht="12.75">
      <c r="A43" s="101" t="s">
        <v>133</v>
      </c>
      <c r="B43" s="104">
        <v>38237</v>
      </c>
      <c r="C43" s="105" t="s">
        <v>22</v>
      </c>
      <c r="D43" s="101" t="s">
        <v>10</v>
      </c>
      <c r="E43" s="101" t="s">
        <v>11</v>
      </c>
      <c r="F43" s="89">
        <v>4025</v>
      </c>
      <c r="G43" s="111"/>
      <c r="H43" s="92"/>
      <c r="I43" s="83"/>
      <c r="J43" s="111"/>
      <c r="K43" s="114"/>
      <c r="L43" s="81"/>
      <c r="M43" s="111"/>
      <c r="N43" s="92"/>
      <c r="O43" s="83"/>
      <c r="P43" s="111"/>
      <c r="Q43" s="97"/>
      <c r="R43" s="71"/>
      <c r="S43" s="111"/>
      <c r="T43" s="97"/>
      <c r="U43" s="71"/>
      <c r="V43" s="111"/>
      <c r="W43" s="97"/>
      <c r="X43" s="71"/>
      <c r="Y43" s="111"/>
      <c r="Z43" s="97"/>
      <c r="AA43" s="71"/>
      <c r="AB43" s="111"/>
      <c r="AC43" s="97"/>
      <c r="AD43" s="71"/>
      <c r="AE43" s="118"/>
      <c r="AF43" s="97"/>
      <c r="AG43" s="71"/>
      <c r="AH43" s="111"/>
      <c r="AI43" s="97"/>
      <c r="AJ43" s="71"/>
      <c r="AK43" s="111"/>
      <c r="AL43" s="97"/>
      <c r="AM43" s="71"/>
      <c r="AN43" s="111"/>
      <c r="AO43" s="97"/>
      <c r="AP43" s="97"/>
      <c r="AQ43" s="111"/>
      <c r="AR43" s="97"/>
      <c r="AS43" s="71"/>
    </row>
    <row r="44" spans="1:45" ht="12.75">
      <c r="A44" s="101" t="s">
        <v>134</v>
      </c>
      <c r="B44" s="104">
        <v>38237</v>
      </c>
      <c r="C44" s="105" t="s">
        <v>22</v>
      </c>
      <c r="D44" s="101" t="s">
        <v>18</v>
      </c>
      <c r="E44" s="101" t="s">
        <v>7</v>
      </c>
      <c r="F44" s="89">
        <v>4019</v>
      </c>
      <c r="G44" s="110">
        <v>1</v>
      </c>
      <c r="H44" s="91">
        <f>'NH4Cl Leach'!G44/1000*'Horizon Thicknesses'!$J44</f>
        <v>6.007357342218959</v>
      </c>
      <c r="I44" s="82">
        <f>'NH4Cl Leach'!G44/1000*'Horizon Thicknesses'!$L44</f>
        <v>2.274063758772354</v>
      </c>
      <c r="J44" s="110">
        <v>1</v>
      </c>
      <c r="K44" s="100">
        <f>'NH4Cl Leach'!H44/1000*'Horizon Thicknesses'!$J44</f>
        <v>0.1200556886653372</v>
      </c>
      <c r="L44" s="80">
        <f>'NH4Cl Leach'!H44/1000*'Horizon Thicknesses'!$L44</f>
        <v>0.04544665400701066</v>
      </c>
      <c r="M44" s="110">
        <v>1</v>
      </c>
      <c r="N44" s="91">
        <f>'NH4Cl Leach'!I44/1000*'Horizon Thicknesses'!$J44</f>
        <v>1.3661949969229354</v>
      </c>
      <c r="O44" s="82">
        <f>'NH4Cl Leach'!I44/1000*'Horizon Thicknesses'!$L44</f>
        <v>0.517168257677007</v>
      </c>
      <c r="P44" s="112">
        <v>0</v>
      </c>
      <c r="Q44" s="115">
        <f>Q$48/1000*'Horizon Thicknesses'!$J44</f>
        <v>0.7910438380794795</v>
      </c>
      <c r="R44" s="116">
        <f>Q$48/1000*'Horizon Thicknesses'!$L44</f>
        <v>0.29944683182643334</v>
      </c>
      <c r="S44" s="110">
        <v>1</v>
      </c>
      <c r="T44" s="98">
        <f>'NH4Cl Leach'!K44/1000*'Horizon Thicknesses'!$J44</f>
        <v>1.137127985803192</v>
      </c>
      <c r="U44" s="77">
        <f>'NH4Cl Leach'!K44/1000*'Horizon Thicknesses'!$L44</f>
        <v>0.43045575521659885</v>
      </c>
      <c r="V44" s="110">
        <v>1</v>
      </c>
      <c r="W44" s="98">
        <f>'NH4Cl Leach'!L44/1000*'Horizon Thicknesses'!$J44</f>
        <v>0.15970998400612652</v>
      </c>
      <c r="X44" s="77">
        <f>'NH4Cl Leach'!L44/1000*'Horizon Thicknesses'!$L44</f>
        <v>0.06045764649124261</v>
      </c>
      <c r="Y44" s="110">
        <v>1</v>
      </c>
      <c r="Z44" s="98">
        <f>'NH4Cl Leach'!M44/1000*'Horizon Thicknesses'!$J44</f>
        <v>0.200668504102362</v>
      </c>
      <c r="AA44" s="77">
        <f>'NH4Cl Leach'!M44/1000*'Horizon Thicknesses'!$L44</f>
        <v>0.07596234861861663</v>
      </c>
      <c r="AB44" s="110">
        <v>1</v>
      </c>
      <c r="AC44" s="98">
        <f>'NH4Cl Leach'!N44/1000*'Horizon Thicknesses'!$J44</f>
        <v>0.20770378212793586</v>
      </c>
      <c r="AD44" s="77">
        <f>'NH4Cl Leach'!N44/1000*'Horizon Thicknesses'!$L44</f>
        <v>0.07862552809662243</v>
      </c>
      <c r="AE44" s="117">
        <v>0</v>
      </c>
      <c r="AF44" s="115">
        <f>AF$48/1000*'Horizon Thicknesses'!$J44</f>
        <v>0.1582087676158959</v>
      </c>
      <c r="AG44" s="116">
        <f>AF$48/1000*'Horizon Thicknesses'!$L44</f>
        <v>0.05988936636528666</v>
      </c>
      <c r="AH44" s="110">
        <v>1</v>
      </c>
      <c r="AI44" s="98">
        <f>'NH4Cl Leach'!P44/1000*'Horizon Thicknesses'!$J44</f>
        <v>0.24024652703349195</v>
      </c>
      <c r="AJ44" s="77">
        <f>'NH4Cl Leach'!P44/1000*'Horizon Thicknesses'!$L44</f>
        <v>0.09094446845340892</v>
      </c>
      <c r="AK44" s="110">
        <v>1</v>
      </c>
      <c r="AL44" s="98">
        <f>'NH4Cl Leach'!Q44/1000*'Horizon Thicknesses'!$J44</f>
        <v>0.5223544886959964</v>
      </c>
      <c r="AM44" s="77">
        <f>'NH4Cl Leach'!Q44/1000*'Horizon Thicknesses'!$L44</f>
        <v>0.197735434119666</v>
      </c>
      <c r="AN44" s="110">
        <v>1</v>
      </c>
      <c r="AO44" s="98">
        <f>'NH4Cl Leach'!R44/1000*'Horizon Thicknesses'!$J44</f>
        <v>0.0065285471746675695</v>
      </c>
      <c r="AP44" s="98">
        <f>'NH4Cl Leach'!R44/1000*'Horizon Thicknesses'!$L44</f>
        <v>0.002471358316411276</v>
      </c>
      <c r="AQ44" s="112">
        <v>0</v>
      </c>
      <c r="AR44" s="115">
        <f>AR$48/1000*'Horizon Thicknesses'!$J44</f>
        <v>0.07910438380794794</v>
      </c>
      <c r="AS44" s="116">
        <f>AR$48/1000*'Horizon Thicknesses'!$L44</f>
        <v>0.02994468318264333</v>
      </c>
    </row>
    <row r="45" spans="1:45" ht="12.75">
      <c r="A45" s="101" t="s">
        <v>135</v>
      </c>
      <c r="B45" s="104">
        <v>38237</v>
      </c>
      <c r="C45" s="105" t="s">
        <v>22</v>
      </c>
      <c r="D45" s="101" t="s">
        <v>6</v>
      </c>
      <c r="E45" s="101" t="s">
        <v>7</v>
      </c>
      <c r="F45" s="89">
        <v>4021</v>
      </c>
      <c r="G45" s="110">
        <v>1</v>
      </c>
      <c r="H45" s="91">
        <f>'NH4Cl Leach'!G45/1000*'Horizon Thicknesses'!$J45</f>
        <v>7.763064751179396</v>
      </c>
      <c r="I45" s="82">
        <f>'NH4Cl Leach'!G45/1000*'Horizon Thicknesses'!$L45</f>
        <v>2.1986626923130217</v>
      </c>
      <c r="J45" s="112">
        <v>0</v>
      </c>
      <c r="K45" s="115">
        <f>K$48/1000*'Horizon Thicknesses'!$J45</f>
        <v>0.6134745312888231</v>
      </c>
      <c r="L45" s="116">
        <f>K$48/1000*'Horizon Thicknesses'!$L45</f>
        <v>0.17374884892259004</v>
      </c>
      <c r="M45" s="113">
        <v>1</v>
      </c>
      <c r="N45" s="91">
        <f>'NH4Cl Leach'!I45/1000*'Horizon Thicknesses'!$J45</f>
        <v>1.39837549647363</v>
      </c>
      <c r="O45" s="82">
        <f>'NH4Cl Leach'!I45/1000*'Horizon Thicknesses'!$L45</f>
        <v>0.3960492579266675</v>
      </c>
      <c r="P45" s="112">
        <v>0</v>
      </c>
      <c r="Q45" s="115">
        <f>Q$48/1000*'Horizon Thicknesses'!$J45</f>
        <v>5.112287760740194</v>
      </c>
      <c r="R45" s="116">
        <f>Q$48/1000*'Horizon Thicknesses'!$L45</f>
        <v>1.4479070743549172</v>
      </c>
      <c r="S45" s="113">
        <v>1</v>
      </c>
      <c r="T45" s="98">
        <f>'NH4Cl Leach'!K45/1000*'Horizon Thicknesses'!$J45</f>
        <v>3.5036297402559105</v>
      </c>
      <c r="U45" s="77">
        <f>'NH4Cl Leach'!K45/1000*'Horizon Thicknesses'!$L45</f>
        <v>0.9923013969977149</v>
      </c>
      <c r="V45" s="112">
        <v>0</v>
      </c>
      <c r="W45" s="115">
        <f>W$48/1000*'Horizon Thicknesses'!$J45</f>
        <v>0.10224575521480386</v>
      </c>
      <c r="X45" s="116">
        <f>W$48/1000*'Horizon Thicknesses'!$L45</f>
        <v>0.02895814148709834</v>
      </c>
      <c r="Y45" s="113">
        <v>1</v>
      </c>
      <c r="Z45" s="98">
        <f>'NH4Cl Leach'!M45/1000*'Horizon Thicknesses'!$J45</f>
        <v>0.24281974467261264</v>
      </c>
      <c r="AA45" s="77">
        <f>'NH4Cl Leach'!M45/1000*'Horizon Thicknesses'!$L45</f>
        <v>0.06877164247374569</v>
      </c>
      <c r="AB45" s="113">
        <v>1</v>
      </c>
      <c r="AC45" s="98">
        <f>'NH4Cl Leach'!N45/1000*'Horizon Thicknesses'!$J45</f>
        <v>0.8403295867822307</v>
      </c>
      <c r="AD45" s="77">
        <f>'NH4Cl Leach'!N45/1000*'Horizon Thicknesses'!$L45</f>
        <v>0.23799895671670307</v>
      </c>
      <c r="AE45" s="117">
        <v>0</v>
      </c>
      <c r="AF45" s="115">
        <f>AF$48/1000*'Horizon Thicknesses'!$J45</f>
        <v>1.0224575521480386</v>
      </c>
      <c r="AG45" s="116">
        <f>AF$48/1000*'Horizon Thicknesses'!$L45</f>
        <v>0.2895814148709834</v>
      </c>
      <c r="AH45" s="113">
        <v>1</v>
      </c>
      <c r="AI45" s="98">
        <f>'NH4Cl Leach'!P45/1000*'Horizon Thicknesses'!$J45</f>
        <v>1.1775716466686204</v>
      </c>
      <c r="AJ45" s="77">
        <f>'NH4Cl Leach'!P45/1000*'Horizon Thicknesses'!$L45</f>
        <v>0.3335129784486936</v>
      </c>
      <c r="AK45" s="113">
        <v>1</v>
      </c>
      <c r="AL45" s="98">
        <f>'NH4Cl Leach'!Q45/1000*'Horizon Thicknesses'!$J45</f>
        <v>4.649830435331772</v>
      </c>
      <c r="AM45" s="77">
        <f>'NH4Cl Leach'!Q45/1000*'Horizon Thicknesses'!$L45</f>
        <v>1.3169294642547458</v>
      </c>
      <c r="AN45" s="112">
        <v>0</v>
      </c>
      <c r="AO45" s="99">
        <f>AO$48/1000*'Horizon Thicknesses'!$J45</f>
        <v>0.010224575521480388</v>
      </c>
      <c r="AP45" s="99">
        <f>AO$48/1000*'Horizon Thicknesses'!$L45</f>
        <v>0.0028958141487098344</v>
      </c>
      <c r="AQ45" s="112">
        <v>0</v>
      </c>
      <c r="AR45" s="115">
        <f>AR$48/1000*'Horizon Thicknesses'!$J45</f>
        <v>0.5112287760740193</v>
      </c>
      <c r="AS45" s="116">
        <f>AR$48/1000*'Horizon Thicknesses'!$L45</f>
        <v>0.1447907074354917</v>
      </c>
    </row>
    <row r="46" spans="1:45" ht="12.75">
      <c r="A46" s="101" t="s">
        <v>136</v>
      </c>
      <c r="B46" s="104">
        <v>38237</v>
      </c>
      <c r="C46" s="105" t="s">
        <v>22</v>
      </c>
      <c r="D46" s="101" t="s">
        <v>8</v>
      </c>
      <c r="E46" s="101" t="s">
        <v>7</v>
      </c>
      <c r="F46" s="89">
        <v>4023</v>
      </c>
      <c r="G46" s="111"/>
      <c r="H46" s="92"/>
      <c r="I46" s="83"/>
      <c r="J46" s="111"/>
      <c r="K46" s="97"/>
      <c r="L46" s="71"/>
      <c r="M46" s="70"/>
      <c r="N46" s="97"/>
      <c r="O46" s="71"/>
      <c r="P46" s="70"/>
      <c r="Q46" s="97"/>
      <c r="R46" s="71"/>
      <c r="S46" s="70"/>
      <c r="T46" s="97"/>
      <c r="U46" s="71"/>
      <c r="V46" s="70"/>
      <c r="W46" s="97"/>
      <c r="X46" s="71"/>
      <c r="Y46" s="70"/>
      <c r="Z46" s="97"/>
      <c r="AA46" s="71"/>
      <c r="AB46" s="70"/>
      <c r="AC46" s="97"/>
      <c r="AD46" s="71"/>
      <c r="AE46" s="111"/>
      <c r="AF46" s="97"/>
      <c r="AG46" s="71"/>
      <c r="AH46" s="70"/>
      <c r="AI46" s="97"/>
      <c r="AJ46" s="71"/>
      <c r="AK46" s="70"/>
      <c r="AL46" s="97"/>
      <c r="AM46" s="71"/>
      <c r="AN46" s="70"/>
      <c r="AO46" s="97"/>
      <c r="AP46" s="97"/>
      <c r="AQ46" s="111"/>
      <c r="AR46" s="97"/>
      <c r="AS46" s="71"/>
    </row>
    <row r="47" spans="8:45" ht="12.75">
      <c r="H47" s="93"/>
      <c r="I47" s="74"/>
      <c r="J47" s="73"/>
      <c r="K47" s="93"/>
      <c r="L47" s="74"/>
      <c r="M47" s="73"/>
      <c r="N47" s="93"/>
      <c r="O47" s="74"/>
      <c r="P47" s="73"/>
      <c r="Q47" s="93"/>
      <c r="R47" s="74"/>
      <c r="S47" s="73"/>
      <c r="T47" s="93"/>
      <c r="U47" s="74"/>
      <c r="V47" s="73"/>
      <c r="W47" s="93"/>
      <c r="X47" s="74"/>
      <c r="Y47" s="73"/>
      <c r="Z47" s="93"/>
      <c r="AA47" s="74"/>
      <c r="AB47" s="73"/>
      <c r="AC47" s="93"/>
      <c r="AD47" s="74"/>
      <c r="AE47" s="73"/>
      <c r="AF47" s="93"/>
      <c r="AG47" s="74"/>
      <c r="AH47" s="73"/>
      <c r="AI47" s="93"/>
      <c r="AJ47" s="74"/>
      <c r="AK47" s="73"/>
      <c r="AL47" s="93"/>
      <c r="AM47" s="74"/>
      <c r="AN47" s="73"/>
      <c r="AO47" s="93"/>
      <c r="AP47" s="93"/>
      <c r="AQ47" s="73"/>
      <c r="AR47" s="93"/>
      <c r="AS47" s="74"/>
    </row>
    <row r="48" spans="3:44" ht="12.75">
      <c r="C48" s="95" t="s">
        <v>181</v>
      </c>
      <c r="D48" s="2"/>
      <c r="E48" s="2"/>
      <c r="H48" s="107">
        <v>0.0034160031009175603</v>
      </c>
      <c r="K48" s="107">
        <v>0.002049601860550536</v>
      </c>
      <c r="N48" s="107">
        <v>0.0017080015504587801</v>
      </c>
      <c r="Q48" s="107">
        <v>0.017080015504587803</v>
      </c>
      <c r="T48" s="107">
        <v>0.0034160031009175603</v>
      </c>
      <c r="W48" s="107">
        <v>0.000341600310091756</v>
      </c>
      <c r="Z48" s="107">
        <v>0.000341600310091756</v>
      </c>
      <c r="AC48" s="107">
        <v>0.0017080015504587801</v>
      </c>
      <c r="AF48" s="107">
        <v>0.0034160031009175603</v>
      </c>
      <c r="AI48" s="107">
        <v>0.0034160031009175603</v>
      </c>
      <c r="AL48" s="107">
        <v>0.002049601860550536</v>
      </c>
      <c r="AO48" s="108">
        <v>3.4160031009175606E-05</v>
      </c>
      <c r="AR48" s="107">
        <v>0.0017080015504587801</v>
      </c>
    </row>
    <row r="49" spans="4:45" ht="12.75">
      <c r="D49" s="96"/>
      <c r="H49" s="93"/>
      <c r="I49" s="74"/>
      <c r="J49" s="73"/>
      <c r="K49" s="93"/>
      <c r="L49" s="74"/>
      <c r="M49" s="73"/>
      <c r="N49" s="93"/>
      <c r="O49" s="74"/>
      <c r="P49" s="73"/>
      <c r="Q49" s="93"/>
      <c r="R49" s="74"/>
      <c r="S49" s="73"/>
      <c r="T49" s="93"/>
      <c r="U49" s="74"/>
      <c r="V49" s="73"/>
      <c r="W49" s="93"/>
      <c r="X49" s="74"/>
      <c r="Y49" s="73"/>
      <c r="Z49" s="93"/>
      <c r="AA49" s="74"/>
      <c r="AB49" s="73"/>
      <c r="AC49" s="93"/>
      <c r="AD49" s="74"/>
      <c r="AE49" s="73"/>
      <c r="AF49" s="93"/>
      <c r="AG49" s="74"/>
      <c r="AH49" s="73"/>
      <c r="AI49" s="93"/>
      <c r="AJ49" s="74"/>
      <c r="AK49" s="73"/>
      <c r="AL49" s="93"/>
      <c r="AM49" s="74"/>
      <c r="AN49" s="73"/>
      <c r="AO49" s="93"/>
      <c r="AP49" s="93"/>
      <c r="AQ49" s="73"/>
      <c r="AR49" s="93"/>
      <c r="AS49" s="74"/>
    </row>
    <row r="50" spans="1:45" s="146" customFormat="1" ht="12.75">
      <c r="A50" s="137"/>
      <c r="B50" s="137"/>
      <c r="C50" s="138"/>
      <c r="D50" s="137"/>
      <c r="E50" s="137"/>
      <c r="F50" s="137"/>
      <c r="G50" s="139"/>
      <c r="H50" s="140" t="s">
        <v>189</v>
      </c>
      <c r="I50" s="141"/>
      <c r="J50" s="142"/>
      <c r="K50" s="143"/>
      <c r="L50" s="144"/>
      <c r="M50" s="145"/>
      <c r="N50" s="143"/>
      <c r="O50" s="144"/>
      <c r="P50" s="145"/>
      <c r="Q50" s="143"/>
      <c r="R50" s="144"/>
      <c r="S50" s="145"/>
      <c r="T50" s="143"/>
      <c r="U50" s="144"/>
      <c r="V50" s="145"/>
      <c r="W50" s="143"/>
      <c r="X50" s="144"/>
      <c r="Y50" s="145"/>
      <c r="Z50" s="143"/>
      <c r="AA50" s="144"/>
      <c r="AB50" s="145"/>
      <c r="AC50" s="143"/>
      <c r="AD50" s="144"/>
      <c r="AE50" s="145"/>
      <c r="AF50" s="143"/>
      <c r="AG50" s="144"/>
      <c r="AH50" s="145"/>
      <c r="AI50" s="143"/>
      <c r="AJ50" s="144"/>
      <c r="AK50" s="145"/>
      <c r="AL50" s="143"/>
      <c r="AM50" s="144"/>
      <c r="AN50" s="145"/>
      <c r="AO50" s="143"/>
      <c r="AP50" s="143"/>
      <c r="AQ50" s="145"/>
      <c r="AR50" s="143"/>
      <c r="AS50" s="144"/>
    </row>
    <row r="51" spans="8:45" ht="13.5" thickBot="1">
      <c r="H51" s="89" t="s">
        <v>75</v>
      </c>
      <c r="I51" s="76" t="s">
        <v>167</v>
      </c>
      <c r="K51" s="89" t="s">
        <v>76</v>
      </c>
      <c r="L51" s="76" t="s">
        <v>168</v>
      </c>
      <c r="N51" s="89" t="s">
        <v>77</v>
      </c>
      <c r="O51" s="76" t="s">
        <v>169</v>
      </c>
      <c r="Q51" s="89" t="s">
        <v>78</v>
      </c>
      <c r="R51" s="76" t="s">
        <v>170</v>
      </c>
      <c r="T51" s="89" t="s">
        <v>79</v>
      </c>
      <c r="U51" s="76" t="s">
        <v>171</v>
      </c>
      <c r="W51" s="89" t="s">
        <v>80</v>
      </c>
      <c r="X51" s="76" t="s">
        <v>172</v>
      </c>
      <c r="Z51" s="89" t="s">
        <v>81</v>
      </c>
      <c r="AA51" s="76" t="s">
        <v>173</v>
      </c>
      <c r="AC51" s="89" t="s">
        <v>82</v>
      </c>
      <c r="AD51" s="76" t="s">
        <v>174</v>
      </c>
      <c r="AF51" s="89" t="s">
        <v>83</v>
      </c>
      <c r="AG51" s="76" t="s">
        <v>179</v>
      </c>
      <c r="AI51" s="89" t="s">
        <v>84</v>
      </c>
      <c r="AJ51" s="76" t="s">
        <v>178</v>
      </c>
      <c r="AL51" s="89" t="s">
        <v>85</v>
      </c>
      <c r="AM51" s="76" t="s">
        <v>177</v>
      </c>
      <c r="AO51" s="89" t="s">
        <v>86</v>
      </c>
      <c r="AP51" s="89" t="s">
        <v>176</v>
      </c>
      <c r="AQ51" s="73"/>
      <c r="AR51" s="89" t="s">
        <v>87</v>
      </c>
      <c r="AS51" s="76" t="s">
        <v>175</v>
      </c>
    </row>
    <row r="52" spans="1:45" ht="12.75">
      <c r="A52" s="66" t="s">
        <v>183</v>
      </c>
      <c r="B52" s="67"/>
      <c r="C52" s="105">
        <v>101</v>
      </c>
      <c r="D52" s="89" t="s">
        <v>137</v>
      </c>
      <c r="H52" s="94">
        <f>SUMIF(G4,"1",H4)</f>
        <v>32.429293403937436</v>
      </c>
      <c r="I52" s="86">
        <f>SUMIF(G4,"1",I4)</f>
        <v>9.540714948067096</v>
      </c>
      <c r="J52" s="85"/>
      <c r="K52" s="94">
        <f>SUMIF(J4,"1",K4)</f>
        <v>2.1180843939606606</v>
      </c>
      <c r="L52" s="86">
        <f>SUMIF(J4,"1",L4)</f>
        <v>0.6231415278469968</v>
      </c>
      <c r="M52" s="85"/>
      <c r="N52" s="94">
        <f>SUMIF(M4,"1",N4)</f>
        <v>5.157432021980078</v>
      </c>
      <c r="O52" s="86">
        <f>SUMIF(M4,"1",O4)</f>
        <v>1.5173191772279224</v>
      </c>
      <c r="P52" s="85"/>
      <c r="Q52" s="94">
        <f>SUMIF(P4,"1",Q4)</f>
        <v>12.913328373918446</v>
      </c>
      <c r="R52" s="86">
        <f>SUMIF(P4,"1",R4)</f>
        <v>3.7991079087583186</v>
      </c>
      <c r="S52" s="85"/>
      <c r="T52" s="94">
        <f>SUMIF(S4,"1",T4)</f>
        <v>11.249890170427538</v>
      </c>
      <c r="U52" s="86">
        <f>SUMIF(S4,"1",U4)</f>
        <v>3.3097235260784093</v>
      </c>
      <c r="V52" s="85"/>
      <c r="W52" s="94">
        <f>SUMIF(V4,"1",W4)</f>
        <v>2.169088187311788</v>
      </c>
      <c r="X52" s="86">
        <f>SUMIF(V4,"1",X4)</f>
        <v>0.6381468703184472</v>
      </c>
      <c r="Y52" s="85"/>
      <c r="Z52" s="94">
        <f>SUMIF(Y4,"1",Z4)</f>
        <v>0.6738452719307646</v>
      </c>
      <c r="AA52" s="86">
        <f>SUMIF(Y4,"1",AA4)</f>
        <v>0.19824562868254178</v>
      </c>
      <c r="AB52" s="85"/>
      <c r="AC52" s="94">
        <f>SUMIF(AB4,"1",AC4)</f>
        <v>1.4937398666971289</v>
      </c>
      <c r="AD52" s="86">
        <f>SUMIF(AB4,"1",AD4)</f>
        <v>0.43945904393312213</v>
      </c>
      <c r="AE52" s="85"/>
      <c r="AF52" s="131"/>
      <c r="AG52" s="132"/>
      <c r="AH52" s="85"/>
      <c r="AI52" s="94">
        <f>SUMIF(AH4,"1",AI4)</f>
        <v>2.0146695378284716</v>
      </c>
      <c r="AJ52" s="86">
        <f>SUMIF(AH4,"1",AJ4)</f>
        <v>0.5927168235075311</v>
      </c>
      <c r="AK52" s="85"/>
      <c r="AL52" s="94">
        <f>SUMIF(AK4,"1",AL4)</f>
        <v>15.288853647181414</v>
      </c>
      <c r="AM52" s="86">
        <f>SUMIF(AK4,"1",AM4)</f>
        <v>4.497988676890608</v>
      </c>
      <c r="AN52" s="85"/>
      <c r="AO52" s="131">
        <f>SUMIF(AN4,"1",AO4)</f>
        <v>0</v>
      </c>
      <c r="AP52" s="131">
        <f>SUMIF(AN4,"1",AP4)</f>
        <v>0</v>
      </c>
      <c r="AQ52" s="73"/>
      <c r="AR52" s="131"/>
      <c r="AS52" s="132"/>
    </row>
    <row r="53" spans="1:45" ht="12.75">
      <c r="A53" s="75" t="s">
        <v>184</v>
      </c>
      <c r="B53" s="76"/>
      <c r="C53" s="105" t="s">
        <v>19</v>
      </c>
      <c r="D53" s="89" t="s">
        <v>137</v>
      </c>
      <c r="H53" s="94">
        <f>SUMIF(G8:G10,"1",H8:H10)</f>
        <v>19.346106088004163</v>
      </c>
      <c r="I53" s="86">
        <f>SUMIF(G8:G10,"1",I8:I10)</f>
        <v>5.798293312875266</v>
      </c>
      <c r="J53" s="85"/>
      <c r="K53" s="133">
        <f>SUMIF(J8:J10,"1",K8:K10)</f>
        <v>2.4897074173075975</v>
      </c>
      <c r="L53" s="134">
        <f>SUMIF(J8:J10,"1",L8:L10)</f>
        <v>0.7009855835137896</v>
      </c>
      <c r="M53" s="85"/>
      <c r="N53" s="94">
        <f>SUMIF(M8:M10,"1",N8:N10)</f>
        <v>16.926969549492622</v>
      </c>
      <c r="O53" s="86">
        <f>SUMIF(M8:M10,"1",O8:O10)</f>
        <v>5.043580537396877</v>
      </c>
      <c r="P53" s="85"/>
      <c r="Q53" s="133">
        <f>SUMIF(P8:P10,"1",Q8:Q10)</f>
        <v>3.8327496551184055</v>
      </c>
      <c r="R53" s="134">
        <f>SUMIF(P8:P10,"1",R8:R10)</f>
        <v>1.2497396283377586</v>
      </c>
      <c r="S53" s="85"/>
      <c r="T53" s="94">
        <f>SUMIF(S8:S10,"1",T8:T10)</f>
        <v>10.941211970730954</v>
      </c>
      <c r="U53" s="86">
        <f>SUMIF(S8:S10,"1",U8:U10)</f>
        <v>3.2138199297058985</v>
      </c>
      <c r="V53" s="85"/>
      <c r="W53" s="94">
        <f>SUMIF(V8:V10,"1",W8:W10)</f>
        <v>4.387583797928684</v>
      </c>
      <c r="X53" s="86">
        <f>SUMIF(V8:V10,"1",X8:X10)</f>
        <v>1.2579732452708539</v>
      </c>
      <c r="Y53" s="85"/>
      <c r="Z53" s="94">
        <f>SUMIF(Y8:Y10,"1",Z8:Z10)</f>
        <v>2.545498736227897</v>
      </c>
      <c r="AA53" s="86">
        <f>SUMIF(Y8:Y10,"1",AA8:AA10)</f>
        <v>0.7290978459856725</v>
      </c>
      <c r="AB53" s="85"/>
      <c r="AC53" s="94">
        <f>SUMIF(AB8:AB10,"1",AC8:AC10)</f>
        <v>1.9653512841902505</v>
      </c>
      <c r="AD53" s="86">
        <f>SUMIF(AB8:AB10,"1",AD8:AD10)</f>
        <v>0.5799193191831021</v>
      </c>
      <c r="AE53" s="85"/>
      <c r="AF53" s="131"/>
      <c r="AG53" s="132"/>
      <c r="AH53" s="85"/>
      <c r="AI53" s="94">
        <f>SUMIF(AH8:AH10,"1",AI8:AI10)</f>
        <v>1.9344809756222383</v>
      </c>
      <c r="AJ53" s="86">
        <f>SUMIF(AH8:AH10,"1",AJ8:AJ10)</f>
        <v>0.565876746171657</v>
      </c>
      <c r="AK53" s="85"/>
      <c r="AL53" s="94">
        <f>SUMIF(AK8:AK10,"1",AL8:AL10)</f>
        <v>14.006189587964258</v>
      </c>
      <c r="AM53" s="86">
        <f>SUMIF(AK8:AK10,"1",AM8:AM10)</f>
        <v>4.029146504084119</v>
      </c>
      <c r="AN53" s="85"/>
      <c r="AO53" s="136">
        <f>SUMIF(AN8:AN10,"1",AO8:AO10)</f>
        <v>0.0866325587781111</v>
      </c>
      <c r="AP53" s="136">
        <f>SUMIF(AN8:AN10,"1",AP8:AP10)</f>
        <v>0.02563933317324688</v>
      </c>
      <c r="AQ53" s="73"/>
      <c r="AR53" s="131"/>
      <c r="AS53" s="132"/>
    </row>
    <row r="54" spans="1:45" ht="12.75">
      <c r="A54" s="75"/>
      <c r="B54" s="76"/>
      <c r="C54" s="105" t="s">
        <v>5</v>
      </c>
      <c r="D54" s="89" t="s">
        <v>137</v>
      </c>
      <c r="H54" s="94">
        <f>SUMIF(G14:G15,"1",H14:H15)</f>
        <v>30.717869792767576</v>
      </c>
      <c r="I54" s="86">
        <f>SUMIF(G14:G15,"1",I14:I15)</f>
        <v>8.912975581494214</v>
      </c>
      <c r="J54" s="85"/>
      <c r="K54" s="133">
        <f>SUMIF(J14:J15,"1",K14:K15)</f>
        <v>1.4354820593193989</v>
      </c>
      <c r="L54" s="134">
        <f>SUMIF(J14:J15,"1",L14:L15)</f>
        <v>0.4150458803701835</v>
      </c>
      <c r="M54" s="85"/>
      <c r="N54" s="94">
        <f>SUMIF(M14:M15,"1",N14:N15)</f>
        <v>12.122977032890693</v>
      </c>
      <c r="O54" s="86">
        <f>SUMIF(M14:M15,"1",O14:O15)</f>
        <v>3.612388914516535</v>
      </c>
      <c r="P54" s="85"/>
      <c r="Q54" s="133">
        <f>SUMIF(P14:P15,"1",Q14:Q15)</f>
        <v>12.695845249748919</v>
      </c>
      <c r="R54" s="134">
        <f>SUMIF(P14:P15,"1",R14:R15)</f>
        <v>3.6707935390178252</v>
      </c>
      <c r="S54" s="85"/>
      <c r="T54" s="94">
        <f>SUMIF(S14:S15,"1",T14:T15)</f>
        <v>9.979776390516971</v>
      </c>
      <c r="U54" s="86">
        <f>SUMIF(S14:S15,"1",U14:U15)</f>
        <v>2.945663798455902</v>
      </c>
      <c r="V54" s="85"/>
      <c r="W54" s="94">
        <f>SUMIF(V14:V15,"1",W14:W15)</f>
        <v>0.5948256328671615</v>
      </c>
      <c r="X54" s="86">
        <f>SUMIF(V14:V15,"1",X14:X15)</f>
        <v>0.1842739123636595</v>
      </c>
      <c r="Y54" s="85"/>
      <c r="Z54" s="133">
        <f>SUMIF(Y14:Y15,"1",Z14:Z15)</f>
        <v>0.9401542198974726</v>
      </c>
      <c r="AA54" s="134">
        <f>SUMIF(Y14:Y15,"1",AA14:AA15)</f>
        <v>0.2718300332266761</v>
      </c>
      <c r="AB54" s="85"/>
      <c r="AC54" s="94">
        <f>SUMIF(AB14:AB15,"1",AC14:AC15)</f>
        <v>2.84729517920604</v>
      </c>
      <c r="AD54" s="86">
        <f>SUMIF(AB14:AB15,"1",AD14:AD15)</f>
        <v>0.8327798512285324</v>
      </c>
      <c r="AE54" s="85"/>
      <c r="AF54" s="131"/>
      <c r="AG54" s="132"/>
      <c r="AH54" s="85"/>
      <c r="AI54" s="94">
        <f>SUMIF(AH14:AH15,"1",AI14:AI15)</f>
        <v>2.0653219277843924</v>
      </c>
      <c r="AJ54" s="86">
        <f>SUMIF(AH14:AH15,"1",AJ14:AJ15)</f>
        <v>0.6053795986597739</v>
      </c>
      <c r="AK54" s="85"/>
      <c r="AL54" s="94">
        <f>SUMIF(AK14:AK15,"1",AL14:AL15)</f>
        <v>16.967296797373287</v>
      </c>
      <c r="AM54" s="86">
        <f>SUMIF(AK14:AK15,"1",AM14:AM15)</f>
        <v>4.914354576428971</v>
      </c>
      <c r="AN54" s="85"/>
      <c r="AO54" s="96">
        <f>SUMIF(AN14:AN15,"1",AO14:AO15)</f>
        <v>0.07621162236452526</v>
      </c>
      <c r="AP54" s="96">
        <f>SUMIF(AN14:AN15,"1",AP14:AP15)</f>
        <v>0.022771444112160852</v>
      </c>
      <c r="AQ54" s="73"/>
      <c r="AR54" s="131"/>
      <c r="AS54" s="132"/>
    </row>
    <row r="55" spans="1:45" ht="12.75">
      <c r="A55" s="151" t="s">
        <v>187</v>
      </c>
      <c r="B55" s="152"/>
      <c r="C55" s="105" t="s">
        <v>21</v>
      </c>
      <c r="D55" s="89" t="s">
        <v>137</v>
      </c>
      <c r="H55" s="94">
        <f>SUMIF(G19:G21,"1",H19:H21)</f>
        <v>36.63305104194927</v>
      </c>
      <c r="I55" s="86">
        <f>SUMIF(G19:G21,"1",I19:I21)</f>
        <v>10.802247313537725</v>
      </c>
      <c r="J55" s="85"/>
      <c r="K55" s="133">
        <f>SUMIF(J19:J21,"1",K19:K21)</f>
        <v>2.7383337146783235</v>
      </c>
      <c r="L55" s="134">
        <f>SUMIF(J19:J21,"1",L19:L21)</f>
        <v>0.7856039821498721</v>
      </c>
      <c r="M55" s="85"/>
      <c r="N55" s="94">
        <f>SUMIF(M19:M21,"1",N19:N21)</f>
        <v>4.96475447895044</v>
      </c>
      <c r="O55" s="86">
        <f>SUMIF(M19:M21,"1",O19:O21)</f>
        <v>1.4742538438118484</v>
      </c>
      <c r="P55" s="85"/>
      <c r="Q55" s="133">
        <f>SUMIF(P19:P21,"1",Q19:Q21)</f>
        <v>9.378241127782983</v>
      </c>
      <c r="R55" s="134">
        <f>SUMIF(P19:P21,"1",R19:R21)</f>
        <v>2.7435366226656797</v>
      </c>
      <c r="S55" s="85"/>
      <c r="T55" s="94">
        <f>SUMIF(S19:S21,"1",T19:T21)</f>
        <v>7.735036082080339</v>
      </c>
      <c r="U55" s="86">
        <f>SUMIF(S19:S21,"1",U19:U21)</f>
        <v>2.268911560394269</v>
      </c>
      <c r="V55" s="85"/>
      <c r="W55" s="133">
        <f>SUMIF(V19:V21,"1",W19:W21)</f>
        <v>0.22510072989338217</v>
      </c>
      <c r="X55" s="134">
        <f>SUMIF(V19:V21,"1",X19:X21)</f>
        <v>0.07093865620049312</v>
      </c>
      <c r="Y55" s="85"/>
      <c r="Z55" s="160">
        <f>SUMIF(Y19:Y21,"1",Z19:Z21)</f>
        <v>0.007827605659528138</v>
      </c>
      <c r="AA55" s="134">
        <f>SUMIF(Y19:Y21,"1",AA19:AA21)</f>
        <v>0.0029631122861952615</v>
      </c>
      <c r="AB55" s="85"/>
      <c r="AC55" s="94">
        <f>SUMIF(AB19:AB21,"1",AC19:AC21)</f>
        <v>2.437432142586536</v>
      </c>
      <c r="AD55" s="86">
        <f>SUMIF(AB19:AB21,"1",AD19:AD21)</f>
        <v>0.7083481052920761</v>
      </c>
      <c r="AE55" s="85"/>
      <c r="AF55" s="131"/>
      <c r="AG55" s="132"/>
      <c r="AH55" s="85"/>
      <c r="AI55" s="94">
        <f>SUMIF(AH19:AH21,"1",AI19:AI21)</f>
        <v>2.857138398713523</v>
      </c>
      <c r="AJ55" s="86">
        <f>SUMIF(AH19:AH21,"1",AJ19:AJ21)</f>
        <v>0.8289338354198733</v>
      </c>
      <c r="AK55" s="85"/>
      <c r="AL55" s="94">
        <f>SUMIF(AK19:AK21,"1",AL19:AL21)</f>
        <v>15.3919503343424</v>
      </c>
      <c r="AM55" s="86">
        <f>SUMIF(AK19:AK21,"1",AM19:AM21)</f>
        <v>4.452921212177354</v>
      </c>
      <c r="AN55" s="85"/>
      <c r="AO55" s="96">
        <f>SUMIF(AN19:AN21,"1",AO19:AO21)</f>
        <v>0.07135151415867318</v>
      </c>
      <c r="AP55" s="96">
        <f>SUMIF(AN19:AN21,"1",AP19:AP21)</f>
        <v>0.021108476372198638</v>
      </c>
      <c r="AQ55" s="85"/>
      <c r="AR55" s="131"/>
      <c r="AS55" s="132"/>
    </row>
    <row r="56" spans="1:45" ht="12.75">
      <c r="A56" s="151" t="s">
        <v>188</v>
      </c>
      <c r="B56" s="152"/>
      <c r="C56" s="105" t="s">
        <v>12</v>
      </c>
      <c r="D56" s="89" t="s">
        <v>137</v>
      </c>
      <c r="H56" s="94">
        <f>SUMIF(G25:G28,"1",H25:H28)</f>
        <v>10.59061240370308</v>
      </c>
      <c r="I56" s="86">
        <f>SUMIF(G25:G28,"1",I25:I28)</f>
        <v>3.2542054307395833</v>
      </c>
      <c r="J56" s="85"/>
      <c r="K56" s="133">
        <f>SUMIF(J25:J28,"1",K25:K28)</f>
        <v>1.2869179859760989</v>
      </c>
      <c r="L56" s="134">
        <f>SUMIF(J25:J28,"1",L25:L28)</f>
        <v>0.3761553561648757</v>
      </c>
      <c r="M56" s="85"/>
      <c r="N56" s="94">
        <f>SUMIF(M25:M28,"1",N25:N28)</f>
        <v>14.992370038921543</v>
      </c>
      <c r="O56" s="86">
        <f>SUMIF(M25:M28,"1",O25:O28)</f>
        <v>4.510688059549084</v>
      </c>
      <c r="P56" s="85"/>
      <c r="Q56" s="131">
        <f>SUMIF(P25:P28,"1",Q25:Q28)</f>
        <v>0</v>
      </c>
      <c r="R56" s="132">
        <f>SUMIF(P25:P28,"1",R25:R28)</f>
        <v>0</v>
      </c>
      <c r="S56" s="85"/>
      <c r="T56" s="94">
        <f>SUMIF(S25:S28,"1",T25:T28)</f>
        <v>9.733709685749853</v>
      </c>
      <c r="U56" s="86">
        <f>SUMIF(S25:S28,"1",U25:U28)</f>
        <v>2.8301694163174345</v>
      </c>
      <c r="V56" s="85"/>
      <c r="W56" s="133">
        <f>SUMIF(V25:V28,"1",W25:W28)</f>
        <v>0.2535006954156682</v>
      </c>
      <c r="X56" s="134">
        <f>SUMIF(V25:V28,"1",X25:X28)</f>
        <v>0.08560065318614062</v>
      </c>
      <c r="Y56" s="85"/>
      <c r="Z56" s="133">
        <f>SUMIF(Y25:Y28,"1",Z25:Z28)</f>
        <v>1.5047494190608712</v>
      </c>
      <c r="AA56" s="134">
        <f>SUMIF(Y25:Y28,"1",AA25:AA28)</f>
        <v>0.4670692759919839</v>
      </c>
      <c r="AB56" s="85"/>
      <c r="AC56" s="94">
        <f>SUMIF(AB25:AB28,"1",AC25:AC28)</f>
        <v>2.4324231842857564</v>
      </c>
      <c r="AD56" s="86">
        <f>SUMIF(AB25:AB28,"1",AD25:AD28)</f>
        <v>0.7035487551894248</v>
      </c>
      <c r="AE56" s="85"/>
      <c r="AF56" s="131"/>
      <c r="AG56" s="132"/>
      <c r="AH56" s="85"/>
      <c r="AI56" s="94">
        <f>SUMIF(AH25:AH28,"1",AI25:AI28)</f>
        <v>2.9209460280901776</v>
      </c>
      <c r="AJ56" s="86">
        <f>SUMIF(AH25:AH28,"1",AJ25:AJ28)</f>
        <v>0.8445581139548592</v>
      </c>
      <c r="AK56" s="85"/>
      <c r="AL56" s="94">
        <f>SUMIF(AK25:AK28,"1",AL25:AL28)</f>
        <v>7.3564149700544945</v>
      </c>
      <c r="AM56" s="86">
        <f>SUMIF(AK25:AK28,"1",AM25:AM28)</f>
        <v>2.097004062856712</v>
      </c>
      <c r="AN56" s="85"/>
      <c r="AO56" s="136">
        <f>SUMIF(AN25:AN28,"1",AO25:AO28)</f>
        <v>0.061879710315369166</v>
      </c>
      <c r="AP56" s="136">
        <f>SUMIF(AN25:AN28,"1",AP25:AP28)</f>
        <v>0.019062616020520937</v>
      </c>
      <c r="AQ56" s="85"/>
      <c r="AR56" s="131"/>
      <c r="AS56" s="132"/>
    </row>
    <row r="57" spans="1:45" ht="12.75">
      <c r="A57" s="75"/>
      <c r="B57" s="76"/>
      <c r="C57" s="105" t="s">
        <v>20</v>
      </c>
      <c r="D57" s="89" t="s">
        <v>137</v>
      </c>
      <c r="H57" s="94">
        <f>SUMIF(G32:G34,"1",H32:H34)</f>
        <v>64.5988677437369</v>
      </c>
      <c r="I57" s="86">
        <f>SUMIF(G32:G34,"1",I32:I34)</f>
        <v>18.969106662447377</v>
      </c>
      <c r="J57" s="85"/>
      <c r="K57" s="94">
        <f>SUMIF(J32:J34,"1",K32:K34)</f>
        <v>1.5436752164602634</v>
      </c>
      <c r="L57" s="86">
        <f>SUMIF(J32:J34,"1",L32:L34)</f>
        <v>0.44505178555013836</v>
      </c>
      <c r="M57" s="85"/>
      <c r="N57" s="94">
        <f>SUMIF(M32:M34,"1",N32:N34)</f>
        <v>9.291381696903443</v>
      </c>
      <c r="O57" s="86">
        <f>SUMIF(M32:M34,"1",O32:O34)</f>
        <v>2.724271964391234</v>
      </c>
      <c r="P57" s="85"/>
      <c r="Q57" s="133">
        <f>SUMIF(P32:P34,"1",Q32:Q34)</f>
        <v>6.898923373539676</v>
      </c>
      <c r="R57" s="134">
        <f>SUMIF(P32:P34,"1",R32:R34)</f>
        <v>2.051918893698775</v>
      </c>
      <c r="S57" s="85"/>
      <c r="T57" s="94">
        <f>SUMIF(S32:S34,"1",T32:T34)</f>
        <v>6.537860879972524</v>
      </c>
      <c r="U57" s="86">
        <f>SUMIF(S32:S34,"1",U32:U34)</f>
        <v>1.904881315977237</v>
      </c>
      <c r="V57" s="85"/>
      <c r="W57" s="94">
        <f>SUMIF(V32:V34,"1",W32:W34)</f>
        <v>2.1156179166187834</v>
      </c>
      <c r="X57" s="86">
        <f>SUMIF(V32:V34,"1",X32:X34)</f>
        <v>0.6163090804757068</v>
      </c>
      <c r="Y57" s="85"/>
      <c r="Z57" s="94">
        <f>SUMIF(Y32:Y34,"1",Z32:Z34)</f>
        <v>0.2931183204832146</v>
      </c>
      <c r="AA57" s="86">
        <f>SUMIF(Y32:Y34,"1",AA32:AA34)</f>
        <v>0.08478704829074986</v>
      </c>
      <c r="AB57" s="85"/>
      <c r="AC57" s="94">
        <f>SUMIF(AB32:AB34,"1",AC32:AC34)</f>
        <v>1.5305218682926518</v>
      </c>
      <c r="AD57" s="86">
        <f>SUMIF(AB32:AB34,"1",AD32:AD34)</f>
        <v>0.44767167613221825</v>
      </c>
      <c r="AE57" s="85"/>
      <c r="AF57" s="131"/>
      <c r="AG57" s="132"/>
      <c r="AH57" s="85"/>
      <c r="AI57" s="94">
        <f>SUMIF(AH32:AH34,"1",AI32:AI34)</f>
        <v>1.8091977071238143</v>
      </c>
      <c r="AJ57" s="86">
        <f>SUMIF(AH32:AH34,"1",AJ32:AJ34)</f>
        <v>0.5285982001344567</v>
      </c>
      <c r="AK57" s="85"/>
      <c r="AL57" s="94">
        <f>SUMIF(AK32:AK34,"1",AL32:AL34)</f>
        <v>4.159712609886201</v>
      </c>
      <c r="AM57" s="86">
        <f>SUMIF(AK32:AK34,"1",AM32:AM34)</f>
        <v>1.199505207311147</v>
      </c>
      <c r="AN57" s="85"/>
      <c r="AO57" s="96">
        <f>SUMIF(AN32:AN34,"1",AO32:AO34)</f>
        <v>0.125619817263854</v>
      </c>
      <c r="AP57" s="96">
        <f>SUMIF(AN32:AN34,"1",AP32:AP34)</f>
        <v>0.03687080837265319</v>
      </c>
      <c r="AQ57" s="85"/>
      <c r="AR57" s="131"/>
      <c r="AS57" s="132"/>
    </row>
    <row r="58" spans="1:45" ht="12.75">
      <c r="A58" s="153" t="s">
        <v>185</v>
      </c>
      <c r="B58" s="154"/>
      <c r="C58" s="105" t="s">
        <v>17</v>
      </c>
      <c r="D58" s="89" t="s">
        <v>137</v>
      </c>
      <c r="H58" s="94">
        <f>SUMIF(G38:G40,"1",H38:H40)</f>
        <v>45.24927985235958</v>
      </c>
      <c r="I58" s="86">
        <f>SUMIF(G38:G40,"1",I38:I40)</f>
        <v>13.254375921415383</v>
      </c>
      <c r="J58" s="85"/>
      <c r="K58" s="94">
        <f>SUMIF(J38:J40,"1",K38:K40)</f>
        <v>2.375422548307155</v>
      </c>
      <c r="L58" s="86">
        <f>SUMIF(J38:J40,"1",L38:L40)</f>
        <v>0.6803391784637646</v>
      </c>
      <c r="M58" s="85"/>
      <c r="N58" s="94">
        <f>SUMIF(M38:M40,"1",N38:N40)</f>
        <v>31.74509948075508</v>
      </c>
      <c r="O58" s="86">
        <f>SUMIF(M38:M40,"1",O38:O40)</f>
        <v>9.578526486087602</v>
      </c>
      <c r="P58" s="85"/>
      <c r="Q58" s="133">
        <f>SUMIF(P38:P40,"1",Q38:Q40)</f>
        <v>6.6227265522120025</v>
      </c>
      <c r="R58" s="134">
        <f>SUMIF(P38:P40,"1",R38:R40)</f>
        <v>2.143320200987871</v>
      </c>
      <c r="S58" s="85"/>
      <c r="T58" s="94">
        <f>SUMIF(S38:S40,"1",T38:T40)</f>
        <v>7.86691421602897</v>
      </c>
      <c r="U58" s="86">
        <f>SUMIF(S38:S40,"1",U38:U40)</f>
        <v>2.3299627469989375</v>
      </c>
      <c r="V58" s="85"/>
      <c r="W58" s="94">
        <f>SUMIF(V38:V40,"1",W38:W40)</f>
        <v>4.854713117238836</v>
      </c>
      <c r="X58" s="86">
        <f>SUMIF(V38:V40,"1",X38:X40)</f>
        <v>1.4540424289535363</v>
      </c>
      <c r="Y58" s="85"/>
      <c r="Z58" s="133">
        <f>SUMIF(Y38:Y40,"1",Z38:Z40)</f>
        <v>0.16912639467897736</v>
      </c>
      <c r="AA58" s="134">
        <f>SUMIF(Y38:Y40,"1",AA38:AA40)</f>
        <v>0.04761811112320722</v>
      </c>
      <c r="AB58" s="85"/>
      <c r="AC58" s="94">
        <f>SUMIF(AB38:AB40,"1",AC38:AC40)</f>
        <v>1.4509789774431825</v>
      </c>
      <c r="AD58" s="86">
        <f>SUMIF(AB38:AB40,"1",AD38:AD40)</f>
        <v>0.4251754683345905</v>
      </c>
      <c r="AE58" s="85"/>
      <c r="AF58" s="131"/>
      <c r="AG58" s="132"/>
      <c r="AH58" s="85"/>
      <c r="AI58" s="94">
        <f>SUMIF(AH38:AH40,"1",AI38:AI40)</f>
        <v>1.730604432252342</v>
      </c>
      <c r="AJ58" s="86">
        <f>SUMIF(AH38:AH40,"1",AJ38:AJ40)</f>
        <v>0.5066566899351626</v>
      </c>
      <c r="AK58" s="85"/>
      <c r="AL58" s="94">
        <f>SUMIF(AK38:AK40,"1",AL38:AL40)</f>
        <v>6.819566185725623</v>
      </c>
      <c r="AM58" s="86">
        <f>SUMIF(AK38:AK40,"1",AM38:AM40)</f>
        <v>1.9562552676197977</v>
      </c>
      <c r="AN58" s="85"/>
      <c r="AO58" s="96">
        <f>SUMIF(AN38:AN40,"1",AO38:AO40)</f>
        <v>0.49227457266113833</v>
      </c>
      <c r="AP58" s="96">
        <f>SUMIF(AN38:AN40,"1",AP38:AP40)</f>
        <v>0.14680786140840274</v>
      </c>
      <c r="AQ58" s="85"/>
      <c r="AR58" s="131"/>
      <c r="AS58" s="132"/>
    </row>
    <row r="59" spans="1:45" ht="13.5" thickBot="1">
      <c r="A59" s="155" t="s">
        <v>186</v>
      </c>
      <c r="B59" s="156"/>
      <c r="C59" s="105" t="s">
        <v>22</v>
      </c>
      <c r="D59" s="89" t="s">
        <v>137</v>
      </c>
      <c r="H59" s="94">
        <f>SUMIF(G44:G45,"1",H44:H45)</f>
        <v>13.770422093398356</v>
      </c>
      <c r="I59" s="86">
        <f>SUMIF(G44:G45,"1",I44:I45)</f>
        <v>4.472726451085375</v>
      </c>
      <c r="J59" s="85"/>
      <c r="K59" s="133">
        <f>SUMIF(J44:J45,"1",K44:K45)</f>
        <v>0.1200556886653372</v>
      </c>
      <c r="L59" s="134">
        <f>SUMIF(J44:J45,"1",L44:L45)</f>
        <v>0.04544665400701066</v>
      </c>
      <c r="M59" s="85"/>
      <c r="N59" s="94">
        <f>SUMIF(M44:M45,"1",N44:N45)</f>
        <v>2.7645704933965654</v>
      </c>
      <c r="O59" s="86">
        <f>SUMIF(M44:M45,"1",O44:O45)</f>
        <v>0.9132175156036746</v>
      </c>
      <c r="P59" s="85"/>
      <c r="Q59" s="131">
        <f>SUMIF(P44:P45,"1",Q44:Q45)</f>
        <v>0</v>
      </c>
      <c r="R59" s="132">
        <f>SUMIF(P44:P45,"1",R44:R45)</f>
        <v>0</v>
      </c>
      <c r="S59" s="85"/>
      <c r="T59" s="94">
        <f>SUMIF(S44:S45,"1",T44:T45)</f>
        <v>4.640757726059102</v>
      </c>
      <c r="U59" s="86">
        <f>SUMIF(S44:S45,"1",U44:U45)</f>
        <v>1.4227571522143139</v>
      </c>
      <c r="V59" s="85"/>
      <c r="W59" s="133">
        <f>SUMIF(V44:V45,"1",W44:W45)</f>
        <v>0.15970998400612652</v>
      </c>
      <c r="X59" s="134">
        <f>SUMIF(V44:V45,"1",X44:X45)</f>
        <v>0.06045764649124261</v>
      </c>
      <c r="Y59" s="85"/>
      <c r="Z59" s="94">
        <f>SUMIF(Y44:Y45,"1",Z44:Z45)</f>
        <v>0.4434882487749746</v>
      </c>
      <c r="AA59" s="86">
        <f>SUMIF(Y44:Y45,"1",AA44:AA45)</f>
        <v>0.14473399109236232</v>
      </c>
      <c r="AB59" s="85"/>
      <c r="AC59" s="94">
        <f>SUMIF(AB44:AB45,"1",AC44:AC45)</f>
        <v>1.0480333689101666</v>
      </c>
      <c r="AD59" s="86">
        <f>SUMIF(AB44:AB45,"1",AD44:AD45)</f>
        <v>0.3166244848133255</v>
      </c>
      <c r="AE59" s="85"/>
      <c r="AF59" s="131"/>
      <c r="AG59" s="132"/>
      <c r="AH59" s="85"/>
      <c r="AI59" s="94">
        <f>SUMIF(AH44:AH45,"1",AI44:AI45)</f>
        <v>1.4178181737021123</v>
      </c>
      <c r="AJ59" s="86">
        <f>SUMIF(AH44:AH45,"1",AJ44:AJ45)</f>
        <v>0.4244574469021025</v>
      </c>
      <c r="AK59" s="85"/>
      <c r="AL59" s="94">
        <f>SUMIF(AK44:AK45,"1",AL44:AL45)</f>
        <v>5.172184924027769</v>
      </c>
      <c r="AM59" s="86">
        <f>SUMIF(AK44:AK45,"1",AM44:AM45)</f>
        <v>1.5146648983744118</v>
      </c>
      <c r="AN59" s="85"/>
      <c r="AO59" s="136">
        <f>SUMIF(AN44:AN45,"1",AO44:AO45)</f>
        <v>0.0065285471746675695</v>
      </c>
      <c r="AP59" s="136">
        <f>SUMIF(AN44:AN45,"1",AP44:AP45)</f>
        <v>0.002471358316411276</v>
      </c>
      <c r="AQ59" s="85"/>
      <c r="AR59" s="131"/>
      <c r="AS59" s="132"/>
    </row>
    <row r="60" ht="12.75">
      <c r="K60" s="120"/>
    </row>
    <row r="62" spans="1:45" s="146" customFormat="1" ht="12.75">
      <c r="A62" s="128"/>
      <c r="B62" s="137"/>
      <c r="C62" s="138"/>
      <c r="D62" s="137"/>
      <c r="E62" s="137"/>
      <c r="F62" s="137"/>
      <c r="G62" s="139"/>
      <c r="H62" s="140" t="s">
        <v>182</v>
      </c>
      <c r="I62" s="141"/>
      <c r="J62" s="142"/>
      <c r="K62" s="143"/>
      <c r="L62" s="144"/>
      <c r="M62" s="145"/>
      <c r="N62" s="143"/>
      <c r="O62" s="144"/>
      <c r="P62" s="145"/>
      <c r="Q62" s="143"/>
      <c r="R62" s="144"/>
      <c r="S62" s="145"/>
      <c r="T62" s="143"/>
      <c r="U62" s="144"/>
      <c r="V62" s="145"/>
      <c r="W62" s="143"/>
      <c r="X62" s="144"/>
      <c r="Y62" s="145"/>
      <c r="Z62" s="143"/>
      <c r="AA62" s="144"/>
      <c r="AB62" s="145"/>
      <c r="AC62" s="143"/>
      <c r="AD62" s="144"/>
      <c r="AE62" s="145"/>
      <c r="AF62" s="143"/>
      <c r="AG62" s="144"/>
      <c r="AH62" s="145"/>
      <c r="AI62" s="143"/>
      <c r="AJ62" s="144"/>
      <c r="AK62" s="145"/>
      <c r="AL62" s="143"/>
      <c r="AM62" s="144"/>
      <c r="AN62" s="145"/>
      <c r="AO62" s="143"/>
      <c r="AP62" s="143"/>
      <c r="AQ62" s="145"/>
      <c r="AR62" s="143"/>
      <c r="AS62" s="144"/>
    </row>
    <row r="63" spans="8:45" ht="12.75">
      <c r="H63" s="89" t="s">
        <v>75</v>
      </c>
      <c r="I63" s="76" t="s">
        <v>167</v>
      </c>
      <c r="K63" s="89" t="s">
        <v>76</v>
      </c>
      <c r="L63" s="76" t="s">
        <v>168</v>
      </c>
      <c r="N63" s="89" t="s">
        <v>77</v>
      </c>
      <c r="O63" s="76" t="s">
        <v>169</v>
      </c>
      <c r="Q63" s="89" t="s">
        <v>78</v>
      </c>
      <c r="R63" s="76" t="s">
        <v>170</v>
      </c>
      <c r="T63" s="89" t="s">
        <v>79</v>
      </c>
      <c r="U63" s="76" t="s">
        <v>171</v>
      </c>
      <c r="W63" s="89" t="s">
        <v>80</v>
      </c>
      <c r="X63" s="76" t="s">
        <v>172</v>
      </c>
      <c r="Z63" s="89" t="s">
        <v>81</v>
      </c>
      <c r="AA63" s="76" t="s">
        <v>173</v>
      </c>
      <c r="AC63" s="89" t="s">
        <v>82</v>
      </c>
      <c r="AD63" s="76" t="s">
        <v>174</v>
      </c>
      <c r="AF63" s="89" t="s">
        <v>83</v>
      </c>
      <c r="AG63" s="76" t="s">
        <v>179</v>
      </c>
      <c r="AI63" s="89" t="s">
        <v>84</v>
      </c>
      <c r="AJ63" s="76" t="s">
        <v>178</v>
      </c>
      <c r="AL63" s="89" t="s">
        <v>85</v>
      </c>
      <c r="AM63" s="76" t="s">
        <v>177</v>
      </c>
      <c r="AO63" s="89" t="s">
        <v>86</v>
      </c>
      <c r="AP63" s="89" t="s">
        <v>176</v>
      </c>
      <c r="AR63" s="89" t="s">
        <v>87</v>
      </c>
      <c r="AS63" s="76" t="s">
        <v>175</v>
      </c>
    </row>
    <row r="64" spans="3:45" ht="12.75">
      <c r="C64" s="105">
        <v>101</v>
      </c>
      <c r="D64" s="89" t="s">
        <v>137</v>
      </c>
      <c r="G64" s="87">
        <f>COUNTIF(G4,0)</f>
        <v>0</v>
      </c>
      <c r="H64" s="127">
        <f>SUMIF(G4,"0",H4)</f>
        <v>0</v>
      </c>
      <c r="I64" s="88">
        <f>SUMIF(G4,"0",I4)</f>
        <v>0</v>
      </c>
      <c r="J64" s="87">
        <f>COUNTIF(J4,0)</f>
        <v>0</v>
      </c>
      <c r="K64" s="127">
        <f>SUMIF(J4,"0",K4)</f>
        <v>0</v>
      </c>
      <c r="L64" s="88">
        <f>SUMIF(J4,"0",L4)</f>
        <v>0</v>
      </c>
      <c r="M64" s="87">
        <f>COUNTIF(M4,0)</f>
        <v>0</v>
      </c>
      <c r="N64" s="127">
        <f>SUMIF(M4,"0",N4)</f>
        <v>0</v>
      </c>
      <c r="O64" s="88">
        <f>SUMIF(M4,"0",O4)</f>
        <v>0</v>
      </c>
      <c r="P64" s="87">
        <f>COUNTIF(P4,0)</f>
        <v>0</v>
      </c>
      <c r="Q64" s="127">
        <f>SUMIF(P4,"0",Q4)</f>
        <v>0</v>
      </c>
      <c r="R64" s="88">
        <f>SUMIF(P4,"0",R4)</f>
        <v>0</v>
      </c>
      <c r="S64" s="87">
        <f>COUNTIF(S4,0)</f>
        <v>0</v>
      </c>
      <c r="T64" s="127">
        <f>SUMIF(S4,"0",T4)</f>
        <v>0</v>
      </c>
      <c r="U64" s="88">
        <f>SUMIF(S4,"0",U4)</f>
        <v>0</v>
      </c>
      <c r="V64" s="87">
        <f>COUNTIF(V4,0)</f>
        <v>0</v>
      </c>
      <c r="W64" s="127">
        <f>SUMIF(V4,"0",W4)</f>
        <v>0</v>
      </c>
      <c r="X64" s="88">
        <f>SUMIF(V4,"0",X4)</f>
        <v>0</v>
      </c>
      <c r="Y64" s="87">
        <f>COUNTIF(Y4,0)</f>
        <v>0</v>
      </c>
      <c r="Z64" s="127">
        <f>SUMIF(Y4,"0",Z4)</f>
        <v>0</v>
      </c>
      <c r="AA64" s="88">
        <f>SUMIF(Y4,"0",AA4)</f>
        <v>0</v>
      </c>
      <c r="AB64" s="87">
        <f>COUNTIF(AB4,0)</f>
        <v>0</v>
      </c>
      <c r="AC64" s="127">
        <f>SUMIF(AB4,"0",AC4)</f>
        <v>0</v>
      </c>
      <c r="AD64" s="88">
        <f>SUMIF(AB4,"0",AD4)</f>
        <v>0</v>
      </c>
      <c r="AE64" s="87">
        <f>COUNTIF(AE4,0)</f>
        <v>1</v>
      </c>
      <c r="AF64" s="163"/>
      <c r="AG64" s="164"/>
      <c r="AH64" s="87">
        <f>COUNTIF(AH4,0)</f>
        <v>0</v>
      </c>
      <c r="AI64" s="129">
        <f>SUMIF(AH4,"0",AI4)</f>
        <v>0</v>
      </c>
      <c r="AJ64" s="130">
        <f>SUMIF(AH4,"0",AJ4)</f>
        <v>0</v>
      </c>
      <c r="AK64" s="87">
        <f>COUNTIF(AK4,0)</f>
        <v>0</v>
      </c>
      <c r="AL64" s="129">
        <f>SUMIF(AK4,"0",AL4)</f>
        <v>0</v>
      </c>
      <c r="AM64" s="130">
        <f>SUMIF(AK4,"0",AM4)</f>
        <v>0</v>
      </c>
      <c r="AN64" s="87">
        <f>COUNTIF(AN4,0)</f>
        <v>1</v>
      </c>
      <c r="AO64" s="123">
        <f>SUMIF(AN4,"0",AO4)</f>
        <v>0.013481461197957208</v>
      </c>
      <c r="AP64" s="123">
        <f>SUMIF(AN4,"0",AP4)</f>
        <v>0.003966252880413361</v>
      </c>
      <c r="AQ64" s="87">
        <f>COUNTIF(AQ4,0)</f>
        <v>1</v>
      </c>
      <c r="AR64" s="161"/>
      <c r="AS64" s="162"/>
    </row>
    <row r="65" spans="3:45" ht="12.75">
      <c r="C65" s="105" t="s">
        <v>19</v>
      </c>
      <c r="D65" s="89" t="s">
        <v>137</v>
      </c>
      <c r="G65" s="87">
        <f>COUNTIF(G8:G10,0)</f>
        <v>0</v>
      </c>
      <c r="H65" s="127">
        <f>SUMIF(G8:G10,"0",H8:H10)</f>
        <v>0</v>
      </c>
      <c r="I65" s="88">
        <f>SUMIF(G8:G10,"0",I8:I10)</f>
        <v>0</v>
      </c>
      <c r="J65" s="87">
        <f>COUNTIF(J8:J10,0)</f>
        <v>1</v>
      </c>
      <c r="K65" s="119">
        <f>SUMIF(J8:J10,"0",K8:K10)</f>
        <v>0.14853874603781844</v>
      </c>
      <c r="L65" s="84">
        <f>SUMIF(J8:J10,"0",L8:L10)</f>
        <v>0.052051688850541414</v>
      </c>
      <c r="M65" s="87">
        <f>COUNTIF(M8:M10,0)</f>
        <v>0</v>
      </c>
      <c r="N65" s="127">
        <f>SUMIF(M8:M10,"0",N8:N10)</f>
        <v>0</v>
      </c>
      <c r="O65" s="88">
        <f>SUMIF(M8:M10,"0",O8:O10)</f>
        <v>0</v>
      </c>
      <c r="P65" s="87">
        <f>COUNTIF(P8:P10,0)</f>
        <v>1</v>
      </c>
      <c r="Q65" s="94">
        <f>SUMIF(P8:P10,"0",Q8:Q10)</f>
        <v>7.0580772870538455</v>
      </c>
      <c r="R65" s="86">
        <f>SUMIF(P8:P10,"0",R8:R10)</f>
        <v>1.9872256439277818</v>
      </c>
      <c r="S65" s="87">
        <f>COUNTIF(S8:S10,0)</f>
        <v>0</v>
      </c>
      <c r="T65" s="127">
        <f>SUMIF(S8:S10,"0",T8:T10)</f>
        <v>0</v>
      </c>
      <c r="U65" s="88">
        <f>SUMIF(S8:S10,"0",U8:U10)</f>
        <v>0</v>
      </c>
      <c r="V65" s="87">
        <f>COUNTIF(V8:V10,0)</f>
        <v>0</v>
      </c>
      <c r="W65" s="127">
        <f>SUMIF(V8:V10,"0",W8:W10)</f>
        <v>0</v>
      </c>
      <c r="X65" s="88">
        <f>SUMIF(V8:V10,"0",X8:X10)</f>
        <v>0</v>
      </c>
      <c r="Y65" s="87">
        <f>COUNTIF(Y8:Y10,0)</f>
        <v>0</v>
      </c>
      <c r="Z65" s="127">
        <f>SUMIF(Y8:Y10,"0",Z8:Z10)</f>
        <v>0</v>
      </c>
      <c r="AA65" s="88">
        <f>SUMIF(Y8:Y10,"0",AA8:AA10)</f>
        <v>0</v>
      </c>
      <c r="AB65" s="87">
        <f>COUNTIF(AB8:AB10,0)</f>
        <v>0</v>
      </c>
      <c r="AC65" s="127">
        <f>SUMIF(AB8:AB10,"0",AC8:AC10)</f>
        <v>0</v>
      </c>
      <c r="AD65" s="88">
        <f>SUMIF(AB8:AB10,"0",AD8:AD10)</f>
        <v>0</v>
      </c>
      <c r="AE65" s="87">
        <f>COUNTIF(AE8:AE10,0)</f>
        <v>3</v>
      </c>
      <c r="AF65" s="163"/>
      <c r="AG65" s="164"/>
      <c r="AH65" s="87">
        <f>COUNTIF(AH8:AH10,0)</f>
        <v>0</v>
      </c>
      <c r="AI65" s="129">
        <f>SUMIF(AH8:AH10,"0",AI8:AI10)</f>
        <v>0</v>
      </c>
      <c r="AJ65" s="130">
        <f>SUMIF(AH8:AH10,"0",AJ8:AJ10)</f>
        <v>0</v>
      </c>
      <c r="AK65" s="87">
        <f>COUNTIF(AK8:AK10,0)</f>
        <v>0</v>
      </c>
      <c r="AL65" s="129">
        <f>SUMIF(AK8:AK10,"0",AL8:AL10)</f>
        <v>0</v>
      </c>
      <c r="AM65" s="130">
        <f>SUMIF(AK8:AK10,"0",AM8:AM10)</f>
        <v>0</v>
      </c>
      <c r="AN65" s="87">
        <f>COUNTIF(AN8:AN10,0)</f>
        <v>1</v>
      </c>
      <c r="AO65" s="123">
        <f>SUMIF(AN8:AN10,"0",AO8:AO10)</f>
        <v>0.01411615457410769</v>
      </c>
      <c r="AP65" s="123">
        <f>SUMIF(AN8:AN10,"0",AP8:AP10)</f>
        <v>0.0039744512878555635</v>
      </c>
      <c r="AQ65" s="87">
        <f>COUNTIF(AQ8:AQ10,0)</f>
        <v>3</v>
      </c>
      <c r="AR65" s="161"/>
      <c r="AS65" s="162"/>
    </row>
    <row r="66" spans="3:45" ht="12.75">
      <c r="C66" s="105" t="s">
        <v>5</v>
      </c>
      <c r="D66" s="89" t="s">
        <v>137</v>
      </c>
      <c r="G66" s="87">
        <f>COUNTIF(G14:G15,0)</f>
        <v>0</v>
      </c>
      <c r="H66" s="127">
        <f>SUMIF(G14:G15,"0",H14:H15)</f>
        <v>0</v>
      </c>
      <c r="I66" s="88">
        <f>SUMIF(G14:G15,"0",I14:I15)</f>
        <v>0</v>
      </c>
      <c r="J66" s="87">
        <f>COUNTIF(J14:J15,0)</f>
        <v>1</v>
      </c>
      <c r="K66" s="127">
        <f>SUMIF(J14:J15,"0",K14:K15)</f>
        <v>0.04218900469757223</v>
      </c>
      <c r="L66" s="88">
        <f>SUMIF(J14:J15,"0",L14:L15)</f>
        <v>0.015970497697409776</v>
      </c>
      <c r="M66" s="87">
        <f>COUNTIF(M14:M15,0)</f>
        <v>0</v>
      </c>
      <c r="N66" s="127">
        <f>SUMIF(M14:M15,"0",N14:N15)</f>
        <v>0</v>
      </c>
      <c r="O66" s="88">
        <f>SUMIF(M14:M15,"0",O14:O15)</f>
        <v>0</v>
      </c>
      <c r="P66" s="87">
        <f>COUNTIF(P14:P15,0)</f>
        <v>1</v>
      </c>
      <c r="Q66" s="94">
        <f>SUMIF(P14:P15,"0",Q14:Q15)</f>
        <v>0.35157503914643534</v>
      </c>
      <c r="R66" s="86">
        <f>SUMIF(P14:P15,"0",R14:R15)</f>
        <v>0.13308748081174815</v>
      </c>
      <c r="S66" s="87">
        <f>COUNTIF(S14:S15,0)</f>
        <v>0</v>
      </c>
      <c r="T66" s="127">
        <f>SUMIF(S14:S15,"0",T14:T15)</f>
        <v>0</v>
      </c>
      <c r="U66" s="88">
        <f>SUMIF(S14:S15,"0",U14:U15)</f>
        <v>0</v>
      </c>
      <c r="V66" s="87">
        <f>COUNTIF(V14:V15,0)</f>
        <v>0</v>
      </c>
      <c r="W66" s="127">
        <f>SUMIF(V14:V15,"0",W14:W15)</f>
        <v>0</v>
      </c>
      <c r="X66" s="88">
        <f>SUMIF(V14:V15,"0",X14:X15)</f>
        <v>0</v>
      </c>
      <c r="Y66" s="87">
        <f>COUNTIF(Y14:Y15,0)</f>
        <v>1</v>
      </c>
      <c r="Z66" s="127">
        <f>SUMIF(Y14:Y15,"0",Z14:Z15)</f>
        <v>0.007031500782928706</v>
      </c>
      <c r="AA66" s="88">
        <f>SUMIF(Y14:Y15,"0",AA14:AA15)</f>
        <v>0.002661749616234963</v>
      </c>
      <c r="AB66" s="87">
        <f>COUNTIF(AB14:AB15,0)</f>
        <v>0</v>
      </c>
      <c r="AC66" s="127">
        <f>SUMIF(AB14:AB15,"0",AC14:AC15)</f>
        <v>0</v>
      </c>
      <c r="AD66" s="88">
        <f>SUMIF(AB14:AB15,"0",AD14:AD15)</f>
        <v>0</v>
      </c>
      <c r="AE66" s="87">
        <f>COUNTIF(AE14:AE15,0)</f>
        <v>2</v>
      </c>
      <c r="AF66" s="163"/>
      <c r="AG66" s="164"/>
      <c r="AH66" s="87">
        <f>COUNTIF(AH14:AH15,0)</f>
        <v>0</v>
      </c>
      <c r="AI66" s="129">
        <f>SUMIF(AH14:AH15,"0",AI14:AI15)</f>
        <v>0</v>
      </c>
      <c r="AJ66" s="130">
        <f>SUMIF(AH14:AH15,"0",AJ14:AJ15)</f>
        <v>0</v>
      </c>
      <c r="AK66" s="87">
        <f>COUNTIF(AK14:AK15,0)</f>
        <v>0</v>
      </c>
      <c r="AL66" s="129">
        <f>SUMIF(AK14:AK15,"0",AL14:AL15)</f>
        <v>0</v>
      </c>
      <c r="AM66" s="130">
        <f>SUMIF(AK14:AK15,"0",AM14:AM15)</f>
        <v>0</v>
      </c>
      <c r="AN66" s="87">
        <f>COUNTIF(AN14:AN15,0)</f>
        <v>0</v>
      </c>
      <c r="AO66" s="129">
        <f>SUMIF(AN14:AN15,"0",AO14:AO15)</f>
        <v>0</v>
      </c>
      <c r="AP66" s="129">
        <f>SUMIF(AN14:AN15,"0",AP14:AP15)</f>
        <v>0</v>
      </c>
      <c r="AQ66" s="87">
        <f>COUNTIF(AQ14:AQ15,0)</f>
        <v>2</v>
      </c>
      <c r="AR66" s="161"/>
      <c r="AS66" s="162"/>
    </row>
    <row r="67" spans="3:45" ht="12.75">
      <c r="C67" s="105" t="s">
        <v>21</v>
      </c>
      <c r="D67" s="89" t="s">
        <v>137</v>
      </c>
      <c r="G67" s="87">
        <f>COUNTIF(G19:G21,0)</f>
        <v>0</v>
      </c>
      <c r="H67" s="127">
        <f>SUMIF(G19:G21,"0",H19:H21)</f>
        <v>0</v>
      </c>
      <c r="I67" s="88">
        <f>SUMIF(G19:G21,"0",I19:I21)</f>
        <v>0</v>
      </c>
      <c r="J67" s="87">
        <f>COUNTIF(J19:J21,0)</f>
        <v>1</v>
      </c>
      <c r="K67" s="127">
        <f>SUMIF(J19:J21,"0",K19:K21)</f>
        <v>0.04218900469757223</v>
      </c>
      <c r="L67" s="88">
        <f>SUMIF(J19:J21,"0",L19:L21)</f>
        <v>0.015970497697409776</v>
      </c>
      <c r="M67" s="87">
        <f>COUNTIF(M19:M21,0)</f>
        <v>0</v>
      </c>
      <c r="N67" s="127">
        <f>SUMIF(M19:M21,"0",N19:N21)</f>
        <v>0</v>
      </c>
      <c r="O67" s="88">
        <f>SUMIF(M19:M21,"0",O19:O21)</f>
        <v>0</v>
      </c>
      <c r="P67" s="87">
        <f>COUNTIF(P19:P21,0)</f>
        <v>2</v>
      </c>
      <c r="Q67" s="94">
        <f>SUMIF(P19:P21,"0",Q19:Q21)</f>
        <v>5.076897968614688</v>
      </c>
      <c r="R67" s="86">
        <f>SUMIF(P19:P21,"0",R19:R21)</f>
        <v>1.4635182085261105</v>
      </c>
      <c r="S67" s="87">
        <f>COUNTIF(S19:S21,0)</f>
        <v>0</v>
      </c>
      <c r="T67" s="127">
        <f>SUMIF(S19:S21,"0",T19:T21)</f>
        <v>0</v>
      </c>
      <c r="U67" s="88">
        <f>SUMIF(S19:S21,"0",U19:U21)</f>
        <v>0</v>
      </c>
      <c r="V67" s="87">
        <f>COUNTIF(V19:V21,0)</f>
        <v>1</v>
      </c>
      <c r="W67" s="119">
        <f>SUMIF(V19:V21,"0",W19:W21)</f>
        <v>0.09450645858936503</v>
      </c>
      <c r="X67" s="84">
        <f>SUMIF(V19:V21,"0",X19:X21)</f>
        <v>0.026608614554287244</v>
      </c>
      <c r="Y67" s="87">
        <f>COUNTIF(Y19:Y21,0)</f>
        <v>2</v>
      </c>
      <c r="Z67" s="119">
        <f>SUMIF(Y19:Y21,"0",Z19:Z21)</f>
        <v>0.18759732549370983</v>
      </c>
      <c r="AA67" s="84">
        <f>SUMIF(Y19:Y21,"0",AA19:AA21)</f>
        <v>0.05384167447542222</v>
      </c>
      <c r="AB67" s="87">
        <f>COUNTIF(AB19:AB21,0)</f>
        <v>0</v>
      </c>
      <c r="AC67" s="127">
        <f>SUMIF(AB19:AB21,"0",AC19:AC21)</f>
        <v>0</v>
      </c>
      <c r="AD67" s="88">
        <f>SUMIF(AB19:AB21,"0",AD19:AD21)</f>
        <v>0</v>
      </c>
      <c r="AE67" s="87">
        <f>COUNTIF(AE19:AE21,0)</f>
        <v>3</v>
      </c>
      <c r="AF67" s="163"/>
      <c r="AG67" s="164"/>
      <c r="AH67" s="87">
        <f>COUNTIF(AH19:AH21,0)</f>
        <v>0</v>
      </c>
      <c r="AI67" s="129">
        <f>SUMIF(AH19:AH21,"0",AI19:AI21)</f>
        <v>0</v>
      </c>
      <c r="AJ67" s="130">
        <f>SUMIF(AH19:AH21,"0",AJ19:AJ21)</f>
        <v>0</v>
      </c>
      <c r="AK67" s="87">
        <f>COUNTIF(AK19:AK21,0)</f>
        <v>0</v>
      </c>
      <c r="AL67" s="129">
        <f>SUMIF(AK19:AK21,"0",AL19:AL21)</f>
        <v>0</v>
      </c>
      <c r="AM67" s="130">
        <f>SUMIF(AK19:AK21,"0",AM19:AM21)</f>
        <v>0</v>
      </c>
      <c r="AN67" s="87">
        <f>COUNTIF(AN19:AN21,0)</f>
        <v>0</v>
      </c>
      <c r="AO67" s="129">
        <f>SUMIF(AN19:AN21,"0",AO19:AO21)</f>
        <v>0</v>
      </c>
      <c r="AP67" s="129">
        <f>SUMIF(AN19:AN21,"0",AP19:AP21)</f>
        <v>0</v>
      </c>
      <c r="AQ67" s="87">
        <f>COUNTIF(AQ19:AQ21,0)</f>
        <v>3</v>
      </c>
      <c r="AR67" s="161"/>
      <c r="AS67" s="162"/>
    </row>
    <row r="68" spans="3:45" ht="12.75">
      <c r="C68" s="105" t="s">
        <v>12</v>
      </c>
      <c r="D68" s="89" t="s">
        <v>137</v>
      </c>
      <c r="G68" s="87">
        <f>COUNTIF(G25:G28,0)</f>
        <v>0</v>
      </c>
      <c r="H68" s="127">
        <f>SUMIF(G25:G28,"0",H25:H28)</f>
        <v>0</v>
      </c>
      <c r="I68" s="88">
        <f>SUMIF(G25:G28,"0",I25:I28)</f>
        <v>0</v>
      </c>
      <c r="J68" s="87">
        <f>COUNTIF(J25:J28,0)</f>
        <v>1</v>
      </c>
      <c r="K68" s="119">
        <f>SUMIF(J25:J28,"0",K25:K28)</f>
        <v>0.27275281719462313</v>
      </c>
      <c r="L68" s="84">
        <f>SUMIF(J25:J28,"0",L25:L28)</f>
        <v>0.07679448251110749</v>
      </c>
      <c r="M68" s="87">
        <f>COUNTIF(M25:M28,0)</f>
        <v>0</v>
      </c>
      <c r="N68" s="127">
        <f>SUMIF(M25:M28,"0",N25:N28)</f>
        <v>0</v>
      </c>
      <c r="O68" s="88">
        <f>SUMIF(M25:M28,"0",O25:O28)</f>
        <v>0</v>
      </c>
      <c r="P68" s="87">
        <f>COUNTIF(P25:P28,0)</f>
        <v>4</v>
      </c>
      <c r="Q68" s="94">
        <f>SUMIF(P25:P28,"0",Q25:Q28)</f>
        <v>10.090326599614327</v>
      </c>
      <c r="R68" s="86">
        <f>SUMIF(P25:P28,"0",R25:R28)</f>
        <v>2.9262165763080006</v>
      </c>
      <c r="S68" s="87">
        <f>COUNTIF(S25:S28,0)</f>
        <v>0</v>
      </c>
      <c r="T68" s="127">
        <f>SUMIF(S25:S28,"0",T25:T28)</f>
        <v>0</v>
      </c>
      <c r="U68" s="88">
        <f>SUMIF(S25:S28,"0",U25:U28)</f>
        <v>0</v>
      </c>
      <c r="V68" s="87">
        <f>COUNTIF(V25:V28,0)</f>
        <v>2</v>
      </c>
      <c r="W68" s="119">
        <f>SUMIF(V25:V28,"0",W25:W28)</f>
        <v>0.14355411431295956</v>
      </c>
      <c r="X68" s="84">
        <f>SUMIF(V25:V28,"0",X25:X28)</f>
        <v>0.04041814869005657</v>
      </c>
      <c r="Y68" s="87">
        <f>COUNTIF(Y25:Y28,0)</f>
        <v>1</v>
      </c>
      <c r="Z68" s="119">
        <f>SUMIF(Y25:Y28,"0",Z25:Z28)</f>
        <v>0.045458802865770524</v>
      </c>
      <c r="AA68" s="84">
        <f>SUMIF(Y25:Y28,"0",AA25:AA28)</f>
        <v>0.012799080418517914</v>
      </c>
      <c r="AB68" s="87">
        <f>COUNTIF(AB25:AB28,0)</f>
        <v>0</v>
      </c>
      <c r="AC68" s="127">
        <f>SUMIF(AB25:AB28,"0",AC25:AC28)</f>
        <v>0</v>
      </c>
      <c r="AD68" s="88">
        <f>SUMIF(AB25:AB28,"0",AD25:AD28)</f>
        <v>0</v>
      </c>
      <c r="AE68" s="87">
        <f>COUNTIF(AE25:AE28,0)</f>
        <v>4</v>
      </c>
      <c r="AF68" s="163"/>
      <c r="AG68" s="164"/>
      <c r="AH68" s="87">
        <f>COUNTIF(AH25:AH28,0)</f>
        <v>0</v>
      </c>
      <c r="AI68" s="129">
        <f>SUMIF(AH25:AH28,"0",AI25:AI28)</f>
        <v>0</v>
      </c>
      <c r="AJ68" s="130">
        <f>SUMIF(AH25:AH28,"0",AJ25:AJ28)</f>
        <v>0</v>
      </c>
      <c r="AK68" s="87">
        <f>COUNTIF(AK25:AK28,0)</f>
        <v>0</v>
      </c>
      <c r="AL68" s="129">
        <f>SUMIF(AK25:AK28,"0",AL25:AL28)</f>
        <v>0</v>
      </c>
      <c r="AM68" s="130">
        <f>SUMIF(AK25:AK28,"0",AM25:AM28)</f>
        <v>0</v>
      </c>
      <c r="AN68" s="87">
        <f>COUNTIF(AN25:AN28,0)</f>
        <v>1</v>
      </c>
      <c r="AO68" s="123">
        <f>SUMIF(AN25:AN28,"0",AO25:AO28)</f>
        <v>0.004545880286577053</v>
      </c>
      <c r="AP68" s="123">
        <f>SUMIF(AN25:AN28,"0",AP25:AP28)</f>
        <v>0.0012799080418517915</v>
      </c>
      <c r="AQ68" s="87">
        <f>COUNTIF(AQ25:AQ28,0)</f>
        <v>4</v>
      </c>
      <c r="AR68" s="161"/>
      <c r="AS68" s="162"/>
    </row>
    <row r="69" spans="3:45" ht="12.75">
      <c r="C69" s="105" t="s">
        <v>20</v>
      </c>
      <c r="D69" s="89" t="s">
        <v>137</v>
      </c>
      <c r="G69" s="87">
        <f>COUNTIF(G32:G34,0)</f>
        <v>0</v>
      </c>
      <c r="H69" s="127">
        <f>SUMIF(G32:G34,"0",H32:H34)</f>
        <v>0</v>
      </c>
      <c r="I69" s="88">
        <f>SUMIF(G32:G34,"0",I32:I34)</f>
        <v>0</v>
      </c>
      <c r="J69" s="87">
        <f>COUNTIF(J32:J34,0)</f>
        <v>0</v>
      </c>
      <c r="K69" s="127">
        <f>SUMIF(J32:J34,"0",K32:K34)</f>
        <v>0</v>
      </c>
      <c r="L69" s="88">
        <f>SUMIF(J32:J34,"0",L32:L34)</f>
        <v>0</v>
      </c>
      <c r="M69" s="87">
        <f>COUNTIF(M32:M34,0)</f>
        <v>0</v>
      </c>
      <c r="N69" s="127">
        <f>SUMIF(M32:M34,"0",N32:N34)</f>
        <v>0</v>
      </c>
      <c r="O69" s="88">
        <f>SUMIF(M32:M34,"0",O32:O34)</f>
        <v>0</v>
      </c>
      <c r="P69" s="87">
        <f>COUNTIF(P32:P34,0)</f>
        <v>1</v>
      </c>
      <c r="Q69" s="94">
        <f>SUMIF(P32:P34,"0",Q32:Q34)</f>
        <v>3.349596000635723</v>
      </c>
      <c r="R69" s="86">
        <f>SUMIF(P32:P34,"0",R32:R34)</f>
        <v>0.9430901361013201</v>
      </c>
      <c r="S69" s="87">
        <f>COUNTIF(S32:S34,0)</f>
        <v>0</v>
      </c>
      <c r="T69" s="127">
        <f>SUMIF(S32:S34,"0",T32:T34)</f>
        <v>0</v>
      </c>
      <c r="U69" s="88">
        <f>SUMIF(S32:S34,"0",U32:U34)</f>
        <v>0</v>
      </c>
      <c r="V69" s="87">
        <f>COUNTIF(V32:V34,0)</f>
        <v>0</v>
      </c>
      <c r="W69" s="127">
        <f>SUMIF(V32:V34,"0",W32:W34)</f>
        <v>0</v>
      </c>
      <c r="X69" s="88">
        <f>SUMIF(V32:V34,"0",X32:X34)</f>
        <v>0</v>
      </c>
      <c r="Y69" s="87">
        <f>COUNTIF(Y32:Y34,0)</f>
        <v>0</v>
      </c>
      <c r="Z69" s="127">
        <f>SUMIF(Y32:Y34,"0",Z32:Z34)</f>
        <v>0</v>
      </c>
      <c r="AA69" s="88">
        <f>SUMIF(Y32:Y34,"0",AA32:AA34)</f>
        <v>0</v>
      </c>
      <c r="AB69" s="87">
        <f>COUNTIF(AB32:AB34,0)</f>
        <v>0</v>
      </c>
      <c r="AC69" s="127">
        <f>SUMIF(AB32:AB34,"0",AC32:AC34)</f>
        <v>0</v>
      </c>
      <c r="AD69" s="88">
        <f>SUMIF(AB32:AB34,"0",AD32:AD34)</f>
        <v>0</v>
      </c>
      <c r="AE69" s="87">
        <f>COUNTIF(AE32:AE34,0)</f>
        <v>3</v>
      </c>
      <c r="AF69" s="163"/>
      <c r="AG69" s="164"/>
      <c r="AH69" s="87">
        <f>COUNTIF(AH32:AH34,0)</f>
        <v>0</v>
      </c>
      <c r="AI69" s="129">
        <f>SUMIF(AH32:AH34,"0",AI32:AI34)</f>
        <v>0</v>
      </c>
      <c r="AJ69" s="130">
        <f>SUMIF(AH32:AH34,"0",AJ32:AJ34)</f>
        <v>0</v>
      </c>
      <c r="AK69" s="87">
        <f>COUNTIF(AK32:AK34,0)</f>
        <v>0</v>
      </c>
      <c r="AL69" s="129">
        <f>SUMIF(AK32:AK34,"0",AL32:AL34)</f>
        <v>0</v>
      </c>
      <c r="AM69" s="130">
        <f>SUMIF(AK32:AK34,"0",AM32:AM34)</f>
        <v>0</v>
      </c>
      <c r="AN69" s="87">
        <f>COUNTIF(AN32:AN34,0)</f>
        <v>0</v>
      </c>
      <c r="AO69" s="129">
        <f>SUMIF(AN32:AN34,"0",AO32:AO34)</f>
        <v>0</v>
      </c>
      <c r="AP69" s="129">
        <f>SUMIF(AN32:AN34,"0",AP32:AP34)</f>
        <v>0</v>
      </c>
      <c r="AQ69" s="87">
        <f>COUNTIF(AQ32:AQ34,0)</f>
        <v>3</v>
      </c>
      <c r="AR69" s="161"/>
      <c r="AS69" s="162"/>
    </row>
    <row r="70" spans="3:45" ht="12.75">
      <c r="C70" s="105" t="s">
        <v>17</v>
      </c>
      <c r="D70" s="89" t="s">
        <v>137</v>
      </c>
      <c r="G70" s="87">
        <f>COUNTIF(G38:G40,0)</f>
        <v>0</v>
      </c>
      <c r="H70" s="127">
        <f>SUMIF(G38:G40,"0",H38:H40)</f>
        <v>0</v>
      </c>
      <c r="I70" s="88">
        <f>SUMIF(G38:G40,"0",I38:I40)</f>
        <v>0</v>
      </c>
      <c r="J70" s="87">
        <f>COUNTIF(J38:J40,0)</f>
        <v>0</v>
      </c>
      <c r="K70" s="127">
        <f>SUMIF(J38:J40,"0",K38:K40)</f>
        <v>0</v>
      </c>
      <c r="L70" s="88">
        <f>SUMIF(J38:J40,"0",L38:L40)</f>
        <v>0</v>
      </c>
      <c r="M70" s="87">
        <f>COUNTIF(M38:M40,0)</f>
        <v>0</v>
      </c>
      <c r="N70" s="127">
        <f>SUMIF(M38:M40,"0",N38:N40)</f>
        <v>0</v>
      </c>
      <c r="O70" s="88">
        <f>SUMIF(M38:M40,"0",O38:O40)</f>
        <v>0</v>
      </c>
      <c r="P70" s="87">
        <f>COUNTIF(P38:P40,0)</f>
        <v>1</v>
      </c>
      <c r="Q70" s="94">
        <f>SUMIF(P38:P40,"0",Q38:Q40)</f>
        <v>3.469224429229856</v>
      </c>
      <c r="R70" s="86">
        <f>SUMIF(P38:P40,"0",R38:R40)</f>
        <v>0.9767719266763673</v>
      </c>
      <c r="S70" s="87">
        <f>COUNTIF(S38:S40,0)</f>
        <v>0</v>
      </c>
      <c r="T70" s="127">
        <f>SUMIF(S38:S40,"0",T38:T40)</f>
        <v>0</v>
      </c>
      <c r="U70" s="88">
        <f>SUMIF(S38:S40,"0",U38:U40)</f>
        <v>0</v>
      </c>
      <c r="V70" s="87">
        <f>COUNTIF(V38:V40,0)</f>
        <v>0</v>
      </c>
      <c r="W70" s="127">
        <f>SUMIF(V38:V40,"0",W38:W40)</f>
        <v>0</v>
      </c>
      <c r="X70" s="88">
        <f>SUMIF(V38:V40,"0",X38:X40)</f>
        <v>0</v>
      </c>
      <c r="Y70" s="87">
        <f>COUNTIF(Y38:Y40,0)</f>
        <v>2</v>
      </c>
      <c r="Z70" s="119">
        <f>SUMIF(Y38:Y40,"0",Z38:Z40)</f>
        <v>0.09414094625756686</v>
      </c>
      <c r="AA70" s="84">
        <f>SUMIF(Y38:Y40,"0",AA38:AA40)</f>
        <v>0.02821072000861758</v>
      </c>
      <c r="AB70" s="87">
        <f>COUNTIF(AB38:AB40,0)</f>
        <v>0</v>
      </c>
      <c r="AC70" s="127">
        <f>SUMIF(AB38:AB40,"0",AC38:AC40)</f>
        <v>0</v>
      </c>
      <c r="AD70" s="88">
        <f>SUMIF(AB38:AB40,"0",AD38:AD40)</f>
        <v>0</v>
      </c>
      <c r="AE70" s="87">
        <f>COUNTIF(AE38:AE40,0)</f>
        <v>3</v>
      </c>
      <c r="AF70" s="163"/>
      <c r="AG70" s="164"/>
      <c r="AH70" s="87">
        <f>COUNTIF(AH38:AH40,0)</f>
        <v>0</v>
      </c>
      <c r="AI70" s="129">
        <f>SUMIF(AH38:AH40,"0",AI38:AI40)</f>
        <v>0</v>
      </c>
      <c r="AJ70" s="130">
        <f>SUMIF(AH38:AH40,"0",AJ38:AJ40)</f>
        <v>0</v>
      </c>
      <c r="AK70" s="87">
        <f>COUNTIF(AK38:AK40,0)</f>
        <v>0</v>
      </c>
      <c r="AL70" s="129">
        <f>SUMIF(AK38:AK40,"0",AL38:AL40)</f>
        <v>0</v>
      </c>
      <c r="AM70" s="130">
        <f>SUMIF(AK38:AK40,"0",AM38:AM40)</f>
        <v>0</v>
      </c>
      <c r="AN70" s="87">
        <f>COUNTIF(AN38:AN40,0)</f>
        <v>0</v>
      </c>
      <c r="AO70" s="129">
        <f>SUMIF(AN38:AN40,"0",AO38:AO40)</f>
        <v>0</v>
      </c>
      <c r="AP70" s="129">
        <f>SUMIF(AN38:AN40,"0",AP38:AP40)</f>
        <v>0</v>
      </c>
      <c r="AQ70" s="87">
        <f>COUNTIF(AQ38:AQ40,0)</f>
        <v>3</v>
      </c>
      <c r="AR70" s="161"/>
      <c r="AS70" s="162"/>
    </row>
    <row r="71" spans="3:45" ht="12.75">
      <c r="C71" s="105" t="s">
        <v>22</v>
      </c>
      <c r="D71" s="89" t="s">
        <v>137</v>
      </c>
      <c r="G71" s="87">
        <f>COUNTIF(G44:G45,0)</f>
        <v>0</v>
      </c>
      <c r="H71" s="127">
        <f>SUMIF(G44:G45,"0",H44:H45)</f>
        <v>0</v>
      </c>
      <c r="I71" s="88">
        <f>SUMIF(G44:G45,"0",I44:I45)</f>
        <v>0</v>
      </c>
      <c r="J71" s="87">
        <f>COUNTIF(J44:J45,0)</f>
        <v>1</v>
      </c>
      <c r="K71" s="119">
        <f>SUMIF(J44:J45,"0",K44:K45)</f>
        <v>0.6134745312888231</v>
      </c>
      <c r="L71" s="84">
        <f>SUMIF(J44:J45,"0",L44:L45)</f>
        <v>0.17374884892259004</v>
      </c>
      <c r="M71" s="87">
        <f>COUNTIF(M44:M45,0)</f>
        <v>0</v>
      </c>
      <c r="N71" s="127">
        <f>SUMIF(M44:M45,"0",N44:N45)</f>
        <v>0</v>
      </c>
      <c r="O71" s="88">
        <f>SUMIF(M44:M45,"0",O44:O45)</f>
        <v>0</v>
      </c>
      <c r="P71" s="87">
        <f>COUNTIF(P44:P45,0)</f>
        <v>2</v>
      </c>
      <c r="Q71" s="94">
        <f>SUMIF(P44:P45,"0",Q44:Q45)</f>
        <v>5.9033315988196735</v>
      </c>
      <c r="R71" s="86">
        <f>SUMIF(P44:P45,"0",R44:R45)</f>
        <v>1.7473539061813506</v>
      </c>
      <c r="S71" s="87">
        <f>COUNTIF(S44:S45,0)</f>
        <v>0</v>
      </c>
      <c r="T71" s="127">
        <f>SUMIF(S44:S45,"0",T44:T45)</f>
        <v>0</v>
      </c>
      <c r="U71" s="88">
        <f>SUMIF(S44:S45,"0",U44:U45)</f>
        <v>0</v>
      </c>
      <c r="V71" s="87">
        <f>COUNTIF(V44:V45,0)</f>
        <v>1</v>
      </c>
      <c r="W71" s="119">
        <f>SUMIF(V44:V45,"0",W44:W45)</f>
        <v>0.10224575521480386</v>
      </c>
      <c r="X71" s="84">
        <f>SUMIF(V44:V45,"0",X44:X45)</f>
        <v>0.02895814148709834</v>
      </c>
      <c r="Y71" s="87">
        <f>COUNTIF(Y44:Y45,0)</f>
        <v>0</v>
      </c>
      <c r="Z71" s="127">
        <f>SUMIF(Y44:Y45,"0",Z44:Z45)</f>
        <v>0</v>
      </c>
      <c r="AA71" s="88">
        <f>SUMIF(Y44:Y45,"0",AA44:AA45)</f>
        <v>0</v>
      </c>
      <c r="AB71" s="87">
        <f>COUNTIF(AB44:AB45,0)</f>
        <v>0</v>
      </c>
      <c r="AC71" s="127">
        <f>SUMIF(AB44:AB45,"0",AC44:AC45)</f>
        <v>0</v>
      </c>
      <c r="AD71" s="88">
        <f>SUMIF(AB44:AB45,"0",AD44:AD45)</f>
        <v>0</v>
      </c>
      <c r="AE71" s="87">
        <f>COUNTIF(AE44:AE45,0)</f>
        <v>2</v>
      </c>
      <c r="AF71" s="163"/>
      <c r="AG71" s="164"/>
      <c r="AH71" s="87">
        <f>COUNTIF(AH44:AH45,0)</f>
        <v>0</v>
      </c>
      <c r="AI71" s="129">
        <f>SUMIF(AH44:AH45,"0",AI44:AI45)</f>
        <v>0</v>
      </c>
      <c r="AJ71" s="130">
        <f>SUMIF(AH44:AH45,"0",AJ44:AJ45)</f>
        <v>0</v>
      </c>
      <c r="AK71" s="87">
        <f>COUNTIF(AK44:AK45,0)</f>
        <v>0</v>
      </c>
      <c r="AL71" s="129">
        <f>SUMIF(AK44:AK45,"0",AL44:AL45)</f>
        <v>0</v>
      </c>
      <c r="AM71" s="130">
        <f>SUMIF(AK44:AK45,"0",AM44:AM45)</f>
        <v>0</v>
      </c>
      <c r="AN71" s="87">
        <f>COUNTIF(AN44:AN45,0)</f>
        <v>1</v>
      </c>
      <c r="AO71" s="123">
        <f>SUMIF(AN44:AN45,"0",AO44:AO45)</f>
        <v>0.010224575521480388</v>
      </c>
      <c r="AP71" s="123">
        <f>SUMIF(AN44:AN45,"0",AP44:AP45)</f>
        <v>0.0028958141487098344</v>
      </c>
      <c r="AQ71" s="87">
        <f>COUNTIF(AQ44:AQ45,0)</f>
        <v>2</v>
      </c>
      <c r="AR71" s="161"/>
      <c r="AS71" s="162"/>
    </row>
    <row r="72" spans="3:45" ht="12.75">
      <c r="C72" s="105"/>
      <c r="G72" s="87"/>
      <c r="H72" s="127"/>
      <c r="I72" s="88"/>
      <c r="J72" s="87"/>
      <c r="K72" s="119"/>
      <c r="L72" s="84"/>
      <c r="M72" s="87"/>
      <c r="N72" s="127"/>
      <c r="O72" s="88"/>
      <c r="P72" s="87"/>
      <c r="Q72" s="94"/>
      <c r="R72" s="86"/>
      <c r="S72" s="87"/>
      <c r="T72" s="127"/>
      <c r="U72" s="88"/>
      <c r="V72" s="87"/>
      <c r="W72" s="119"/>
      <c r="X72" s="84"/>
      <c r="Y72" s="87"/>
      <c r="Z72" s="127"/>
      <c r="AA72" s="88"/>
      <c r="AB72" s="87"/>
      <c r="AC72" s="127"/>
      <c r="AD72" s="88"/>
      <c r="AE72" s="87"/>
      <c r="AF72" s="121"/>
      <c r="AG72" s="122"/>
      <c r="AH72" s="87"/>
      <c r="AI72" s="129"/>
      <c r="AJ72" s="130"/>
      <c r="AK72" s="87"/>
      <c r="AL72" s="129"/>
      <c r="AM72" s="130"/>
      <c r="AN72" s="87"/>
      <c r="AO72" s="123"/>
      <c r="AP72" s="123"/>
      <c r="AQ72" s="87"/>
      <c r="AR72" s="125"/>
      <c r="AS72" s="126"/>
    </row>
    <row r="74" spans="1:45" s="146" customFormat="1" ht="12.75">
      <c r="A74" s="128"/>
      <c r="B74" s="137"/>
      <c r="C74" s="138"/>
      <c r="D74" s="137"/>
      <c r="E74" s="137"/>
      <c r="F74" s="137"/>
      <c r="G74" s="139"/>
      <c r="H74" s="140" t="s">
        <v>190</v>
      </c>
      <c r="I74" s="141"/>
      <c r="J74" s="142"/>
      <c r="K74" s="143"/>
      <c r="L74" s="144"/>
      <c r="M74" s="145"/>
      <c r="N74" s="143"/>
      <c r="O74" s="144"/>
      <c r="P74" s="145"/>
      <c r="Q74" s="143"/>
      <c r="R74" s="144"/>
      <c r="S74" s="145"/>
      <c r="T74" s="143"/>
      <c r="U74" s="144"/>
      <c r="V74" s="145"/>
      <c r="W74" s="143"/>
      <c r="X74" s="144"/>
      <c r="Y74" s="145"/>
      <c r="Z74" s="143"/>
      <c r="AA74" s="144"/>
      <c r="AB74" s="145"/>
      <c r="AC74" s="143"/>
      <c r="AD74" s="144"/>
      <c r="AE74" s="145"/>
      <c r="AF74" s="143"/>
      <c r="AG74" s="144"/>
      <c r="AH74" s="145"/>
      <c r="AI74" s="143"/>
      <c r="AJ74" s="144"/>
      <c r="AK74" s="145"/>
      <c r="AL74" s="143"/>
      <c r="AM74" s="144"/>
      <c r="AN74" s="145"/>
      <c r="AO74" s="143"/>
      <c r="AP74" s="143"/>
      <c r="AQ74" s="145"/>
      <c r="AR74" s="143"/>
      <c r="AS74" s="144"/>
    </row>
    <row r="75" spans="1:45" ht="12.75">
      <c r="A75" s="2"/>
      <c r="B75" s="2"/>
      <c r="H75" s="89" t="s">
        <v>75</v>
      </c>
      <c r="I75" s="76" t="s">
        <v>167</v>
      </c>
      <c r="K75" s="89" t="s">
        <v>76</v>
      </c>
      <c r="L75" s="76" t="s">
        <v>168</v>
      </c>
      <c r="N75" s="89" t="s">
        <v>77</v>
      </c>
      <c r="O75" s="76" t="s">
        <v>169</v>
      </c>
      <c r="Q75" s="89" t="s">
        <v>78</v>
      </c>
      <c r="R75" s="76" t="s">
        <v>170</v>
      </c>
      <c r="T75" s="89" t="s">
        <v>79</v>
      </c>
      <c r="U75" s="76" t="s">
        <v>171</v>
      </c>
      <c r="W75" s="89" t="s">
        <v>80</v>
      </c>
      <c r="X75" s="76" t="s">
        <v>172</v>
      </c>
      <c r="Z75" s="89" t="s">
        <v>81</v>
      </c>
      <c r="AA75" s="76" t="s">
        <v>173</v>
      </c>
      <c r="AC75" s="89" t="s">
        <v>82</v>
      </c>
      <c r="AD75" s="76" t="s">
        <v>174</v>
      </c>
      <c r="AF75" s="89" t="s">
        <v>83</v>
      </c>
      <c r="AG75" s="76" t="s">
        <v>179</v>
      </c>
      <c r="AI75" s="89" t="s">
        <v>84</v>
      </c>
      <c r="AJ75" s="76" t="s">
        <v>178</v>
      </c>
      <c r="AL75" s="89" t="s">
        <v>85</v>
      </c>
      <c r="AM75" s="76" t="s">
        <v>177</v>
      </c>
      <c r="AO75" s="89" t="s">
        <v>86</v>
      </c>
      <c r="AP75" s="89" t="s">
        <v>176</v>
      </c>
      <c r="AR75" s="89" t="s">
        <v>87</v>
      </c>
      <c r="AS75" s="76" t="s">
        <v>175</v>
      </c>
    </row>
    <row r="76" spans="3:45" ht="12.75">
      <c r="C76" s="105">
        <v>101</v>
      </c>
      <c r="D76" s="89" t="s">
        <v>137</v>
      </c>
      <c r="H76" s="119">
        <f aca="true" t="shared" si="0" ref="H76:I83">H52+H64</f>
        <v>32.429293403937436</v>
      </c>
      <c r="I76" s="84">
        <f t="shared" si="0"/>
        <v>9.540714948067096</v>
      </c>
      <c r="K76" s="119">
        <f aca="true" t="shared" si="1" ref="K76:L83">K52+K64</f>
        <v>2.1180843939606606</v>
      </c>
      <c r="L76" s="84">
        <f t="shared" si="1"/>
        <v>0.6231415278469968</v>
      </c>
      <c r="N76" s="119">
        <f aca="true" t="shared" si="2" ref="N76:O83">N52+N64</f>
        <v>5.157432021980078</v>
      </c>
      <c r="O76" s="84">
        <f t="shared" si="2"/>
        <v>1.5173191772279224</v>
      </c>
      <c r="Q76" s="119">
        <f aca="true" t="shared" si="3" ref="Q76:R83">Q52+Q64</f>
        <v>12.913328373918446</v>
      </c>
      <c r="R76" s="84">
        <f t="shared" si="3"/>
        <v>3.7991079087583186</v>
      </c>
      <c r="T76" s="119">
        <f aca="true" t="shared" si="4" ref="T76:U83">T52+T64</f>
        <v>11.249890170427538</v>
      </c>
      <c r="U76" s="84">
        <f t="shared" si="4"/>
        <v>3.3097235260784093</v>
      </c>
      <c r="W76" s="119">
        <f aca="true" t="shared" si="5" ref="W76:X83">W52+W64</f>
        <v>2.169088187311788</v>
      </c>
      <c r="X76" s="84">
        <f t="shared" si="5"/>
        <v>0.6381468703184472</v>
      </c>
      <c r="Z76" s="119">
        <f aca="true" t="shared" si="6" ref="Z76:AA83">Z52+Z64</f>
        <v>0.6738452719307646</v>
      </c>
      <c r="AA76" s="84">
        <f t="shared" si="6"/>
        <v>0.19824562868254178</v>
      </c>
      <c r="AC76" s="119">
        <f aca="true" t="shared" si="7" ref="AC76:AD83">AC52+AC64</f>
        <v>1.4937398666971289</v>
      </c>
      <c r="AD76" s="84">
        <f t="shared" si="7"/>
        <v>0.43945904393312213</v>
      </c>
      <c r="AF76" s="161"/>
      <c r="AG76" s="162"/>
      <c r="AI76" s="119">
        <f aca="true" t="shared" si="8" ref="AI76:AJ83">AI52+AI64</f>
        <v>2.0146695378284716</v>
      </c>
      <c r="AJ76" s="84">
        <f t="shared" si="8"/>
        <v>0.5927168235075311</v>
      </c>
      <c r="AL76" s="119">
        <f aca="true" t="shared" si="9" ref="AL76:AM83">AL52+AL64</f>
        <v>15.288853647181414</v>
      </c>
      <c r="AM76" s="84">
        <f t="shared" si="9"/>
        <v>4.497988676890608</v>
      </c>
      <c r="AO76" s="119">
        <f aca="true" t="shared" si="10" ref="AO76:AP83">AO52+AO64</f>
        <v>0.013481461197957208</v>
      </c>
      <c r="AP76" s="119">
        <f t="shared" si="10"/>
        <v>0.003966252880413361</v>
      </c>
      <c r="AR76" s="161"/>
      <c r="AS76" s="162"/>
    </row>
    <row r="77" spans="3:45" ht="12.75">
      <c r="C77" s="105" t="s">
        <v>19</v>
      </c>
      <c r="D77" s="89" t="s">
        <v>137</v>
      </c>
      <c r="H77" s="119">
        <f t="shared" si="0"/>
        <v>19.346106088004163</v>
      </c>
      <c r="I77" s="84">
        <f t="shared" si="0"/>
        <v>5.798293312875266</v>
      </c>
      <c r="K77" s="119">
        <f t="shared" si="1"/>
        <v>2.638246163345416</v>
      </c>
      <c r="L77" s="84">
        <f t="shared" si="1"/>
        <v>0.753037272364331</v>
      </c>
      <c r="N77" s="119">
        <f t="shared" si="2"/>
        <v>16.926969549492622</v>
      </c>
      <c r="O77" s="84">
        <f t="shared" si="2"/>
        <v>5.043580537396877</v>
      </c>
      <c r="Q77" s="119">
        <f t="shared" si="3"/>
        <v>10.89082694217225</v>
      </c>
      <c r="R77" s="84">
        <f t="shared" si="3"/>
        <v>3.2369652722655404</v>
      </c>
      <c r="T77" s="119">
        <f t="shared" si="4"/>
        <v>10.941211970730954</v>
      </c>
      <c r="U77" s="84">
        <f t="shared" si="4"/>
        <v>3.2138199297058985</v>
      </c>
      <c r="W77" s="119">
        <f t="shared" si="5"/>
        <v>4.387583797928684</v>
      </c>
      <c r="X77" s="84">
        <f t="shared" si="5"/>
        <v>1.2579732452708539</v>
      </c>
      <c r="Z77" s="119">
        <f t="shared" si="6"/>
        <v>2.545498736227897</v>
      </c>
      <c r="AA77" s="84">
        <f t="shared" si="6"/>
        <v>0.7290978459856725</v>
      </c>
      <c r="AC77" s="119">
        <f t="shared" si="7"/>
        <v>1.9653512841902505</v>
      </c>
      <c r="AD77" s="84">
        <f t="shared" si="7"/>
        <v>0.5799193191831021</v>
      </c>
      <c r="AF77" s="161"/>
      <c r="AG77" s="162"/>
      <c r="AI77" s="119">
        <f t="shared" si="8"/>
        <v>1.9344809756222383</v>
      </c>
      <c r="AJ77" s="84">
        <f t="shared" si="8"/>
        <v>0.565876746171657</v>
      </c>
      <c r="AL77" s="119">
        <f t="shared" si="9"/>
        <v>14.006189587964258</v>
      </c>
      <c r="AM77" s="84">
        <f t="shared" si="9"/>
        <v>4.029146504084119</v>
      </c>
      <c r="AO77" s="119">
        <f t="shared" si="10"/>
        <v>0.1007487133522188</v>
      </c>
      <c r="AP77" s="119">
        <f t="shared" si="10"/>
        <v>0.02961378446110244</v>
      </c>
      <c r="AR77" s="161"/>
      <c r="AS77" s="162"/>
    </row>
    <row r="78" spans="3:45" ht="12.75">
      <c r="C78" s="105" t="s">
        <v>5</v>
      </c>
      <c r="D78" s="89" t="s">
        <v>137</v>
      </c>
      <c r="H78" s="119">
        <f t="shared" si="0"/>
        <v>30.717869792767576</v>
      </c>
      <c r="I78" s="84">
        <f t="shared" si="0"/>
        <v>8.912975581494214</v>
      </c>
      <c r="K78" s="119">
        <f t="shared" si="1"/>
        <v>1.477671064016971</v>
      </c>
      <c r="L78" s="84">
        <f t="shared" si="1"/>
        <v>0.43101637806759324</v>
      </c>
      <c r="N78" s="119">
        <f t="shared" si="2"/>
        <v>12.122977032890693</v>
      </c>
      <c r="O78" s="84">
        <f t="shared" si="2"/>
        <v>3.612388914516535</v>
      </c>
      <c r="Q78" s="119">
        <f t="shared" si="3"/>
        <v>13.047420288895355</v>
      </c>
      <c r="R78" s="84">
        <f t="shared" si="3"/>
        <v>3.803881019829573</v>
      </c>
      <c r="T78" s="119">
        <f t="shared" si="4"/>
        <v>9.979776390516971</v>
      </c>
      <c r="U78" s="84">
        <f t="shared" si="4"/>
        <v>2.945663798455902</v>
      </c>
      <c r="W78" s="119">
        <f t="shared" si="5"/>
        <v>0.5948256328671615</v>
      </c>
      <c r="X78" s="84">
        <f t="shared" si="5"/>
        <v>0.1842739123636595</v>
      </c>
      <c r="Z78" s="119">
        <f t="shared" si="6"/>
        <v>0.9471857206804013</v>
      </c>
      <c r="AA78" s="84">
        <f t="shared" si="6"/>
        <v>0.27449178284291104</v>
      </c>
      <c r="AC78" s="119">
        <f t="shared" si="7"/>
        <v>2.84729517920604</v>
      </c>
      <c r="AD78" s="84">
        <f t="shared" si="7"/>
        <v>0.8327798512285324</v>
      </c>
      <c r="AF78" s="161"/>
      <c r="AG78" s="162"/>
      <c r="AI78" s="119">
        <f t="shared" si="8"/>
        <v>2.0653219277843924</v>
      </c>
      <c r="AJ78" s="84">
        <f t="shared" si="8"/>
        <v>0.6053795986597739</v>
      </c>
      <c r="AL78" s="119">
        <f t="shared" si="9"/>
        <v>16.967296797373287</v>
      </c>
      <c r="AM78" s="84">
        <f t="shared" si="9"/>
        <v>4.914354576428971</v>
      </c>
      <c r="AO78" s="119">
        <f t="shared" si="10"/>
        <v>0.07621162236452526</v>
      </c>
      <c r="AP78" s="119">
        <f t="shared" si="10"/>
        <v>0.022771444112160852</v>
      </c>
      <c r="AR78" s="161"/>
      <c r="AS78" s="162"/>
    </row>
    <row r="79" spans="3:45" ht="12.75">
      <c r="C79" s="105" t="s">
        <v>21</v>
      </c>
      <c r="D79" s="89" t="s">
        <v>137</v>
      </c>
      <c r="H79" s="119">
        <f t="shared" si="0"/>
        <v>36.63305104194927</v>
      </c>
      <c r="I79" s="84">
        <f t="shared" si="0"/>
        <v>10.802247313537725</v>
      </c>
      <c r="K79" s="119">
        <f t="shared" si="1"/>
        <v>2.7805227193758957</v>
      </c>
      <c r="L79" s="84">
        <f t="shared" si="1"/>
        <v>0.8015744798472819</v>
      </c>
      <c r="N79" s="119">
        <f t="shared" si="2"/>
        <v>4.96475447895044</v>
      </c>
      <c r="O79" s="84">
        <f t="shared" si="2"/>
        <v>1.4742538438118484</v>
      </c>
      <c r="Q79" s="119">
        <f t="shared" si="3"/>
        <v>14.455139096397671</v>
      </c>
      <c r="R79" s="84">
        <f t="shared" si="3"/>
        <v>4.20705483119179</v>
      </c>
      <c r="T79" s="119">
        <f t="shared" si="4"/>
        <v>7.735036082080339</v>
      </c>
      <c r="U79" s="84">
        <f t="shared" si="4"/>
        <v>2.268911560394269</v>
      </c>
      <c r="W79" s="119">
        <f t="shared" si="5"/>
        <v>0.3196071884827472</v>
      </c>
      <c r="X79" s="84">
        <f t="shared" si="5"/>
        <v>0.09754727075478037</v>
      </c>
      <c r="Z79" s="119">
        <f t="shared" si="6"/>
        <v>0.19542493115323797</v>
      </c>
      <c r="AA79" s="84">
        <f t="shared" si="6"/>
        <v>0.05680478676161748</v>
      </c>
      <c r="AC79" s="119">
        <f t="shared" si="7"/>
        <v>2.437432142586536</v>
      </c>
      <c r="AD79" s="84">
        <f t="shared" si="7"/>
        <v>0.7083481052920761</v>
      </c>
      <c r="AF79" s="161"/>
      <c r="AG79" s="162"/>
      <c r="AI79" s="119">
        <f t="shared" si="8"/>
        <v>2.857138398713523</v>
      </c>
      <c r="AJ79" s="84">
        <f t="shared" si="8"/>
        <v>0.8289338354198733</v>
      </c>
      <c r="AL79" s="119">
        <f t="shared" si="9"/>
        <v>15.3919503343424</v>
      </c>
      <c r="AM79" s="84">
        <f t="shared" si="9"/>
        <v>4.452921212177354</v>
      </c>
      <c r="AO79" s="119">
        <f t="shared" si="10"/>
        <v>0.07135151415867318</v>
      </c>
      <c r="AP79" s="119">
        <f t="shared" si="10"/>
        <v>0.021108476372198638</v>
      </c>
      <c r="AR79" s="161"/>
      <c r="AS79" s="162"/>
    </row>
    <row r="80" spans="3:45" ht="12.75">
      <c r="C80" s="105" t="s">
        <v>12</v>
      </c>
      <c r="D80" s="89" t="s">
        <v>137</v>
      </c>
      <c r="H80" s="119">
        <f t="shared" si="0"/>
        <v>10.59061240370308</v>
      </c>
      <c r="I80" s="84">
        <f t="shared" si="0"/>
        <v>3.2542054307395833</v>
      </c>
      <c r="K80" s="119">
        <f t="shared" si="1"/>
        <v>1.559670803170722</v>
      </c>
      <c r="L80" s="84">
        <f t="shared" si="1"/>
        <v>0.4529498386759832</v>
      </c>
      <c r="N80" s="119">
        <f t="shared" si="2"/>
        <v>14.992370038921543</v>
      </c>
      <c r="O80" s="84">
        <f t="shared" si="2"/>
        <v>4.510688059549084</v>
      </c>
      <c r="Q80" s="119">
        <f t="shared" si="3"/>
        <v>10.090326599614327</v>
      </c>
      <c r="R80" s="84">
        <f t="shared" si="3"/>
        <v>2.9262165763080006</v>
      </c>
      <c r="T80" s="119">
        <f t="shared" si="4"/>
        <v>9.733709685749853</v>
      </c>
      <c r="U80" s="84">
        <f t="shared" si="4"/>
        <v>2.8301694163174345</v>
      </c>
      <c r="W80" s="119">
        <f t="shared" si="5"/>
        <v>0.3970548097286278</v>
      </c>
      <c r="X80" s="84">
        <f t="shared" si="5"/>
        <v>0.12601880187619718</v>
      </c>
      <c r="Z80" s="119">
        <f t="shared" si="6"/>
        <v>1.5502082219266418</v>
      </c>
      <c r="AA80" s="84">
        <f t="shared" si="6"/>
        <v>0.4798683564105018</v>
      </c>
      <c r="AC80" s="119">
        <f t="shared" si="7"/>
        <v>2.4324231842857564</v>
      </c>
      <c r="AD80" s="84">
        <f t="shared" si="7"/>
        <v>0.7035487551894248</v>
      </c>
      <c r="AF80" s="161"/>
      <c r="AG80" s="162"/>
      <c r="AI80" s="119">
        <f t="shared" si="8"/>
        <v>2.9209460280901776</v>
      </c>
      <c r="AJ80" s="84">
        <f t="shared" si="8"/>
        <v>0.8445581139548592</v>
      </c>
      <c r="AL80" s="119">
        <f t="shared" si="9"/>
        <v>7.3564149700544945</v>
      </c>
      <c r="AM80" s="84">
        <f t="shared" si="9"/>
        <v>2.097004062856712</v>
      </c>
      <c r="AO80" s="119">
        <f t="shared" si="10"/>
        <v>0.06642559060194622</v>
      </c>
      <c r="AP80" s="119">
        <f t="shared" si="10"/>
        <v>0.02034252406237273</v>
      </c>
      <c r="AR80" s="161"/>
      <c r="AS80" s="162"/>
    </row>
    <row r="81" spans="3:45" ht="12.75">
      <c r="C81" s="105" t="s">
        <v>20</v>
      </c>
      <c r="D81" s="89" t="s">
        <v>137</v>
      </c>
      <c r="H81" s="119">
        <f t="shared" si="0"/>
        <v>64.5988677437369</v>
      </c>
      <c r="I81" s="84">
        <f t="shared" si="0"/>
        <v>18.969106662447377</v>
      </c>
      <c r="K81" s="119">
        <f t="shared" si="1"/>
        <v>1.5436752164602634</v>
      </c>
      <c r="L81" s="84">
        <f t="shared" si="1"/>
        <v>0.44505178555013836</v>
      </c>
      <c r="N81" s="119">
        <f t="shared" si="2"/>
        <v>9.291381696903443</v>
      </c>
      <c r="O81" s="84">
        <f t="shared" si="2"/>
        <v>2.724271964391234</v>
      </c>
      <c r="Q81" s="119">
        <f t="shared" si="3"/>
        <v>10.2485193741754</v>
      </c>
      <c r="R81" s="84">
        <f t="shared" si="3"/>
        <v>2.9950090298000953</v>
      </c>
      <c r="T81" s="119">
        <f t="shared" si="4"/>
        <v>6.537860879972524</v>
      </c>
      <c r="U81" s="84">
        <f t="shared" si="4"/>
        <v>1.904881315977237</v>
      </c>
      <c r="W81" s="119">
        <f t="shared" si="5"/>
        <v>2.1156179166187834</v>
      </c>
      <c r="X81" s="84">
        <f t="shared" si="5"/>
        <v>0.6163090804757068</v>
      </c>
      <c r="Z81" s="119">
        <f t="shared" si="6"/>
        <v>0.2931183204832146</v>
      </c>
      <c r="AA81" s="84">
        <f t="shared" si="6"/>
        <v>0.08478704829074986</v>
      </c>
      <c r="AC81" s="119">
        <f t="shared" si="7"/>
        <v>1.5305218682926518</v>
      </c>
      <c r="AD81" s="84">
        <f t="shared" si="7"/>
        <v>0.44767167613221825</v>
      </c>
      <c r="AF81" s="161"/>
      <c r="AG81" s="162"/>
      <c r="AI81" s="119">
        <f t="shared" si="8"/>
        <v>1.8091977071238143</v>
      </c>
      <c r="AJ81" s="84">
        <f t="shared" si="8"/>
        <v>0.5285982001344567</v>
      </c>
      <c r="AL81" s="119">
        <f t="shared" si="9"/>
        <v>4.159712609886201</v>
      </c>
      <c r="AM81" s="84">
        <f t="shared" si="9"/>
        <v>1.199505207311147</v>
      </c>
      <c r="AO81" s="119">
        <f t="shared" si="10"/>
        <v>0.125619817263854</v>
      </c>
      <c r="AP81" s="119">
        <f t="shared" si="10"/>
        <v>0.03687080837265319</v>
      </c>
      <c r="AR81" s="161"/>
      <c r="AS81" s="162"/>
    </row>
    <row r="82" spans="3:45" ht="12.75">
      <c r="C82" s="105" t="s">
        <v>17</v>
      </c>
      <c r="D82" s="89" t="s">
        <v>137</v>
      </c>
      <c r="H82" s="119">
        <f t="shared" si="0"/>
        <v>45.24927985235958</v>
      </c>
      <c r="I82" s="84">
        <f t="shared" si="0"/>
        <v>13.254375921415383</v>
      </c>
      <c r="K82" s="119">
        <f t="shared" si="1"/>
        <v>2.375422548307155</v>
      </c>
      <c r="L82" s="84">
        <f t="shared" si="1"/>
        <v>0.6803391784637646</v>
      </c>
      <c r="N82" s="119">
        <f t="shared" si="2"/>
        <v>31.74509948075508</v>
      </c>
      <c r="O82" s="84">
        <f t="shared" si="2"/>
        <v>9.578526486087602</v>
      </c>
      <c r="Q82" s="119">
        <f t="shared" si="3"/>
        <v>10.091950981441858</v>
      </c>
      <c r="R82" s="84">
        <f t="shared" si="3"/>
        <v>3.120092127664238</v>
      </c>
      <c r="T82" s="119">
        <f t="shared" si="4"/>
        <v>7.86691421602897</v>
      </c>
      <c r="U82" s="84">
        <f t="shared" si="4"/>
        <v>2.3299627469989375</v>
      </c>
      <c r="W82" s="119">
        <f t="shared" si="5"/>
        <v>4.854713117238836</v>
      </c>
      <c r="X82" s="84">
        <f t="shared" si="5"/>
        <v>1.4540424289535363</v>
      </c>
      <c r="Z82" s="119">
        <f t="shared" si="6"/>
        <v>0.26326734093654425</v>
      </c>
      <c r="AA82" s="84">
        <f t="shared" si="6"/>
        <v>0.0758288311318248</v>
      </c>
      <c r="AC82" s="119">
        <f t="shared" si="7"/>
        <v>1.4509789774431825</v>
      </c>
      <c r="AD82" s="84">
        <f t="shared" si="7"/>
        <v>0.4251754683345905</v>
      </c>
      <c r="AF82" s="161"/>
      <c r="AG82" s="162"/>
      <c r="AI82" s="119">
        <f t="shared" si="8"/>
        <v>1.730604432252342</v>
      </c>
      <c r="AJ82" s="84">
        <f t="shared" si="8"/>
        <v>0.5066566899351626</v>
      </c>
      <c r="AL82" s="119">
        <f t="shared" si="9"/>
        <v>6.819566185725623</v>
      </c>
      <c r="AM82" s="84">
        <f t="shared" si="9"/>
        <v>1.9562552676197977</v>
      </c>
      <c r="AO82" s="119">
        <f t="shared" si="10"/>
        <v>0.49227457266113833</v>
      </c>
      <c r="AP82" s="119">
        <f t="shared" si="10"/>
        <v>0.14680786140840274</v>
      </c>
      <c r="AR82" s="161"/>
      <c r="AS82" s="162"/>
    </row>
    <row r="83" spans="3:45" ht="12.75">
      <c r="C83" s="105" t="s">
        <v>22</v>
      </c>
      <c r="D83" s="89" t="s">
        <v>137</v>
      </c>
      <c r="H83" s="119">
        <f t="shared" si="0"/>
        <v>13.770422093398356</v>
      </c>
      <c r="I83" s="84">
        <f t="shared" si="0"/>
        <v>4.472726451085375</v>
      </c>
      <c r="K83" s="119">
        <f t="shared" si="1"/>
        <v>0.7335302199541603</v>
      </c>
      <c r="L83" s="84">
        <f t="shared" si="1"/>
        <v>0.21919550292960072</v>
      </c>
      <c r="N83" s="119">
        <f t="shared" si="2"/>
        <v>2.7645704933965654</v>
      </c>
      <c r="O83" s="84">
        <f t="shared" si="2"/>
        <v>0.9132175156036746</v>
      </c>
      <c r="Q83" s="119">
        <f t="shared" si="3"/>
        <v>5.9033315988196735</v>
      </c>
      <c r="R83" s="84">
        <f t="shared" si="3"/>
        <v>1.7473539061813506</v>
      </c>
      <c r="T83" s="119">
        <f t="shared" si="4"/>
        <v>4.640757726059102</v>
      </c>
      <c r="U83" s="84">
        <f t="shared" si="4"/>
        <v>1.4227571522143139</v>
      </c>
      <c r="W83" s="119">
        <f t="shared" si="5"/>
        <v>0.2619557392209304</v>
      </c>
      <c r="X83" s="84">
        <f t="shared" si="5"/>
        <v>0.08941578797834096</v>
      </c>
      <c r="Z83" s="119">
        <f t="shared" si="6"/>
        <v>0.4434882487749746</v>
      </c>
      <c r="AA83" s="84">
        <f t="shared" si="6"/>
        <v>0.14473399109236232</v>
      </c>
      <c r="AC83" s="119">
        <f t="shared" si="7"/>
        <v>1.0480333689101666</v>
      </c>
      <c r="AD83" s="84">
        <f t="shared" si="7"/>
        <v>0.3166244848133255</v>
      </c>
      <c r="AF83" s="161"/>
      <c r="AG83" s="162"/>
      <c r="AI83" s="119">
        <f t="shared" si="8"/>
        <v>1.4178181737021123</v>
      </c>
      <c r="AJ83" s="84">
        <f t="shared" si="8"/>
        <v>0.4244574469021025</v>
      </c>
      <c r="AL83" s="119">
        <f t="shared" si="9"/>
        <v>5.172184924027769</v>
      </c>
      <c r="AM83" s="84">
        <f t="shared" si="9"/>
        <v>1.5146648983744118</v>
      </c>
      <c r="AO83" s="119">
        <f t="shared" si="10"/>
        <v>0.016753122696147957</v>
      </c>
      <c r="AP83" s="119">
        <f t="shared" si="10"/>
        <v>0.00536717246512111</v>
      </c>
      <c r="AR83" s="161"/>
      <c r="AS83" s="162"/>
    </row>
    <row r="84" spans="3:45" ht="12.75">
      <c r="C84" s="105"/>
      <c r="H84" s="119"/>
      <c r="I84" s="84"/>
      <c r="K84" s="119"/>
      <c r="L84" s="84"/>
      <c r="N84" s="119"/>
      <c r="O84" s="84"/>
      <c r="Q84" s="119"/>
      <c r="R84" s="84"/>
      <c r="T84" s="119"/>
      <c r="U84" s="84"/>
      <c r="W84" s="119"/>
      <c r="X84" s="84"/>
      <c r="Z84" s="119"/>
      <c r="AA84" s="84"/>
      <c r="AC84" s="119"/>
      <c r="AD84" s="84"/>
      <c r="AF84" s="161"/>
      <c r="AG84" s="162"/>
      <c r="AI84" s="119"/>
      <c r="AJ84" s="84"/>
      <c r="AL84" s="119"/>
      <c r="AM84" s="84"/>
      <c r="AO84" s="119"/>
      <c r="AP84" s="119"/>
      <c r="AR84" s="161"/>
      <c r="AS84" s="162"/>
    </row>
    <row r="86" spans="1:45" s="146" customFormat="1" ht="12.75">
      <c r="A86" s="137"/>
      <c r="B86" s="137"/>
      <c r="C86" s="138"/>
      <c r="D86" s="137"/>
      <c r="E86" s="137"/>
      <c r="F86" s="137"/>
      <c r="G86" s="139"/>
      <c r="H86" s="147" t="s">
        <v>138</v>
      </c>
      <c r="I86" s="148"/>
      <c r="J86" s="149"/>
      <c r="K86" s="137"/>
      <c r="L86" s="150"/>
      <c r="M86" s="139"/>
      <c r="N86" s="137"/>
      <c r="O86" s="150"/>
      <c r="P86" s="139"/>
      <c r="Q86" s="137"/>
      <c r="R86" s="150"/>
      <c r="S86" s="139"/>
      <c r="T86" s="137"/>
      <c r="U86" s="150"/>
      <c r="V86" s="139"/>
      <c r="W86" s="137"/>
      <c r="X86" s="150"/>
      <c r="Y86" s="139"/>
      <c r="Z86" s="137"/>
      <c r="AA86" s="150"/>
      <c r="AB86" s="139"/>
      <c r="AC86" s="137"/>
      <c r="AD86" s="150"/>
      <c r="AE86" s="139"/>
      <c r="AF86" s="137"/>
      <c r="AG86" s="150"/>
      <c r="AH86" s="139"/>
      <c r="AI86" s="137"/>
      <c r="AJ86" s="150"/>
      <c r="AK86" s="139"/>
      <c r="AL86" s="137"/>
      <c r="AM86" s="150"/>
      <c r="AN86" s="139"/>
      <c r="AO86" s="137"/>
      <c r="AP86" s="137"/>
      <c r="AQ86" s="139"/>
      <c r="AR86" s="137"/>
      <c r="AS86" s="150"/>
    </row>
    <row r="87" spans="8:44" ht="12.75">
      <c r="H87" s="89" t="s">
        <v>24</v>
      </c>
      <c r="I87" s="76" t="s">
        <v>167</v>
      </c>
      <c r="K87" s="89" t="s">
        <v>25</v>
      </c>
      <c r="L87" s="76" t="s">
        <v>168</v>
      </c>
      <c r="N87" s="89" t="s">
        <v>26</v>
      </c>
      <c r="O87" s="76" t="s">
        <v>169</v>
      </c>
      <c r="Q87" s="89" t="s">
        <v>27</v>
      </c>
      <c r="R87" s="76" t="s">
        <v>170</v>
      </c>
      <c r="T87" s="89" t="s">
        <v>28</v>
      </c>
      <c r="U87" s="76" t="s">
        <v>171</v>
      </c>
      <c r="W87" s="89" t="s">
        <v>29</v>
      </c>
      <c r="X87" s="76" t="s">
        <v>172</v>
      </c>
      <c r="Z87" s="89" t="s">
        <v>30</v>
      </c>
      <c r="AA87" s="76" t="s">
        <v>173</v>
      </c>
      <c r="AC87" s="89" t="s">
        <v>31</v>
      </c>
      <c r="AD87" s="76" t="s">
        <v>174</v>
      </c>
      <c r="AF87" s="89" t="s">
        <v>32</v>
      </c>
      <c r="AG87" s="76" t="s">
        <v>179</v>
      </c>
      <c r="AI87" s="89" t="s">
        <v>33</v>
      </c>
      <c r="AL87" s="89" t="s">
        <v>34</v>
      </c>
      <c r="AO87" s="89" t="s">
        <v>35</v>
      </c>
      <c r="AR87" s="89" t="s">
        <v>36</v>
      </c>
    </row>
    <row r="88" spans="3:45" ht="12.75">
      <c r="C88" s="105">
        <v>101</v>
      </c>
      <c r="D88" s="89" t="s">
        <v>137</v>
      </c>
      <c r="H88" s="96">
        <f>H52/'Horizon Thicknesses'!$J4*1000</f>
        <v>0.08217103858534378</v>
      </c>
      <c r="I88" s="96">
        <f>I52/'Horizon Thicknesses'!$J4*1000</f>
        <v>0.024174762193067117</v>
      </c>
      <c r="J88" s="78"/>
      <c r="K88" s="96">
        <f>K52/'Horizon Thicknesses'!$J4*1000</f>
        <v>0.005366912941804155</v>
      </c>
      <c r="L88" s="96">
        <f>L52/'Horizon Thicknesses'!$J4*1000</f>
        <v>0.0015789485725467161</v>
      </c>
      <c r="M88" s="78"/>
      <c r="N88" s="96">
        <f>N52/'Horizon Thicknesses'!$J4*1000</f>
        <v>0.0130681708170662</v>
      </c>
      <c r="O88" s="96">
        <f>O52/'Horizon Thicknesses'!$J4*1000</f>
        <v>0.0038446626358852334</v>
      </c>
      <c r="P88" s="78"/>
      <c r="Q88" s="96">
        <f>Q52/'Horizon Thicknesses'!$J4*1000</f>
        <v>0.03272046636543837</v>
      </c>
      <c r="R88" s="96">
        <f>R52/'Horizon Thicknesses'!$J4*1000</f>
        <v>0.009626378184439914</v>
      </c>
      <c r="S88" s="78"/>
      <c r="T88" s="96">
        <f>T52/'Horizon Thicknesses'!$J4*1000</f>
        <v>0.028505559703710413</v>
      </c>
      <c r="U88" s="96">
        <f>U52/'Horizon Thicknesses'!$J4*1000</f>
        <v>0.008386350457305626</v>
      </c>
      <c r="V88" s="78"/>
      <c r="W88" s="96">
        <f>W52/'Horizon Thicknesses'!$J4*1000</f>
        <v>0.005496149019175657</v>
      </c>
      <c r="X88" s="96">
        <f>X52/'Horizon Thicknesses'!$J4*1000</f>
        <v>0.0016169698935742701</v>
      </c>
      <c r="Y88" s="78"/>
      <c r="Z88" s="120">
        <f>Z52/'Horizon Thicknesses'!$J4*1000</f>
        <v>0.001707424369402124</v>
      </c>
      <c r="AA88" s="120">
        <f>AA52/'Horizon Thicknesses'!$J4*1000</f>
        <v>0.0005023251355168596</v>
      </c>
      <c r="AB88" s="78"/>
      <c r="AC88" s="96">
        <f>AC52/'Horizon Thicknesses'!$J4*1000</f>
        <v>0.0037849161464595217</v>
      </c>
      <c r="AD88" s="96">
        <f>AD52/'Horizon Thicknesses'!$J4*1000</f>
        <v>0.0011135242944060703</v>
      </c>
      <c r="AE88" s="78"/>
      <c r="AF88" s="167"/>
      <c r="AG88" s="167"/>
      <c r="AH88" s="135"/>
      <c r="AI88" s="123">
        <f>AI52/'Horizon Thicknesses'!$J4*1000</f>
        <v>0.00510487497422685</v>
      </c>
      <c r="AJ88" s="123">
        <f>AJ52/'Horizon Thicknesses'!$J4*1000</f>
        <v>0.001501856866505339</v>
      </c>
      <c r="AK88" s="135"/>
      <c r="AL88" s="123">
        <f>AL52/'Horizon Thicknesses'!$J4*1000</f>
        <v>0.03873969646269514</v>
      </c>
      <c r="AM88" s="123">
        <f>AM52/'Horizon Thicknesses'!$J4*1000</f>
        <v>0.01139723880262965</v>
      </c>
      <c r="AN88" s="135"/>
      <c r="AO88" s="123">
        <f>AO52/'Horizon Thicknesses'!$J4*1000</f>
        <v>0</v>
      </c>
      <c r="AP88" s="123">
        <f>AP52/'Horizon Thicknesses'!$J4*1000</f>
        <v>0</v>
      </c>
      <c r="AQ88" s="135"/>
      <c r="AR88" s="167"/>
      <c r="AS88" s="168"/>
    </row>
    <row r="89" spans="3:45" ht="12.75">
      <c r="C89" s="105" t="s">
        <v>19</v>
      </c>
      <c r="D89" s="89" t="s">
        <v>137</v>
      </c>
      <c r="H89" s="96">
        <f>H53/SUM('Horizon Thicknesses'!$J8:$J10)*1000</f>
        <v>0.03765856002056389</v>
      </c>
      <c r="I89" s="96">
        <f>I53/SUM('Horizon Thicknesses'!$J8:$J10)*1000</f>
        <v>0.0112867868989482</v>
      </c>
      <c r="J89" s="78"/>
      <c r="K89" s="96">
        <f>K53/SUM('Horizon Thicknesses'!$J8:$J10)*1000</f>
        <v>0.004846391091924064</v>
      </c>
      <c r="L89" s="96">
        <f>L53/SUM('Horizon Thicknesses'!$J8:$J10)*1000</f>
        <v>0.0013645178802504643</v>
      </c>
      <c r="M89" s="78"/>
      <c r="N89" s="96">
        <f>N53/SUM('Horizon Thicknesses'!$J8:$J10)*1000</f>
        <v>0.03294954012172416</v>
      </c>
      <c r="O89" s="96">
        <f>O53/SUM('Horizon Thicknesses'!$J8:$J10)*1000</f>
        <v>0.00981768525005037</v>
      </c>
      <c r="P89" s="78"/>
      <c r="Q89" s="96">
        <f>Q53/SUM('Horizon Thicknesses'!$J8:$J10)*1000</f>
        <v>0.007460717535327151</v>
      </c>
      <c r="R89" s="96">
        <f>R53/SUM('Horizon Thicknesses'!$J8:$J10)*1000</f>
        <v>0.002432706333240726</v>
      </c>
      <c r="S89" s="78"/>
      <c r="T89" s="96">
        <f>T53/SUM('Horizon Thicknesses'!$J8:$J10)*1000</f>
        <v>0.021297840806991604</v>
      </c>
      <c r="U89" s="96">
        <f>U53/SUM('Horizon Thicknesses'!$J8:$J10)*1000</f>
        <v>0.0062559271704376255</v>
      </c>
      <c r="V89" s="78"/>
      <c r="W89" s="96">
        <f>W53/SUM('Horizon Thicknesses'!$J8:$J10)*1000</f>
        <v>0.00854074132788946</v>
      </c>
      <c r="X89" s="96">
        <f>X53/SUM('Horizon Thicknesses'!$J8:$J10)*1000</f>
        <v>0.0024487336493347668</v>
      </c>
      <c r="Y89" s="78"/>
      <c r="Z89" s="120">
        <f>Z53/SUM('Horizon Thicknesses'!$J8:$J10)*1000</f>
        <v>0.004954992829277778</v>
      </c>
      <c r="AA89" s="120">
        <f>AA53/SUM('Horizon Thicknesses'!$J8:$J10)*1000</f>
        <v>0.0014192403819671116</v>
      </c>
      <c r="AB89" s="78"/>
      <c r="AC89" s="96">
        <f>AC53/SUM('Horizon Thicknesses'!$J8:$J10)*1000</f>
        <v>0.0038256948949051445</v>
      </c>
      <c r="AD89" s="96">
        <f>AD53/SUM('Horizon Thicknesses'!$J8:$J10)*1000</f>
        <v>0.0011288538576805876</v>
      </c>
      <c r="AE89" s="78"/>
      <c r="AF89" s="167"/>
      <c r="AG89" s="167"/>
      <c r="AH89" s="135"/>
      <c r="AI89" s="123">
        <f>AI53/SUM('Horizon Thicknesses'!$J8:$J10)*1000</f>
        <v>0.003765603661931773</v>
      </c>
      <c r="AJ89" s="123">
        <f>AJ53/SUM('Horizon Thicknesses'!$J8:$J10)*1000</f>
        <v>0.001101518998862535</v>
      </c>
      <c r="AK89" s="135"/>
      <c r="AL89" s="123">
        <f>AL53/SUM('Horizon Thicknesses'!$J8:$J10)*1000</f>
        <v>0.02726403591804988</v>
      </c>
      <c r="AM89" s="123">
        <f>AM53/SUM('Horizon Thicknesses'!$J8:$J10)*1000</f>
        <v>0.007843017854108663</v>
      </c>
      <c r="AN89" s="135"/>
      <c r="AO89" s="123">
        <f>AO53/SUM('Horizon Thicknesses'!$J8:$J10)*1000</f>
        <v>0.00016863638603240475</v>
      </c>
      <c r="AP89" s="123">
        <f>AP53/SUM('Horizon Thicknesses'!$J8:$J10)*1000</f>
        <v>4.9908770416112305E-05</v>
      </c>
      <c r="AQ89" s="135"/>
      <c r="AR89" s="167"/>
      <c r="AS89" s="168"/>
    </row>
    <row r="90" spans="3:45" ht="12.75">
      <c r="C90" s="105" t="s">
        <v>5</v>
      </c>
      <c r="D90" s="89" t="s">
        <v>137</v>
      </c>
      <c r="H90" s="96">
        <f>H54/SUM('Horizon Thicknesses'!$J14:$J15)*1000</f>
        <v>0.07390001104912473</v>
      </c>
      <c r="I90" s="96">
        <f>I54/SUM('Horizon Thicknesses'!$J14:$J15)*1000</f>
        <v>0.021442534863146102</v>
      </c>
      <c r="J90" s="78"/>
      <c r="K90" s="96">
        <f>K54/SUM('Horizon Thicknesses'!$J14:$J15)*1000</f>
        <v>0.003453434133297244</v>
      </c>
      <c r="L90" s="96">
        <f>L54/SUM('Horizon Thicknesses'!$J14:$J15)*1000</f>
        <v>0.0009985033256593807</v>
      </c>
      <c r="M90" s="78"/>
      <c r="N90" s="96">
        <f>N54/SUM('Horizon Thicknesses'!$J14:$J15)*1000</f>
        <v>0.029165047665181573</v>
      </c>
      <c r="O90" s="96">
        <f>O54/SUM('Horizon Thicknesses'!$J14:$J15)*1000</f>
        <v>0.008690562936084893</v>
      </c>
      <c r="P90" s="78"/>
      <c r="Q90" s="96">
        <f>Q54/SUM('Horizon Thicknesses'!$J14:$J15)*1000</f>
        <v>0.030543234624144558</v>
      </c>
      <c r="R90" s="96">
        <f>R54/SUM('Horizon Thicknesses'!$J14:$J15)*1000</f>
        <v>0.00883107080414616</v>
      </c>
      <c r="S90" s="78"/>
      <c r="T90" s="96">
        <f>T54/SUM('Horizon Thicknesses'!$J14:$J15)*1000</f>
        <v>0.024009008127921734</v>
      </c>
      <c r="U90" s="96">
        <f>U54/SUM('Horizon Thicknesses'!$J14:$J15)*1000</f>
        <v>0.007086578226988611</v>
      </c>
      <c r="V90" s="78"/>
      <c r="W90" s="96">
        <f>W54/SUM('Horizon Thicknesses'!$J14:$J15)*1000</f>
        <v>0.0014310113669254343</v>
      </c>
      <c r="X90" s="96">
        <f>X54/SUM('Horizon Thicknesses'!$J14:$J15)*1000</f>
        <v>0.00044331993890234396</v>
      </c>
      <c r="Y90" s="78"/>
      <c r="Z90" s="120">
        <f>Z54/SUM('Horizon Thicknesses'!$J14:$J15)*1000</f>
        <v>0.002261791188875431</v>
      </c>
      <c r="AA90" s="120">
        <f>AA54/SUM('Horizon Thicknesses'!$J14:$J15)*1000</f>
        <v>0.0006539594898492934</v>
      </c>
      <c r="AB90" s="78"/>
      <c r="AC90" s="96">
        <f>AC54/SUM('Horizon Thicknesses'!$J14:$J15)*1000</f>
        <v>0.006849926333530702</v>
      </c>
      <c r="AD90" s="96">
        <f>AD54/SUM('Horizon Thicknesses'!$J14:$J15)*1000</f>
        <v>0.002003473568397212</v>
      </c>
      <c r="AE90" s="78"/>
      <c r="AF90" s="167"/>
      <c r="AG90" s="167"/>
      <c r="AH90" s="135"/>
      <c r="AI90" s="123">
        <f>AI54/SUM('Horizon Thicknesses'!$J14:$J15)*1000</f>
        <v>0.004968681562651906</v>
      </c>
      <c r="AJ90" s="123">
        <f>AJ54/SUM('Horizon Thicknesses'!$J14:$J15)*1000</f>
        <v>0.0014564017404750278</v>
      </c>
      <c r="AK90" s="135"/>
      <c r="AL90" s="123">
        <f>AL54/SUM('Horizon Thicknesses'!$J14:$J15)*1000</f>
        <v>0.040819348127287367</v>
      </c>
      <c r="AM90" s="123">
        <f>AM54/SUM('Horizon Thicknesses'!$J14:$J15)*1000</f>
        <v>0.011822787841327623</v>
      </c>
      <c r="AN90" s="135"/>
      <c r="AO90" s="123">
        <f>AO54/SUM('Horizon Thicknesses'!$J14:$J15)*1000</f>
        <v>0.00018334734058076462</v>
      </c>
      <c r="AP90" s="123">
        <f>AP54/SUM('Horizon Thicknesses'!$J14:$J15)*1000</f>
        <v>5.47827692104296E-05</v>
      </c>
      <c r="AQ90" s="135"/>
      <c r="AR90" s="167"/>
      <c r="AS90" s="168"/>
    </row>
    <row r="91" spans="3:45" ht="12.75">
      <c r="C91" s="105" t="s">
        <v>21</v>
      </c>
      <c r="D91" s="89" t="s">
        <v>137</v>
      </c>
      <c r="H91" s="96">
        <f>H55/SUM('Horizon Thicknesses'!$J19:$J21)*1000</f>
        <v>0.06429603381438594</v>
      </c>
      <c r="I91" s="96">
        <f>I55/SUM('Horizon Thicknesses'!$J19:$J21)*1000</f>
        <v>0.018959427041641906</v>
      </c>
      <c r="J91" s="78"/>
      <c r="K91" s="96">
        <f>K55/SUM('Horizon Thicknesses'!$J19:$J21)*1000</f>
        <v>0.004806151606439113</v>
      </c>
      <c r="L91" s="96">
        <f>L55/SUM('Horizon Thicknesses'!$J19:$J21)*1000</f>
        <v>0.001378842841760108</v>
      </c>
      <c r="M91" s="78"/>
      <c r="N91" s="96">
        <f>N55/SUM('Horizon Thicknesses'!$J19:$J21)*1000</f>
        <v>0.008713825706004746</v>
      </c>
      <c r="O91" s="96">
        <f>O55/SUM('Horizon Thicknesses'!$J19:$J21)*1000</f>
        <v>0.0025875178915392705</v>
      </c>
      <c r="P91" s="78"/>
      <c r="Q91" s="96">
        <f>Q55/SUM('Horizon Thicknesses'!$J19:$J21)*1000</f>
        <v>0.016460100688334978</v>
      </c>
      <c r="R91" s="96">
        <f>R55/SUM('Horizon Thicknesses'!$J19:$J21)*1000</f>
        <v>0.0048152834242477125</v>
      </c>
      <c r="S91" s="78"/>
      <c r="T91" s="96">
        <f>T55/SUM('Horizon Thicknesses'!$J19:$J21)*1000</f>
        <v>0.013576050242700978</v>
      </c>
      <c r="U91" s="96">
        <f>U55/SUM('Horizon Thicknesses'!$J19:$J21)*1000</f>
        <v>0.003982251280187078</v>
      </c>
      <c r="V91" s="78"/>
      <c r="W91" s="96">
        <f>W55/SUM('Horizon Thicknesses'!$J19:$J21)*1000</f>
        <v>0.000395082684330454</v>
      </c>
      <c r="X91" s="96">
        <f>X55/SUM('Horizon Thicknesses'!$J19:$J21)*1000</f>
        <v>0.00012450708057570807</v>
      </c>
      <c r="Y91" s="78"/>
      <c r="Z91" s="158">
        <f>Z55/SUM('Horizon Thicknesses'!$J19:$J21)*1000</f>
        <v>1.3738522559706504E-05</v>
      </c>
      <c r="AA91" s="120">
        <f>AA55/SUM('Horizon Thicknesses'!$J19:$J21)*1000</f>
        <v>5.2006688585908024E-06</v>
      </c>
      <c r="AB91" s="78"/>
      <c r="AC91" s="96">
        <f>AC55/SUM('Horizon Thicknesses'!$J19:$J21)*1000</f>
        <v>0.004278028037592471</v>
      </c>
      <c r="AD91" s="96">
        <f>AD55/SUM('Horizon Thicknesses'!$J19:$J21)*1000</f>
        <v>0.0012432481716595808</v>
      </c>
      <c r="AE91" s="78"/>
      <c r="AF91" s="167"/>
      <c r="AG91" s="167"/>
      <c r="AH91" s="135"/>
      <c r="AI91" s="123">
        <f>AI55/SUM('Horizon Thicknesses'!$J19:$J21)*1000</f>
        <v>0.005014670137240367</v>
      </c>
      <c r="AJ91" s="123">
        <f>AJ55/SUM('Horizon Thicknesses'!$J19:$J21)*1000</f>
        <v>0.0014548926828675316</v>
      </c>
      <c r="AK91" s="135"/>
      <c r="AL91" s="123">
        <f>AL55/SUM('Horizon Thicknesses'!$J19:$J21)*1000</f>
        <v>0.02701498594897184</v>
      </c>
      <c r="AM91" s="123">
        <f>AM55/SUM('Horizon Thicknesses'!$J19:$J21)*1000</f>
        <v>0.007815488054846907</v>
      </c>
      <c r="AN91" s="135"/>
      <c r="AO91" s="123">
        <f>AO55/SUM('Horizon Thicknesses'!$J19:$J21)*1000</f>
        <v>0.00012523170297227792</v>
      </c>
      <c r="AP91" s="123">
        <f>AP55/SUM('Horizon Thicknesses'!$J19:$J21)*1000</f>
        <v>3.704827394919691E-05</v>
      </c>
      <c r="AQ91" s="135"/>
      <c r="AR91" s="167"/>
      <c r="AS91" s="168"/>
    </row>
    <row r="92" spans="3:45" ht="12.75">
      <c r="C92" s="105" t="s">
        <v>12</v>
      </c>
      <c r="D92" s="89" t="s">
        <v>137</v>
      </c>
      <c r="H92" s="96">
        <f>H56/SUM('Horizon Thicknesses'!$J25:$J28)*1000</f>
        <v>0.017926855218466604</v>
      </c>
      <c r="I92" s="96">
        <f>I56/SUM('Horizon Thicknesses'!$J25:$J28)*1000</f>
        <v>0.005508432126891747</v>
      </c>
      <c r="J92" s="78"/>
      <c r="K92" s="96">
        <f>K56/SUM('Horizon Thicknesses'!$J25:$J28)*1000</f>
        <v>0.002178381337472745</v>
      </c>
      <c r="L92" s="96">
        <f>L56/SUM('Horizon Thicknesses'!$J25:$J28)*1000</f>
        <v>0.0006367226325137376</v>
      </c>
      <c r="M92" s="78"/>
      <c r="N92" s="96">
        <f>N56/SUM('Horizon Thicknesses'!$J25:$J28)*1000</f>
        <v>0.02537776257163818</v>
      </c>
      <c r="O92" s="96">
        <f>O56/SUM('Horizon Thicknesses'!$J25:$J28)*1000</f>
        <v>0.0076352951743308434</v>
      </c>
      <c r="P92" s="78"/>
      <c r="Q92" s="96">
        <f>Q56/SUM('Horizon Thicknesses'!$J25:$J28)*1000</f>
        <v>0</v>
      </c>
      <c r="R92" s="96">
        <f>R56/SUM('Horizon Thicknesses'!$J25:$J28)*1000</f>
        <v>0</v>
      </c>
      <c r="S92" s="78"/>
      <c r="T92" s="96">
        <f>T56/SUM('Horizon Thicknesses'!$J25:$J28)*1000</f>
        <v>0.01647636582507829</v>
      </c>
      <c r="U92" s="96">
        <f>U56/SUM('Horizon Thicknesses'!$J25:$J28)*1000</f>
        <v>0.004790661336290108</v>
      </c>
      <c r="V92" s="78"/>
      <c r="W92" s="96">
        <f>W56/SUM('Horizon Thicknesses'!$J25:$J28)*1000</f>
        <v>0.00042910363360180006</v>
      </c>
      <c r="X92" s="96">
        <f>X56/SUM('Horizon Thicknesses'!$J25:$J28)*1000</f>
        <v>0.00014489724085620857</v>
      </c>
      <c r="Y92" s="78"/>
      <c r="Z92" s="120">
        <f>Z56/SUM('Horizon Thicknesses'!$J25:$J28)*1000</f>
        <v>0.0025471071876961367</v>
      </c>
      <c r="AA92" s="120">
        <f>AA56/SUM('Horizon Thicknesses'!$J25:$J28)*1000</f>
        <v>0.0007906137028274786</v>
      </c>
      <c r="AB92" s="78"/>
      <c r="AC92" s="96">
        <f>AC56/SUM('Horizon Thicknesses'!$J25:$J28)*1000</f>
        <v>0.0041173915721328105</v>
      </c>
      <c r="AD92" s="96">
        <f>AD56/SUM('Horizon Thicknesses'!$J25:$J28)*1000</f>
        <v>0.0011909053218681865</v>
      </c>
      <c r="AE92" s="78"/>
      <c r="AF92" s="167"/>
      <c r="AG92" s="167"/>
      <c r="AH92" s="135"/>
      <c r="AI92" s="123">
        <f>AI56/SUM('Horizon Thicknesses'!$J25:$J28)*1000</f>
        <v>0.004944319983631777</v>
      </c>
      <c r="AJ92" s="123">
        <f>AJ56/SUM('Horizon Thicknesses'!$J25:$J28)*1000</f>
        <v>0.0014295935357955395</v>
      </c>
      <c r="AK92" s="135"/>
      <c r="AL92" s="123">
        <f>AL56/SUM('Horizon Thicknesses'!$J25:$J28)*1000</f>
        <v>0.012452290865541962</v>
      </c>
      <c r="AM92" s="123">
        <f>AM56/SUM('Horizon Thicknesses'!$J25:$J28)*1000</f>
        <v>0.0035496236472806787</v>
      </c>
      <c r="AN92" s="135"/>
      <c r="AO92" s="123">
        <f>AO56/SUM('Horizon Thicknesses'!$J25:$J28)*1000</f>
        <v>0.00010474451953282705</v>
      </c>
      <c r="AP92" s="123">
        <f>AP56/SUM('Horizon Thicknesses'!$J25:$J28)*1000</f>
        <v>3.226751621706141E-05</v>
      </c>
      <c r="AQ92" s="135"/>
      <c r="AR92" s="167"/>
      <c r="AS92" s="168"/>
    </row>
    <row r="93" spans="3:45" ht="12.75">
      <c r="C93" s="105" t="s">
        <v>20</v>
      </c>
      <c r="D93" s="89" t="s">
        <v>137</v>
      </c>
      <c r="H93" s="96">
        <f>H57/SUM('Horizon Thicknesses'!$J32:$J34)*1000</f>
        <v>0.14559656815151528</v>
      </c>
      <c r="I93" s="96">
        <f>I57/SUM('Horizon Thicknesses'!$J32:$J34)*1000</f>
        <v>0.042753641471063586</v>
      </c>
      <c r="J93" s="78"/>
      <c r="K93" s="96">
        <f>K57/SUM('Horizon Thicknesses'!$J32:$J34)*1000</f>
        <v>0.0034792221861961745</v>
      </c>
      <c r="L93" s="96">
        <f>L57/SUM('Horizon Thicknesses'!$J32:$J34)*1000</f>
        <v>0.0010030827921451717</v>
      </c>
      <c r="M93" s="78"/>
      <c r="N93" s="96">
        <f>N57/SUM('Horizon Thicknesses'!$J32:$J34)*1000</f>
        <v>0.02094143962122466</v>
      </c>
      <c r="O93" s="96">
        <f>O57/SUM('Horizon Thicknesses'!$J32:$J34)*1000</f>
        <v>0.006140117661198587</v>
      </c>
      <c r="P93" s="78"/>
      <c r="Q93" s="96">
        <f>Q57/SUM('Horizon Thicknesses'!$J32:$J34)*1000</f>
        <v>0.0155491822412791</v>
      </c>
      <c r="R93" s="96">
        <f>R57/SUM('Horizon Thicknesses'!$J32:$J34)*1000</f>
        <v>0.004624730424578698</v>
      </c>
      <c r="S93" s="78"/>
      <c r="T93" s="96">
        <f>T57/SUM('Horizon Thicknesses'!$J32:$J34)*1000</f>
        <v>0.014735399248051596</v>
      </c>
      <c r="U93" s="96">
        <f>U57/SUM('Horizon Thicknesses'!$J32:$J34)*1000</f>
        <v>0.004293328846605325</v>
      </c>
      <c r="V93" s="78"/>
      <c r="W93" s="96">
        <f>W57/SUM('Horizon Thicknesses'!$J32:$J34)*1000</f>
        <v>0.004768298871761847</v>
      </c>
      <c r="X93" s="96">
        <f>X57/SUM('Horizon Thicknesses'!$J32:$J34)*1000</f>
        <v>0.0013890721334907429</v>
      </c>
      <c r="Y93" s="78"/>
      <c r="Z93" s="120">
        <f>Z57/SUM('Horizon Thicknesses'!$J32:$J34)*1000</f>
        <v>0.0006606465873982714</v>
      </c>
      <c r="AA93" s="120">
        <f>AA57/SUM('Horizon Thicknesses'!$J32:$J34)*1000</f>
        <v>0.0001910978270362462</v>
      </c>
      <c r="AB93" s="78"/>
      <c r="AC93" s="96">
        <f>AC57/SUM('Horizon Thicknesses'!$J32:$J34)*1000</f>
        <v>0.003449576428928363</v>
      </c>
      <c r="AD93" s="96">
        <f>AD57/SUM('Horizon Thicknesses'!$J32:$J34)*1000</f>
        <v>0.0010089876491652127</v>
      </c>
      <c r="AE93" s="78"/>
      <c r="AF93" s="167"/>
      <c r="AG93" s="167"/>
      <c r="AH93" s="135"/>
      <c r="AI93" s="123">
        <f>AI57/SUM('Horizon Thicknesses'!$J32:$J34)*1000</f>
        <v>0.004077671737371225</v>
      </c>
      <c r="AJ93" s="123">
        <f>AJ57/SUM('Horizon Thicknesses'!$J32:$J34)*1000</f>
        <v>0.0011913844090263718</v>
      </c>
      <c r="AK93" s="135"/>
      <c r="AL93" s="123">
        <f>AL57/SUM('Horizon Thicknesses'!$J32:$J34)*1000</f>
        <v>0.009375394672528648</v>
      </c>
      <c r="AM93" s="123">
        <f>AM57/SUM('Horizon Thicknesses'!$J32:$J34)*1000</f>
        <v>0.0027035124262113283</v>
      </c>
      <c r="AN93" s="135"/>
      <c r="AO93" s="123">
        <f>AO57/SUM('Horizon Thicknesses'!$J32:$J34)*1000</f>
        <v>0.00028312902260134237</v>
      </c>
      <c r="AP93" s="123">
        <f>AP57/SUM('Horizon Thicknesses'!$J32:$J34)*1000</f>
        <v>8.310150551440483E-05</v>
      </c>
      <c r="AQ93" s="135"/>
      <c r="AR93" s="167"/>
      <c r="AS93" s="168"/>
    </row>
    <row r="94" spans="3:45" ht="12.75">
      <c r="C94" s="105" t="s">
        <v>17</v>
      </c>
      <c r="D94" s="89" t="s">
        <v>137</v>
      </c>
      <c r="H94" s="96">
        <f>H58/SUM('Horizon Thicknesses'!$J38:$J40)*1000</f>
        <v>0.11072489833300604</v>
      </c>
      <c r="I94" s="96">
        <f>I58/SUM('Horizon Thicknesses'!$J38:$J40)*1000</f>
        <v>0.032433431673490644</v>
      </c>
      <c r="J94" s="78"/>
      <c r="K94" s="96">
        <f>K58/SUM('Horizon Thicknesses'!$J38:$J40)*1000</f>
        <v>0.005812654279082951</v>
      </c>
      <c r="L94" s="96">
        <f>L58/SUM('Horizon Thicknesses'!$J38:$J40)*1000</f>
        <v>0.0016647886245516233</v>
      </c>
      <c r="M94" s="78"/>
      <c r="N94" s="96">
        <f>N58/SUM('Horizon Thicknesses'!$J38:$J40)*1000</f>
        <v>0.07768019566380958</v>
      </c>
      <c r="O94" s="96">
        <f>O58/SUM('Horizon Thicknesses'!$J38:$J40)*1000</f>
        <v>0.02343863537303898</v>
      </c>
      <c r="P94" s="78"/>
      <c r="Q94" s="96">
        <f>Q58/SUM('Horizon Thicknesses'!$J38:$J40)*1000</f>
        <v>0.01620579877897736</v>
      </c>
      <c r="R94" s="96">
        <f>R58/SUM('Horizon Thicknesses'!$J38:$J40)*1000</f>
        <v>0.005244700294099482</v>
      </c>
      <c r="S94" s="78"/>
      <c r="T94" s="96">
        <f>T58/SUM('Horizon Thicknesses'!$J38:$J40)*1000</f>
        <v>0.019250323532361474</v>
      </c>
      <c r="U94" s="96">
        <f>U58/SUM('Horizon Thicknesses'!$J38:$J40)*1000</f>
        <v>0.005701414235163698</v>
      </c>
      <c r="V94" s="78"/>
      <c r="W94" s="96">
        <f>W58/SUM('Horizon Thicknesses'!$J38:$J40)*1000</f>
        <v>0.011879473399268925</v>
      </c>
      <c r="X94" s="96">
        <f>X58/SUM('Horizon Thicknesses'!$J38:$J40)*1000</f>
        <v>0.0035580389487538324</v>
      </c>
      <c r="Y94" s="78"/>
      <c r="Z94" s="120">
        <f>Z58/SUM('Horizon Thicknesses'!$J38:$J40)*1000</f>
        <v>0.00041385195338707926</v>
      </c>
      <c r="AA94" s="120">
        <f>AA58/SUM('Horizon Thicknesses'!$J38:$J40)*1000</f>
        <v>0.00011652142376917766</v>
      </c>
      <c r="AB94" s="78"/>
      <c r="AC94" s="96">
        <f>AC58/SUM('Horizon Thicknesses'!$J38:$J40)*1000</f>
        <v>0.003550542688964975</v>
      </c>
      <c r="AD94" s="96">
        <f>AD58/SUM('Horizon Thicknesses'!$J38:$J40)*1000</f>
        <v>0.0010404035303686904</v>
      </c>
      <c r="AE94" s="78"/>
      <c r="AF94" s="167"/>
      <c r="AG94" s="167"/>
      <c r="AH94" s="135"/>
      <c r="AI94" s="123">
        <f>AI58/SUM('Horizon Thicknesses'!$J38:$J40)*1000</f>
        <v>0.004234785624014697</v>
      </c>
      <c r="AJ94" s="123">
        <f>AJ58/SUM('Horizon Thicknesses'!$J38:$J40)*1000</f>
        <v>0.0012397879185227047</v>
      </c>
      <c r="AK94" s="135"/>
      <c r="AL94" s="123">
        <f>AL58/SUM('Horizon Thicknesses'!$J38:$J40)*1000</f>
        <v>0.016687464972998903</v>
      </c>
      <c r="AM94" s="123">
        <f>AM58/SUM('Horizon Thicknesses'!$J38:$J40)*1000</f>
        <v>0.0047869527720078055</v>
      </c>
      <c r="AN94" s="135"/>
      <c r="AO94" s="123">
        <f>AO58/SUM('Horizon Thicknesses'!$J38:$J40)*1000</f>
        <v>0.0012045949059891214</v>
      </c>
      <c r="AP94" s="123">
        <f>AP58/SUM('Horizon Thicknesses'!$J38:$J40)*1000</f>
        <v>0.00035923854660161586</v>
      </c>
      <c r="AQ94" s="135"/>
      <c r="AR94" s="167"/>
      <c r="AS94" s="168"/>
    </row>
    <row r="95" spans="3:45" ht="12.75">
      <c r="C95" s="105" t="s">
        <v>22</v>
      </c>
      <c r="D95" s="89" t="s">
        <v>137</v>
      </c>
      <c r="H95" s="96">
        <f>H59/SUM('Horizon Thicknesses'!$J44:$J45)*1000</f>
        <v>0.039841743416037925</v>
      </c>
      <c r="I95" s="96">
        <f>I59/SUM('Horizon Thicknesses'!$J44:$J45)*1000</f>
        <v>0.012940868364499909</v>
      </c>
      <c r="J95" s="78"/>
      <c r="K95" s="96">
        <f>K59/SUM('Horizon Thicknesses'!$J44:$J45)*1000</f>
        <v>0.00034735521620163064</v>
      </c>
      <c r="L95" s="96">
        <f>L59/SUM('Horizon Thicknesses'!$J44:$J45)*1000</f>
        <v>0.00013149008184235844</v>
      </c>
      <c r="M95" s="78"/>
      <c r="N95" s="96">
        <f>N59/SUM('Horizon Thicknesses'!$J44:$J45)*1000</f>
        <v>0.007998687876550989</v>
      </c>
      <c r="O95" s="96">
        <f>O59/SUM('Horizon Thicknesses'!$J44:$J45)*1000</f>
        <v>0.002642197725889322</v>
      </c>
      <c r="P95" s="78"/>
      <c r="Q95" s="96">
        <f>Q59/SUM('Horizon Thicknesses'!$J44:$J45)*1000</f>
        <v>0</v>
      </c>
      <c r="R95" s="96">
        <f>R59/SUM('Horizon Thicknesses'!$J44:$J45)*1000</f>
        <v>0</v>
      </c>
      <c r="S95" s="78"/>
      <c r="T95" s="96">
        <f>T59/SUM('Horizon Thicknesses'!$J44:$J45)*1000</f>
        <v>0.013427030582184031</v>
      </c>
      <c r="U95" s="96">
        <f>U59/SUM('Horizon Thicknesses'!$J44:$J45)*1000</f>
        <v>0.004116440659362997</v>
      </c>
      <c r="V95" s="78"/>
      <c r="W95" s="96">
        <f>W59/SUM('Horizon Thicknesses'!$J44:$J45)*1000</f>
        <v>0.000462086358761809</v>
      </c>
      <c r="X95" s="96">
        <f>X59/SUM('Horizon Thicknesses'!$J44:$J45)*1000</f>
        <v>0.00017492114785619975</v>
      </c>
      <c r="Y95" s="78"/>
      <c r="Z95" s="120">
        <f>Z59/SUM('Horizon Thicknesses'!$J44:$J45)*1000</f>
        <v>0.0012831375026762142</v>
      </c>
      <c r="AA95" s="120">
        <f>AA59/SUM('Horizon Thicknesses'!$J44:$J45)*1000</f>
        <v>0.00041875655644902125</v>
      </c>
      <c r="AB95" s="78"/>
      <c r="AC95" s="96">
        <f>AC59/SUM('Horizon Thicknesses'!$J44:$J45)*1000</f>
        <v>0.0030322582918923427</v>
      </c>
      <c r="AD95" s="96">
        <f>AD59/SUM('Horizon Thicknesses'!$J44:$J45)*1000</f>
        <v>0.0009160845904073904</v>
      </c>
      <c r="AE95" s="78"/>
      <c r="AF95" s="167"/>
      <c r="AG95" s="167"/>
      <c r="AH95" s="135"/>
      <c r="AI95" s="123">
        <f>AI59/SUM('Horizon Thicknesses'!$J44:$J45)*1000</f>
        <v>0.004102150791319315</v>
      </c>
      <c r="AJ95" s="123">
        <f>AJ59/SUM('Horizon Thicknesses'!$J44:$J45)*1000</f>
        <v>0.0012280759860373075</v>
      </c>
      <c r="AK95" s="135"/>
      <c r="AL95" s="123">
        <f>AL59/SUM('Horizon Thicknesses'!$J44:$J45)*1000</f>
        <v>0.014964600449118036</v>
      </c>
      <c r="AM95" s="123">
        <f>AM59/SUM('Horizon Thicknesses'!$J44:$J45)*1000</f>
        <v>0.004382355880815246</v>
      </c>
      <c r="AN95" s="135"/>
      <c r="AO95" s="123">
        <f>AO59/SUM('Horizon Thicknesses'!$J44:$J45)*1000</f>
        <v>1.8888941794841762E-05</v>
      </c>
      <c r="AP95" s="123">
        <f>AP59/SUM('Horizon Thicknesses'!$J44:$J45)*1000</f>
        <v>7.150341744335748E-06</v>
      </c>
      <c r="AQ95" s="135"/>
      <c r="AR95" s="167"/>
      <c r="AS95" s="168"/>
    </row>
    <row r="96" spans="3:46" ht="12.75">
      <c r="C96" s="105"/>
      <c r="H96" s="96"/>
      <c r="I96" s="96"/>
      <c r="J96" s="78"/>
      <c r="K96" s="96"/>
      <c r="L96" s="96"/>
      <c r="M96" s="78"/>
      <c r="N96" s="96"/>
      <c r="O96" s="96"/>
      <c r="P96" s="78"/>
      <c r="Q96" s="96"/>
      <c r="R96" s="96"/>
      <c r="S96" s="78"/>
      <c r="T96" s="96"/>
      <c r="U96" s="96"/>
      <c r="V96" s="78"/>
      <c r="W96" s="96"/>
      <c r="X96" s="96"/>
      <c r="Y96" s="78"/>
      <c r="Z96" s="120"/>
      <c r="AA96" s="120"/>
      <c r="AB96" s="78"/>
      <c r="AC96" s="96"/>
      <c r="AD96" s="96"/>
      <c r="AE96" s="78"/>
      <c r="AF96" s="123"/>
      <c r="AG96" s="123"/>
      <c r="AH96" s="135"/>
      <c r="AI96" s="123"/>
      <c r="AJ96" s="123"/>
      <c r="AK96" s="135"/>
      <c r="AL96" s="123"/>
      <c r="AM96" s="123"/>
      <c r="AN96" s="135"/>
      <c r="AO96" s="123"/>
      <c r="AP96" s="123"/>
      <c r="AQ96" s="135"/>
      <c r="AR96" s="123"/>
      <c r="AS96" s="124"/>
      <c r="AT96" s="169"/>
    </row>
    <row r="97" spans="3:45" ht="12.75">
      <c r="C97" s="105"/>
      <c r="H97" s="96"/>
      <c r="I97" s="96"/>
      <c r="J97" s="78"/>
      <c r="K97" s="96"/>
      <c r="L97" s="96"/>
      <c r="M97" s="78"/>
      <c r="N97" s="96"/>
      <c r="O97" s="96"/>
      <c r="P97" s="78"/>
      <c r="Q97" s="96"/>
      <c r="R97" s="96"/>
      <c r="S97" s="78"/>
      <c r="T97" s="96"/>
      <c r="U97" s="96"/>
      <c r="V97" s="78"/>
      <c r="W97" s="96"/>
      <c r="X97" s="96"/>
      <c r="Y97" s="78"/>
      <c r="Z97" s="120"/>
      <c r="AA97" s="120"/>
      <c r="AB97" s="78"/>
      <c r="AC97" s="96"/>
      <c r="AD97" s="96"/>
      <c r="AE97" s="78"/>
      <c r="AF97" s="123"/>
      <c r="AG97" s="123"/>
      <c r="AH97" s="135"/>
      <c r="AI97" s="123"/>
      <c r="AJ97" s="123"/>
      <c r="AK97" s="135"/>
      <c r="AL97" s="123"/>
      <c r="AM97" s="123"/>
      <c r="AN97" s="135"/>
      <c r="AO97" s="123"/>
      <c r="AP97" s="123"/>
      <c r="AQ97" s="135"/>
      <c r="AR97" s="123"/>
      <c r="AS97" s="124"/>
    </row>
    <row r="98" spans="1:45" s="146" customFormat="1" ht="12.75">
      <c r="A98" s="137"/>
      <c r="B98" s="137"/>
      <c r="C98" s="138"/>
      <c r="D98" s="137"/>
      <c r="E98" s="137"/>
      <c r="F98" s="137"/>
      <c r="G98" s="139"/>
      <c r="H98" s="147" t="s">
        <v>138</v>
      </c>
      <c r="I98" s="148"/>
      <c r="J98" s="149"/>
      <c r="K98" s="137"/>
      <c r="L98" s="150"/>
      <c r="M98" s="139"/>
      <c r="N98" s="137"/>
      <c r="O98" s="150"/>
      <c r="P98" s="139"/>
      <c r="Q98" s="137"/>
      <c r="R98" s="150"/>
      <c r="S98" s="139"/>
      <c r="T98" s="137"/>
      <c r="U98" s="150"/>
      <c r="V98" s="139"/>
      <c r="W98" s="137"/>
      <c r="X98" s="150"/>
      <c r="Y98" s="139"/>
      <c r="Z98" s="137"/>
      <c r="AA98" s="150"/>
      <c r="AB98" s="139"/>
      <c r="AC98" s="137"/>
      <c r="AD98" s="150"/>
      <c r="AE98" s="139"/>
      <c r="AF98" s="137"/>
      <c r="AG98" s="150"/>
      <c r="AH98" s="139"/>
      <c r="AI98" s="137"/>
      <c r="AJ98" s="150"/>
      <c r="AK98" s="139"/>
      <c r="AL98" s="137"/>
      <c r="AM98" s="150"/>
      <c r="AN98" s="139"/>
      <c r="AO98" s="137"/>
      <c r="AP98" s="137"/>
      <c r="AQ98" s="139"/>
      <c r="AR98" s="137"/>
      <c r="AS98" s="150"/>
    </row>
    <row r="99" spans="8:44" ht="12.75">
      <c r="H99" s="89" t="s">
        <v>24</v>
      </c>
      <c r="I99" s="76" t="s">
        <v>167</v>
      </c>
      <c r="K99" s="89" t="s">
        <v>25</v>
      </c>
      <c r="L99" s="76" t="s">
        <v>168</v>
      </c>
      <c r="N99" s="89" t="s">
        <v>26</v>
      </c>
      <c r="O99" s="76" t="s">
        <v>169</v>
      </c>
      <c r="Q99" s="89" t="s">
        <v>27</v>
      </c>
      <c r="R99" s="76" t="s">
        <v>170</v>
      </c>
      <c r="T99" s="89" t="s">
        <v>28</v>
      </c>
      <c r="U99" s="76" t="s">
        <v>171</v>
      </c>
      <c r="W99" s="89" t="s">
        <v>29</v>
      </c>
      <c r="X99" s="76" t="s">
        <v>172</v>
      </c>
      <c r="Z99" s="89" t="s">
        <v>30</v>
      </c>
      <c r="AA99" s="76" t="s">
        <v>173</v>
      </c>
      <c r="AC99" s="89" t="s">
        <v>31</v>
      </c>
      <c r="AD99" s="76" t="s">
        <v>174</v>
      </c>
      <c r="AF99" s="89" t="s">
        <v>32</v>
      </c>
      <c r="AG99" s="76" t="s">
        <v>179</v>
      </c>
      <c r="AI99" s="89" t="s">
        <v>33</v>
      </c>
      <c r="AL99" s="89" t="s">
        <v>34</v>
      </c>
      <c r="AO99" s="89" t="s">
        <v>35</v>
      </c>
      <c r="AR99" s="89" t="s">
        <v>36</v>
      </c>
    </row>
    <row r="100" spans="3:45" ht="12.75">
      <c r="C100" s="105">
        <v>101</v>
      </c>
      <c r="D100" s="89" t="s">
        <v>137</v>
      </c>
      <c r="H100" s="96">
        <f>H76/'Horizon Thicknesses'!$J4*1000</f>
        <v>0.08217103858534378</v>
      </c>
      <c r="I100" s="96">
        <f>I76/'Horizon Thicknesses'!$J4*1000</f>
        <v>0.024174762193067117</v>
      </c>
      <c r="J100" s="78"/>
      <c r="K100" s="96">
        <f>K76/'Horizon Thicknesses'!$J4*1000</f>
        <v>0.005366912941804155</v>
      </c>
      <c r="L100" s="96">
        <f>L76/'Horizon Thicknesses'!$J4*1000</f>
        <v>0.0015789485725467161</v>
      </c>
      <c r="M100" s="78"/>
      <c r="N100" s="96">
        <f>N76/'Horizon Thicknesses'!$J4*1000</f>
        <v>0.0130681708170662</v>
      </c>
      <c r="O100" s="96">
        <f>O76/'Horizon Thicknesses'!$J4*1000</f>
        <v>0.0038446626358852334</v>
      </c>
      <c r="P100" s="78"/>
      <c r="Q100" s="96">
        <f>Q76/'Horizon Thicknesses'!$J4*1000</f>
        <v>0.03272046636543837</v>
      </c>
      <c r="R100" s="96">
        <f>R76/'Horizon Thicknesses'!$J4*1000</f>
        <v>0.009626378184439914</v>
      </c>
      <c r="S100" s="78"/>
      <c r="T100" s="96">
        <f>T76/'Horizon Thicknesses'!$J4*1000</f>
        <v>0.028505559703710413</v>
      </c>
      <c r="U100" s="96">
        <f>U76/'Horizon Thicknesses'!$J4*1000</f>
        <v>0.008386350457305626</v>
      </c>
      <c r="V100" s="78"/>
      <c r="W100" s="96">
        <f>W76/'Horizon Thicknesses'!$J4*1000</f>
        <v>0.005496149019175657</v>
      </c>
      <c r="X100" s="96">
        <f>X76/'Horizon Thicknesses'!$J4*1000</f>
        <v>0.0016169698935742701</v>
      </c>
      <c r="Y100" s="78"/>
      <c r="Z100" s="96">
        <f>Z76/'Horizon Thicknesses'!$J4*1000</f>
        <v>0.001707424369402124</v>
      </c>
      <c r="AA100" s="96">
        <f>AA76/'Horizon Thicknesses'!$J4*1000</f>
        <v>0.0005023251355168596</v>
      </c>
      <c r="AB100" s="78"/>
      <c r="AC100" s="96">
        <f>AC76/'Horizon Thicknesses'!$J4*1000</f>
        <v>0.0037849161464595217</v>
      </c>
      <c r="AD100" s="96">
        <f>AD76/'Horizon Thicknesses'!$J4*1000</f>
        <v>0.0011135242944060703</v>
      </c>
      <c r="AE100" s="78"/>
      <c r="AF100" s="167"/>
      <c r="AG100" s="167"/>
      <c r="AH100" s="135"/>
      <c r="AI100" s="96">
        <f>AI76/'Horizon Thicknesses'!$J4*1000</f>
        <v>0.00510487497422685</v>
      </c>
      <c r="AJ100" s="96">
        <f>AJ76/'Horizon Thicknesses'!$J4*1000</f>
        <v>0.001501856866505339</v>
      </c>
      <c r="AK100" s="135"/>
      <c r="AL100" s="96">
        <f>AL76/'Horizon Thicknesses'!$J4*1000</f>
        <v>0.03873969646269514</v>
      </c>
      <c r="AM100" s="96">
        <f>AM76/'Horizon Thicknesses'!$J4*1000</f>
        <v>0.01139723880262965</v>
      </c>
      <c r="AN100" s="135"/>
      <c r="AO100" s="96">
        <f>AO76/'Horizon Thicknesses'!$J4*1000</f>
        <v>3.4160031009175606E-05</v>
      </c>
      <c r="AP100" s="96">
        <f>AP76/'Horizon Thicknesses'!$J4*1000</f>
        <v>1.0049898849664926E-05</v>
      </c>
      <c r="AQ100" s="135"/>
      <c r="AR100" s="167"/>
      <c r="AS100" s="168"/>
    </row>
    <row r="101" spans="3:45" ht="12.75">
      <c r="C101" s="105" t="s">
        <v>19</v>
      </c>
      <c r="D101" s="89" t="s">
        <v>137</v>
      </c>
      <c r="H101" s="96">
        <f>H77/SUM('Horizon Thicknesses'!$J8:$J10)*1000</f>
        <v>0.03765856002056389</v>
      </c>
      <c r="I101" s="96">
        <f>I77/SUM('Horizon Thicknesses'!$J8:$J10)*1000</f>
        <v>0.0112867868989482</v>
      </c>
      <c r="J101" s="78"/>
      <c r="K101" s="96">
        <f>K77/SUM('Horizon Thicknesses'!$J8:$J10)*1000</f>
        <v>0.005135532237826958</v>
      </c>
      <c r="L101" s="96">
        <f>L77/SUM('Horizon Thicknesses'!$J8:$J10)*1000</f>
        <v>0.0014658401639096694</v>
      </c>
      <c r="M101" s="78"/>
      <c r="N101" s="96">
        <f>N77/SUM('Horizon Thicknesses'!$J8:$J10)*1000</f>
        <v>0.03294954012172416</v>
      </c>
      <c r="O101" s="96">
        <f>O77/SUM('Horizon Thicknesses'!$J8:$J10)*1000</f>
        <v>0.00981768525005037</v>
      </c>
      <c r="P101" s="78"/>
      <c r="Q101" s="96">
        <f>Q77/SUM('Horizon Thicknesses'!$J8:$J10)*1000</f>
        <v>0.021199762795143403</v>
      </c>
      <c r="R101" s="96">
        <f>R77/SUM('Horizon Thicknesses'!$J8:$J10)*1000</f>
        <v>0.006300981212218118</v>
      </c>
      <c r="S101" s="78"/>
      <c r="T101" s="96">
        <f>T77/SUM('Horizon Thicknesses'!$J8:$J10)*1000</f>
        <v>0.021297840806991604</v>
      </c>
      <c r="U101" s="96">
        <f>U77/SUM('Horizon Thicknesses'!$J8:$J10)*1000</f>
        <v>0.0062559271704376255</v>
      </c>
      <c r="V101" s="78"/>
      <c r="W101" s="96">
        <f>W77/SUM('Horizon Thicknesses'!$J8:$J10)*1000</f>
        <v>0.00854074132788946</v>
      </c>
      <c r="X101" s="96">
        <f>X77/SUM('Horizon Thicknesses'!$J8:$J10)*1000</f>
        <v>0.0024487336493347668</v>
      </c>
      <c r="Y101" s="78"/>
      <c r="Z101" s="96">
        <f>Z77/SUM('Horizon Thicknesses'!$J8:$J10)*1000</f>
        <v>0.004954992829277778</v>
      </c>
      <c r="AA101" s="96">
        <f>AA77/SUM('Horizon Thicknesses'!$J8:$J10)*1000</f>
        <v>0.0014192403819671116</v>
      </c>
      <c r="AB101" s="78"/>
      <c r="AC101" s="96">
        <f>AC77/SUM('Horizon Thicknesses'!$J8:$J10)*1000</f>
        <v>0.0038256948949051445</v>
      </c>
      <c r="AD101" s="96">
        <f>AD77/SUM('Horizon Thicknesses'!$J8:$J10)*1000</f>
        <v>0.0011288538576805876</v>
      </c>
      <c r="AE101" s="78"/>
      <c r="AF101" s="167"/>
      <c r="AG101" s="167"/>
      <c r="AH101" s="135"/>
      <c r="AI101" s="96">
        <f>AI77/SUM('Horizon Thicknesses'!$J8:$J10)*1000</f>
        <v>0.003765603661931773</v>
      </c>
      <c r="AJ101" s="96">
        <f>AJ77/SUM('Horizon Thicknesses'!$J8:$J10)*1000</f>
        <v>0.001101518998862535</v>
      </c>
      <c r="AK101" s="135"/>
      <c r="AL101" s="96">
        <f>AL77/SUM('Horizon Thicknesses'!$J8:$J10)*1000</f>
        <v>0.02726403591804988</v>
      </c>
      <c r="AM101" s="96">
        <f>AM77/SUM('Horizon Thicknesses'!$J8:$J10)*1000</f>
        <v>0.007843017854108663</v>
      </c>
      <c r="AN101" s="135"/>
      <c r="AO101" s="96">
        <f>AO77/SUM('Horizon Thicknesses'!$J8:$J10)*1000</f>
        <v>0.00019611447655203728</v>
      </c>
      <c r="AP101" s="96">
        <f>AP77/SUM('Horizon Thicknesses'!$J8:$J10)*1000</f>
        <v>5.764532017406709E-05</v>
      </c>
      <c r="AQ101" s="135"/>
      <c r="AR101" s="167"/>
      <c r="AS101" s="168"/>
    </row>
    <row r="102" spans="3:45" ht="12.75">
      <c r="C102" s="105" t="s">
        <v>5</v>
      </c>
      <c r="D102" s="89" t="s">
        <v>137</v>
      </c>
      <c r="H102" s="96">
        <f>H78/SUM('Horizon Thicknesses'!$J14:$J15)*1000</f>
        <v>0.07390001104912473</v>
      </c>
      <c r="I102" s="96">
        <f>I78/SUM('Horizon Thicknesses'!$J14:$J15)*1000</f>
        <v>0.021442534863146102</v>
      </c>
      <c r="J102" s="78"/>
      <c r="K102" s="96">
        <f>K78/SUM('Horizon Thicknesses'!$J14:$J15)*1000</f>
        <v>0.0035549310122909897</v>
      </c>
      <c r="L102" s="96">
        <f>L78/SUM('Horizon Thicknesses'!$J14:$J15)*1000</f>
        <v>0.0010369246082633093</v>
      </c>
      <c r="M102" s="78"/>
      <c r="N102" s="96">
        <f>N78/SUM('Horizon Thicknesses'!$J14:$J15)*1000</f>
        <v>0.029165047665181573</v>
      </c>
      <c r="O102" s="96">
        <f>O78/SUM('Horizon Thicknesses'!$J14:$J15)*1000</f>
        <v>0.008690562936084893</v>
      </c>
      <c r="P102" s="78"/>
      <c r="Q102" s="96">
        <f>Q78/SUM('Horizon Thicknesses'!$J14:$J15)*1000</f>
        <v>0.031389041949092436</v>
      </c>
      <c r="R102" s="96">
        <f>R78/SUM('Horizon Thicknesses'!$J14:$J15)*1000</f>
        <v>0.009151248159178896</v>
      </c>
      <c r="S102" s="78"/>
      <c r="T102" s="96">
        <f>T78/SUM('Horizon Thicknesses'!$J14:$J15)*1000</f>
        <v>0.024009008127921734</v>
      </c>
      <c r="U102" s="96">
        <f>U78/SUM('Horizon Thicknesses'!$J14:$J15)*1000</f>
        <v>0.007086578226988611</v>
      </c>
      <c r="V102" s="78"/>
      <c r="W102" s="96">
        <f>W78/SUM('Horizon Thicknesses'!$J14:$J15)*1000</f>
        <v>0.0014310113669254343</v>
      </c>
      <c r="X102" s="96">
        <f>X78/SUM('Horizon Thicknesses'!$J14:$J15)*1000</f>
        <v>0.00044331993890234396</v>
      </c>
      <c r="Y102" s="78"/>
      <c r="Z102" s="96">
        <f>Z78/SUM('Horizon Thicknesses'!$J14:$J15)*1000</f>
        <v>0.0022787073353743885</v>
      </c>
      <c r="AA102" s="96">
        <f>AA78/SUM('Horizon Thicknesses'!$J14:$J15)*1000</f>
        <v>0.0006603630369499481</v>
      </c>
      <c r="AB102" s="78"/>
      <c r="AC102" s="96">
        <f>AC78/SUM('Horizon Thicknesses'!$J14:$J15)*1000</f>
        <v>0.006849926333530702</v>
      </c>
      <c r="AD102" s="96">
        <f>AD78/SUM('Horizon Thicknesses'!$J14:$J15)*1000</f>
        <v>0.002003473568397212</v>
      </c>
      <c r="AE102" s="78"/>
      <c r="AF102" s="167"/>
      <c r="AG102" s="167"/>
      <c r="AH102" s="135"/>
      <c r="AI102" s="96">
        <f>AI78/SUM('Horizon Thicknesses'!$J14:$J15)*1000</f>
        <v>0.004968681562651906</v>
      </c>
      <c r="AJ102" s="96">
        <f>AJ78/SUM('Horizon Thicknesses'!$J14:$J15)*1000</f>
        <v>0.0014564017404750278</v>
      </c>
      <c r="AK102" s="135"/>
      <c r="AL102" s="96">
        <f>AL78/SUM('Horizon Thicknesses'!$J14:$J15)*1000</f>
        <v>0.040819348127287367</v>
      </c>
      <c r="AM102" s="96">
        <f>AM78/SUM('Horizon Thicknesses'!$J14:$J15)*1000</f>
        <v>0.011822787841327623</v>
      </c>
      <c r="AN102" s="135"/>
      <c r="AO102" s="96">
        <f>AO78/SUM('Horizon Thicknesses'!$J14:$J15)*1000</f>
        <v>0.00018334734058076462</v>
      </c>
      <c r="AP102" s="96">
        <f>AP78/SUM('Horizon Thicknesses'!$J14:$J15)*1000</f>
        <v>5.47827692104296E-05</v>
      </c>
      <c r="AQ102" s="135"/>
      <c r="AR102" s="167"/>
      <c r="AS102" s="168"/>
    </row>
    <row r="103" spans="3:45" ht="12.75">
      <c r="C103" s="105" t="s">
        <v>21</v>
      </c>
      <c r="D103" s="89" t="s">
        <v>137</v>
      </c>
      <c r="H103" s="96">
        <f>H79/SUM('Horizon Thicknesses'!$J19:$J21)*1000</f>
        <v>0.06429603381438594</v>
      </c>
      <c r="I103" s="96">
        <f>I79/SUM('Horizon Thicknesses'!$J19:$J21)*1000</f>
        <v>0.018959427041641906</v>
      </c>
      <c r="J103" s="78"/>
      <c r="K103" s="96">
        <f>K79/SUM('Horizon Thicknesses'!$J19:$J21)*1000</f>
        <v>0.00488019910167843</v>
      </c>
      <c r="L103" s="96">
        <f>L79/SUM('Horizon Thicknesses'!$J19:$J21)*1000</f>
        <v>0.0014068732577582016</v>
      </c>
      <c r="M103" s="78"/>
      <c r="N103" s="96">
        <f>N79/SUM('Horizon Thicknesses'!$J19:$J21)*1000</f>
        <v>0.008713825706004746</v>
      </c>
      <c r="O103" s="96">
        <f>O79/SUM('Horizon Thicknesses'!$J19:$J21)*1000</f>
        <v>0.0025875178915392705</v>
      </c>
      <c r="P103" s="78"/>
      <c r="Q103" s="96">
        <f>Q79/SUM('Horizon Thicknesses'!$J19:$J21)*1000</f>
        <v>0.02537075361452564</v>
      </c>
      <c r="R103" s="96">
        <f>R79/SUM('Horizon Thicknesses'!$J19:$J21)*1000</f>
        <v>0.007383958801999085</v>
      </c>
      <c r="S103" s="78"/>
      <c r="T103" s="96">
        <f>T79/SUM('Horizon Thicknesses'!$J19:$J21)*1000</f>
        <v>0.013576050242700978</v>
      </c>
      <c r="U103" s="96">
        <f>U79/SUM('Horizon Thicknesses'!$J19:$J21)*1000</f>
        <v>0.003982251280187078</v>
      </c>
      <c r="V103" s="78"/>
      <c r="W103" s="96">
        <f>W79/SUM('Horizon Thicknesses'!$J19:$J21)*1000</f>
        <v>0.0005609544936477144</v>
      </c>
      <c r="X103" s="96">
        <f>X79/SUM('Horizon Thicknesses'!$J19:$J21)*1000</f>
        <v>0.00017120885213105322</v>
      </c>
      <c r="Y103" s="78"/>
      <c r="Z103" s="96">
        <f>Z79/SUM('Horizon Thicknesses'!$J19:$J21)*1000</f>
        <v>0.00034299758344490973</v>
      </c>
      <c r="AA103" s="96">
        <f>AA79/SUM('Horizon Thicknesses'!$J19:$J21)*1000</f>
        <v>9.97001993162292E-05</v>
      </c>
      <c r="AB103" s="78"/>
      <c r="AC103" s="96">
        <f>AC79/SUM('Horizon Thicknesses'!$J19:$J21)*1000</f>
        <v>0.004278028037592471</v>
      </c>
      <c r="AD103" s="96">
        <f>AD79/SUM('Horizon Thicknesses'!$J19:$J21)*1000</f>
        <v>0.0012432481716595808</v>
      </c>
      <c r="AE103" s="78"/>
      <c r="AF103" s="167"/>
      <c r="AG103" s="167"/>
      <c r="AH103" s="135"/>
      <c r="AI103" s="96">
        <f>AI79/SUM('Horizon Thicknesses'!$J19:$J21)*1000</f>
        <v>0.005014670137240367</v>
      </c>
      <c r="AJ103" s="96">
        <f>AJ79/SUM('Horizon Thicknesses'!$J19:$J21)*1000</f>
        <v>0.0014548926828675316</v>
      </c>
      <c r="AK103" s="135"/>
      <c r="AL103" s="96">
        <f>AL79/SUM('Horizon Thicknesses'!$J19:$J21)*1000</f>
        <v>0.02701498594897184</v>
      </c>
      <c r="AM103" s="96">
        <f>AM79/SUM('Horizon Thicknesses'!$J19:$J21)*1000</f>
        <v>0.007815488054846907</v>
      </c>
      <c r="AN103" s="135"/>
      <c r="AO103" s="96">
        <f>AO79/SUM('Horizon Thicknesses'!$J19:$J21)*1000</f>
        <v>0.00012523170297227792</v>
      </c>
      <c r="AP103" s="96">
        <f>AP79/SUM('Horizon Thicknesses'!$J19:$J21)*1000</f>
        <v>3.704827394919691E-05</v>
      </c>
      <c r="AQ103" s="135"/>
      <c r="AR103" s="167"/>
      <c r="AS103" s="168"/>
    </row>
    <row r="104" spans="3:45" ht="12.75">
      <c r="C104" s="105" t="s">
        <v>12</v>
      </c>
      <c r="D104" s="89" t="s">
        <v>137</v>
      </c>
      <c r="H104" s="96">
        <f>H80/SUM('Horizon Thicknesses'!$J25:$J28)*1000</f>
        <v>0.017926855218466604</v>
      </c>
      <c r="I104" s="96">
        <f>I80/SUM('Horizon Thicknesses'!$J25:$J28)*1000</f>
        <v>0.005508432126891747</v>
      </c>
      <c r="J104" s="78"/>
      <c r="K104" s="96">
        <f>K80/SUM('Horizon Thicknesses'!$J25:$J28)*1000</f>
        <v>0.0026400732659364115</v>
      </c>
      <c r="L104" s="96">
        <f>L80/SUM('Horizon Thicknesses'!$J25:$J28)*1000</f>
        <v>0.0007667135638287503</v>
      </c>
      <c r="M104" s="78"/>
      <c r="N104" s="96">
        <f>N80/SUM('Horizon Thicknesses'!$J25:$J28)*1000</f>
        <v>0.02537776257163818</v>
      </c>
      <c r="O104" s="96">
        <f>O80/SUM('Horizon Thicknesses'!$J25:$J28)*1000</f>
        <v>0.0076352951743308434</v>
      </c>
      <c r="P104" s="78"/>
      <c r="Q104" s="96">
        <f>Q80/SUM('Horizon Thicknesses'!$J25:$J28)*1000</f>
        <v>0.017080015504587803</v>
      </c>
      <c r="R104" s="96">
        <f>R80/SUM('Horizon Thicknesses'!$J25:$J28)*1000</f>
        <v>0.00495324150310782</v>
      </c>
      <c r="S104" s="78"/>
      <c r="T104" s="96">
        <f>T80/SUM('Horizon Thicknesses'!$J25:$J28)*1000</f>
        <v>0.01647636582507829</v>
      </c>
      <c r="U104" s="96">
        <f>U80/SUM('Horizon Thicknesses'!$J25:$J28)*1000</f>
        <v>0.004790661336290108</v>
      </c>
      <c r="V104" s="78"/>
      <c r="W104" s="96">
        <f>W80/SUM('Horizon Thicknesses'!$J25:$J28)*1000</f>
        <v>0.0006720993854247823</v>
      </c>
      <c r="X104" s="96">
        <f>X80/SUM('Horizon Thicknesses'!$J25:$J28)*1000</f>
        <v>0.00021331352049568897</v>
      </c>
      <c r="Y104" s="78"/>
      <c r="Z104" s="96">
        <f>Z80/SUM('Horizon Thicknesses'!$J25:$J28)*1000</f>
        <v>0.0026240558424400814</v>
      </c>
      <c r="AA104" s="96">
        <f>AA80/SUM('Horizon Thicknesses'!$J25:$J28)*1000</f>
        <v>0.0008122788580466473</v>
      </c>
      <c r="AB104" s="78"/>
      <c r="AC104" s="96">
        <f>AC80/SUM('Horizon Thicknesses'!$J25:$J28)*1000</f>
        <v>0.0041173915721328105</v>
      </c>
      <c r="AD104" s="96">
        <f>AD80/SUM('Horizon Thicknesses'!$J25:$J28)*1000</f>
        <v>0.0011909053218681865</v>
      </c>
      <c r="AE104" s="78"/>
      <c r="AF104" s="167"/>
      <c r="AG104" s="167"/>
      <c r="AH104" s="135"/>
      <c r="AI104" s="96">
        <f>AI80/SUM('Horizon Thicknesses'!$J25:$J28)*1000</f>
        <v>0.004944319983631777</v>
      </c>
      <c r="AJ104" s="96">
        <f>AJ80/SUM('Horizon Thicknesses'!$J25:$J28)*1000</f>
        <v>0.0014295935357955395</v>
      </c>
      <c r="AK104" s="135"/>
      <c r="AL104" s="96">
        <f>AL80/SUM('Horizon Thicknesses'!$J25:$J28)*1000</f>
        <v>0.012452290865541962</v>
      </c>
      <c r="AM104" s="96">
        <f>AM80/SUM('Horizon Thicknesses'!$J25:$J28)*1000</f>
        <v>0.0035496236472806787</v>
      </c>
      <c r="AN104" s="135"/>
      <c r="AO104" s="96">
        <f>AO80/SUM('Horizon Thicknesses'!$J25:$J28)*1000</f>
        <v>0.00011243938500722148</v>
      </c>
      <c r="AP104" s="96">
        <f>AP80/SUM('Horizon Thicknesses'!$J25:$J28)*1000</f>
        <v>3.44340317389783E-05</v>
      </c>
      <c r="AQ104" s="135"/>
      <c r="AR104" s="167"/>
      <c r="AS104" s="168"/>
    </row>
    <row r="105" spans="3:45" ht="12.75">
      <c r="C105" s="105" t="s">
        <v>20</v>
      </c>
      <c r="D105" s="89" t="s">
        <v>137</v>
      </c>
      <c r="H105" s="96">
        <f>H81/SUM('Horizon Thicknesses'!$J32:$J34)*1000</f>
        <v>0.14559656815151528</v>
      </c>
      <c r="I105" s="96">
        <f>I81/SUM('Horizon Thicknesses'!$J32:$J34)*1000</f>
        <v>0.042753641471063586</v>
      </c>
      <c r="J105" s="78"/>
      <c r="K105" s="96">
        <f>K81/SUM('Horizon Thicknesses'!$J32:$J34)*1000</f>
        <v>0.0034792221861961745</v>
      </c>
      <c r="L105" s="96">
        <f>L81/SUM('Horizon Thicknesses'!$J32:$J34)*1000</f>
        <v>0.0010030827921451717</v>
      </c>
      <c r="M105" s="78"/>
      <c r="N105" s="96">
        <f>N81/SUM('Horizon Thicknesses'!$J32:$J34)*1000</f>
        <v>0.02094143962122466</v>
      </c>
      <c r="O105" s="96">
        <f>O81/SUM('Horizon Thicknesses'!$J32:$J34)*1000</f>
        <v>0.006140117661198587</v>
      </c>
      <c r="P105" s="78"/>
      <c r="Q105" s="96">
        <f>Q81/SUM('Horizon Thicknesses'!$J32:$J34)*1000</f>
        <v>0.023098690451256752</v>
      </c>
      <c r="R105" s="96">
        <f>R81/SUM('Horizon Thicknesses'!$J32:$J34)*1000</f>
        <v>0.0067503201147665805</v>
      </c>
      <c r="S105" s="78"/>
      <c r="T105" s="96">
        <f>T81/SUM('Horizon Thicknesses'!$J32:$J34)*1000</f>
        <v>0.014735399248051596</v>
      </c>
      <c r="U105" s="96">
        <f>U81/SUM('Horizon Thicknesses'!$J32:$J34)*1000</f>
        <v>0.004293328846605325</v>
      </c>
      <c r="V105" s="78"/>
      <c r="W105" s="96">
        <f>W81/SUM('Horizon Thicknesses'!$J32:$J34)*1000</f>
        <v>0.004768298871761847</v>
      </c>
      <c r="X105" s="96">
        <f>X81/SUM('Horizon Thicknesses'!$J32:$J34)*1000</f>
        <v>0.0013890721334907429</v>
      </c>
      <c r="Y105" s="78"/>
      <c r="Z105" s="96">
        <f>Z81/SUM('Horizon Thicknesses'!$J32:$J34)*1000</f>
        <v>0.0006606465873982714</v>
      </c>
      <c r="AA105" s="96">
        <f>AA81/SUM('Horizon Thicknesses'!$J32:$J34)*1000</f>
        <v>0.0001910978270362462</v>
      </c>
      <c r="AB105" s="78"/>
      <c r="AC105" s="96">
        <f>AC81/SUM('Horizon Thicknesses'!$J32:$J34)*1000</f>
        <v>0.003449576428928363</v>
      </c>
      <c r="AD105" s="96">
        <f>AD81/SUM('Horizon Thicknesses'!$J32:$J34)*1000</f>
        <v>0.0010089876491652127</v>
      </c>
      <c r="AE105" s="78"/>
      <c r="AF105" s="167"/>
      <c r="AG105" s="167"/>
      <c r="AH105" s="135"/>
      <c r="AI105" s="96">
        <f>AI81/SUM('Horizon Thicknesses'!$J32:$J34)*1000</f>
        <v>0.004077671737371225</v>
      </c>
      <c r="AJ105" s="96">
        <f>AJ81/SUM('Horizon Thicknesses'!$J32:$J34)*1000</f>
        <v>0.0011913844090263718</v>
      </c>
      <c r="AK105" s="135"/>
      <c r="AL105" s="96">
        <f>AL81/SUM('Horizon Thicknesses'!$J32:$J34)*1000</f>
        <v>0.009375394672528648</v>
      </c>
      <c r="AM105" s="96">
        <f>AM81/SUM('Horizon Thicknesses'!$J32:$J34)*1000</f>
        <v>0.0027035124262113283</v>
      </c>
      <c r="AN105" s="135"/>
      <c r="AO105" s="96">
        <f>AO81/SUM('Horizon Thicknesses'!$J32:$J34)*1000</f>
        <v>0.00028312902260134237</v>
      </c>
      <c r="AP105" s="96">
        <f>AP81/SUM('Horizon Thicknesses'!$J32:$J34)*1000</f>
        <v>8.310150551440483E-05</v>
      </c>
      <c r="AQ105" s="135"/>
      <c r="AR105" s="167"/>
      <c r="AS105" s="168"/>
    </row>
    <row r="106" spans="3:45" ht="12.75">
      <c r="C106" s="105" t="s">
        <v>17</v>
      </c>
      <c r="D106" s="89" t="s">
        <v>137</v>
      </c>
      <c r="H106" s="96">
        <f>H82/SUM('Horizon Thicknesses'!$J38:$J40)*1000</f>
        <v>0.11072489833300604</v>
      </c>
      <c r="I106" s="96">
        <f>I82/SUM('Horizon Thicknesses'!$J38:$J40)*1000</f>
        <v>0.032433431673490644</v>
      </c>
      <c r="J106" s="78"/>
      <c r="K106" s="96">
        <f>K82/SUM('Horizon Thicknesses'!$J38:$J40)*1000</f>
        <v>0.005812654279082951</v>
      </c>
      <c r="L106" s="96">
        <f>L82/SUM('Horizon Thicknesses'!$J38:$J40)*1000</f>
        <v>0.0016647886245516233</v>
      </c>
      <c r="M106" s="78"/>
      <c r="N106" s="96">
        <f>N82/SUM('Horizon Thicknesses'!$J38:$J40)*1000</f>
        <v>0.07768019566380958</v>
      </c>
      <c r="O106" s="96">
        <f>O82/SUM('Horizon Thicknesses'!$J38:$J40)*1000</f>
        <v>0.02343863537303898</v>
      </c>
      <c r="P106" s="78"/>
      <c r="Q106" s="96">
        <f>Q82/SUM('Horizon Thicknesses'!$J38:$J40)*1000</f>
        <v>0.024694984098041075</v>
      </c>
      <c r="R106" s="96">
        <f>R82/SUM('Horizon Thicknesses'!$J38:$J40)*1000</f>
        <v>0.007634859267428101</v>
      </c>
      <c r="S106" s="78"/>
      <c r="T106" s="96">
        <f>T82/SUM('Horizon Thicknesses'!$J38:$J40)*1000</f>
        <v>0.019250323532361474</v>
      </c>
      <c r="U106" s="96">
        <f>U82/SUM('Horizon Thicknesses'!$J38:$J40)*1000</f>
        <v>0.005701414235163698</v>
      </c>
      <c r="V106" s="78"/>
      <c r="W106" s="96">
        <f>W82/SUM('Horizon Thicknesses'!$J38:$J40)*1000</f>
        <v>0.011879473399268925</v>
      </c>
      <c r="X106" s="96">
        <f>X82/SUM('Horizon Thicknesses'!$J38:$J40)*1000</f>
        <v>0.0035580389487538324</v>
      </c>
      <c r="Y106" s="78"/>
      <c r="Z106" s="96">
        <f>Z82/SUM('Horizon Thicknesses'!$J38:$J40)*1000</f>
        <v>0.0006442146627462763</v>
      </c>
      <c r="AA106" s="96">
        <f>AA82/SUM('Horizon Thicknesses'!$J38:$J40)*1000</f>
        <v>0.00018555299985275142</v>
      </c>
      <c r="AB106" s="78"/>
      <c r="AC106" s="96">
        <f>AC82/SUM('Horizon Thicknesses'!$J38:$J40)*1000</f>
        <v>0.003550542688964975</v>
      </c>
      <c r="AD106" s="96">
        <f>AD82/SUM('Horizon Thicknesses'!$J38:$J40)*1000</f>
        <v>0.0010404035303686904</v>
      </c>
      <c r="AE106" s="78"/>
      <c r="AF106" s="167"/>
      <c r="AG106" s="167"/>
      <c r="AH106" s="135"/>
      <c r="AI106" s="96">
        <f>AI82/SUM('Horizon Thicknesses'!$J38:$J40)*1000</f>
        <v>0.004234785624014697</v>
      </c>
      <c r="AJ106" s="96">
        <f>AJ82/SUM('Horizon Thicknesses'!$J38:$J40)*1000</f>
        <v>0.0012397879185227047</v>
      </c>
      <c r="AK106" s="135"/>
      <c r="AL106" s="96">
        <f>AL82/SUM('Horizon Thicknesses'!$J38:$J40)*1000</f>
        <v>0.016687464972998903</v>
      </c>
      <c r="AM106" s="96">
        <f>AM82/SUM('Horizon Thicknesses'!$J38:$J40)*1000</f>
        <v>0.0047869527720078055</v>
      </c>
      <c r="AN106" s="135"/>
      <c r="AO106" s="96">
        <f>AO82/SUM('Horizon Thicknesses'!$J38:$J40)*1000</f>
        <v>0.0012045949059891214</v>
      </c>
      <c r="AP106" s="96">
        <f>AP82/SUM('Horizon Thicknesses'!$J38:$J40)*1000</f>
        <v>0.00035923854660161586</v>
      </c>
      <c r="AQ106" s="135"/>
      <c r="AR106" s="167"/>
      <c r="AS106" s="168"/>
    </row>
    <row r="107" spans="3:45" ht="12.75">
      <c r="C107" s="105" t="s">
        <v>22</v>
      </c>
      <c r="D107" s="89" t="s">
        <v>137</v>
      </c>
      <c r="H107" s="96">
        <f>H83/SUM('Horizon Thicknesses'!$J44:$J45)*1000</f>
        <v>0.039841743416037925</v>
      </c>
      <c r="I107" s="96">
        <f>I83/SUM('Horizon Thicknesses'!$J44:$J45)*1000</f>
        <v>0.012940868364499909</v>
      </c>
      <c r="J107" s="78"/>
      <c r="K107" s="96">
        <f>K83/SUM('Horizon Thicknesses'!$J44:$J45)*1000</f>
        <v>0.0021223113288106298</v>
      </c>
      <c r="L107" s="96">
        <f>L83/SUM('Horizon Thicknesses'!$J44:$J45)*1000</f>
        <v>0.0006341948653743352</v>
      </c>
      <c r="M107" s="78"/>
      <c r="N107" s="96">
        <f>N83/SUM('Horizon Thicknesses'!$J44:$J45)*1000</f>
        <v>0.007998687876550989</v>
      </c>
      <c r="O107" s="96">
        <f>O83/SUM('Horizon Thicknesses'!$J44:$J45)*1000</f>
        <v>0.002642197725889322</v>
      </c>
      <c r="P107" s="78"/>
      <c r="Q107" s="96">
        <f>Q83/SUM('Horizon Thicknesses'!$J44:$J45)*1000</f>
        <v>0.017080015504587803</v>
      </c>
      <c r="R107" s="96">
        <f>R83/SUM('Horizon Thicknesses'!$J44:$J45)*1000</f>
        <v>0.005055591289424903</v>
      </c>
      <c r="S107" s="78"/>
      <c r="T107" s="96">
        <f>T83/SUM('Horizon Thicknesses'!$J44:$J45)*1000</f>
        <v>0.013427030582184031</v>
      </c>
      <c r="U107" s="96">
        <f>U83/SUM('Horizon Thicknesses'!$J44:$J45)*1000</f>
        <v>0.004116440659362997</v>
      </c>
      <c r="V107" s="78"/>
      <c r="W107" s="96">
        <f>W83/SUM('Horizon Thicknesses'!$J44:$J45)*1000</f>
        <v>0.0007579123775299756</v>
      </c>
      <c r="X107" s="96">
        <f>X83/SUM('Horizon Thicknesses'!$J44:$J45)*1000</f>
        <v>0.00025870527844486257</v>
      </c>
      <c r="Y107" s="78"/>
      <c r="Z107" s="96">
        <f>Z83/SUM('Horizon Thicknesses'!$J44:$J45)*1000</f>
        <v>0.0012831375026762142</v>
      </c>
      <c r="AA107" s="96">
        <f>AA83/SUM('Horizon Thicknesses'!$J44:$J45)*1000</f>
        <v>0.00041875655644902125</v>
      </c>
      <c r="AB107" s="78"/>
      <c r="AC107" s="96">
        <f>AC83/SUM('Horizon Thicknesses'!$J44:$J45)*1000</f>
        <v>0.0030322582918923427</v>
      </c>
      <c r="AD107" s="96">
        <f>AD83/SUM('Horizon Thicknesses'!$J44:$J45)*1000</f>
        <v>0.0009160845904073904</v>
      </c>
      <c r="AE107" s="78"/>
      <c r="AF107" s="167"/>
      <c r="AG107" s="167"/>
      <c r="AH107" s="135"/>
      <c r="AI107" s="96">
        <f>AI83/SUM('Horizon Thicknesses'!$J44:$J45)*1000</f>
        <v>0.004102150791319315</v>
      </c>
      <c r="AJ107" s="96">
        <f>AJ83/SUM('Horizon Thicknesses'!$J44:$J45)*1000</f>
        <v>0.0012280759860373075</v>
      </c>
      <c r="AK107" s="135"/>
      <c r="AL107" s="96">
        <f>AL83/SUM('Horizon Thicknesses'!$J44:$J45)*1000</f>
        <v>0.014964600449118036</v>
      </c>
      <c r="AM107" s="96">
        <f>AM83/SUM('Horizon Thicknesses'!$J44:$J45)*1000</f>
        <v>0.004382355880815246</v>
      </c>
      <c r="AN107" s="135"/>
      <c r="AO107" s="96">
        <f>AO83/SUM('Horizon Thicknesses'!$J44:$J45)*1000</f>
        <v>4.8471543671658424E-05</v>
      </c>
      <c r="AP107" s="96">
        <f>AP83/SUM('Horizon Thicknesses'!$J44:$J45)*1000</f>
        <v>1.5528754803202028E-05</v>
      </c>
      <c r="AQ107" s="135"/>
      <c r="AR107" s="167"/>
      <c r="AS107" s="168"/>
    </row>
    <row r="108" spans="3:45" ht="12.75">
      <c r="C108" s="105"/>
      <c r="H108" s="96"/>
      <c r="I108" s="96"/>
      <c r="J108" s="78"/>
      <c r="K108" s="96"/>
      <c r="L108" s="96"/>
      <c r="M108" s="78"/>
      <c r="N108" s="96"/>
      <c r="O108" s="96"/>
      <c r="P108" s="78"/>
      <c r="Q108" s="96"/>
      <c r="R108" s="96"/>
      <c r="S108" s="78"/>
      <c r="T108" s="96"/>
      <c r="U108" s="96"/>
      <c r="V108" s="78"/>
      <c r="W108" s="96"/>
      <c r="X108" s="96"/>
      <c r="Y108" s="78"/>
      <c r="Z108" s="120"/>
      <c r="AA108" s="120"/>
      <c r="AB108" s="78"/>
      <c r="AC108" s="96"/>
      <c r="AD108" s="96"/>
      <c r="AE108" s="78"/>
      <c r="AF108" s="123"/>
      <c r="AG108" s="123"/>
      <c r="AH108" s="135"/>
      <c r="AI108" s="123"/>
      <c r="AJ108" s="123"/>
      <c r="AK108" s="135"/>
      <c r="AL108" s="123"/>
      <c r="AM108" s="123"/>
      <c r="AN108" s="135"/>
      <c r="AO108" s="123"/>
      <c r="AP108" s="123"/>
      <c r="AQ108" s="135"/>
      <c r="AR108" s="123"/>
      <c r="AS108" s="124"/>
    </row>
    <row r="109" spans="3:45" ht="13.5" thickBot="1">
      <c r="C109" s="105"/>
      <c r="H109" s="96"/>
      <c r="I109" s="96"/>
      <c r="J109" s="78"/>
      <c r="K109" s="96"/>
      <c r="L109" s="96"/>
      <c r="M109" s="78"/>
      <c r="N109" s="96"/>
      <c r="O109" s="96"/>
      <c r="P109" s="78"/>
      <c r="Q109" s="96"/>
      <c r="R109" s="96"/>
      <c r="S109" s="78"/>
      <c r="T109" s="96"/>
      <c r="U109" s="96"/>
      <c r="V109" s="78"/>
      <c r="W109" s="96"/>
      <c r="X109" s="96"/>
      <c r="Y109" s="78"/>
      <c r="Z109" s="120"/>
      <c r="AA109" s="120"/>
      <c r="AB109" s="78"/>
      <c r="AC109" s="96"/>
      <c r="AD109" s="96"/>
      <c r="AE109" s="78"/>
      <c r="AF109" s="123"/>
      <c r="AG109" s="123"/>
      <c r="AH109" s="135"/>
      <c r="AI109" s="123"/>
      <c r="AJ109" s="123"/>
      <c r="AK109" s="135"/>
      <c r="AL109" s="123"/>
      <c r="AM109" s="123"/>
      <c r="AN109" s="135"/>
      <c r="AO109" s="123"/>
      <c r="AP109" s="123"/>
      <c r="AQ109" s="135"/>
      <c r="AR109" s="123"/>
      <c r="AS109" s="124"/>
    </row>
    <row r="110" spans="3:45" s="209" customFormat="1" ht="13.5" thickTop="1">
      <c r="C110" s="210"/>
      <c r="G110" s="211"/>
      <c r="H110" s="212" t="s">
        <v>260</v>
      </c>
      <c r="I110" s="213"/>
      <c r="J110" s="214"/>
      <c r="K110" s="213"/>
      <c r="L110" s="213"/>
      <c r="M110" s="214"/>
      <c r="N110" s="213"/>
      <c r="O110" s="213"/>
      <c r="P110" s="214"/>
      <c r="Q110" s="213"/>
      <c r="R110" s="213"/>
      <c r="S110" s="214"/>
      <c r="T110" s="213"/>
      <c r="U110" s="213"/>
      <c r="V110" s="214"/>
      <c r="W110" s="213"/>
      <c r="X110" s="213"/>
      <c r="Y110" s="214"/>
      <c r="Z110" s="215"/>
      <c r="AA110" s="215"/>
      <c r="AB110" s="214"/>
      <c r="AC110" s="213"/>
      <c r="AD110" s="213"/>
      <c r="AE110" s="214"/>
      <c r="AF110" s="213"/>
      <c r="AG110" s="213"/>
      <c r="AH110" s="214"/>
      <c r="AI110" s="213"/>
      <c r="AJ110" s="213"/>
      <c r="AK110" s="214"/>
      <c r="AL110" s="213"/>
      <c r="AM110" s="213"/>
      <c r="AN110" s="214"/>
      <c r="AO110" s="213"/>
      <c r="AP110" s="213"/>
      <c r="AQ110" s="214"/>
      <c r="AR110" s="213"/>
      <c r="AS110" s="216"/>
    </row>
    <row r="111" spans="8:45" ht="12.75">
      <c r="H111" s="89" t="s">
        <v>75</v>
      </c>
      <c r="I111" s="76" t="s">
        <v>194</v>
      </c>
      <c r="K111" s="89" t="s">
        <v>76</v>
      </c>
      <c r="L111" s="76" t="s">
        <v>195</v>
      </c>
      <c r="N111" s="89" t="s">
        <v>77</v>
      </c>
      <c r="O111" s="76" t="s">
        <v>196</v>
      </c>
      <c r="Q111" s="89" t="s">
        <v>78</v>
      </c>
      <c r="R111" s="76" t="s">
        <v>197</v>
      </c>
      <c r="T111" s="89" t="s">
        <v>79</v>
      </c>
      <c r="U111" s="76" t="s">
        <v>198</v>
      </c>
      <c r="W111" s="89" t="s">
        <v>80</v>
      </c>
      <c r="X111" s="76" t="s">
        <v>199</v>
      </c>
      <c r="Z111" s="89" t="s">
        <v>81</v>
      </c>
      <c r="AA111" s="76" t="s">
        <v>200</v>
      </c>
      <c r="AC111" s="89" t="s">
        <v>82</v>
      </c>
      <c r="AD111" s="76" t="s">
        <v>201</v>
      </c>
      <c r="AF111" s="89" t="s">
        <v>83</v>
      </c>
      <c r="AG111" s="76" t="s">
        <v>202</v>
      </c>
      <c r="AI111" s="89" t="s">
        <v>84</v>
      </c>
      <c r="AJ111" s="76" t="s">
        <v>203</v>
      </c>
      <c r="AL111" s="89" t="s">
        <v>85</v>
      </c>
      <c r="AM111" s="76" t="s">
        <v>204</v>
      </c>
      <c r="AO111" s="89" t="s">
        <v>86</v>
      </c>
      <c r="AP111" s="89" t="s">
        <v>205</v>
      </c>
      <c r="AR111" s="89" t="s">
        <v>87</v>
      </c>
      <c r="AS111" s="76" t="s">
        <v>206</v>
      </c>
    </row>
    <row r="112" spans="3:45" ht="12.75">
      <c r="C112" s="105">
        <v>101</v>
      </c>
      <c r="D112" s="89" t="s">
        <v>137</v>
      </c>
      <c r="H112" s="127">
        <f aca="true" t="shared" si="11" ref="H112:H119">AVERAGE(H76,H52)</f>
        <v>32.429293403937436</v>
      </c>
      <c r="I112" s="88">
        <f aca="true" t="shared" si="12" ref="I112:I119">I76*2+0.5*(H76-H52)</f>
        <v>19.081429896134193</v>
      </c>
      <c r="J112" s="78"/>
      <c r="K112" s="94">
        <f aca="true" t="shared" si="13" ref="K112:K119">AVERAGE(K76,K52)</f>
        <v>2.1180843939606606</v>
      </c>
      <c r="L112" s="86">
        <f aca="true" t="shared" si="14" ref="L112:L119">L76*2+0.5*(K76-K52)</f>
        <v>1.2462830556939937</v>
      </c>
      <c r="M112" s="78"/>
      <c r="N112" s="94">
        <f aca="true" t="shared" si="15" ref="N112:N119">AVERAGE(N76,N52)</f>
        <v>5.157432021980078</v>
      </c>
      <c r="O112" s="86">
        <f aca="true" t="shared" si="16" ref="O112:O119">O76*2+0.5*(N76-N52)</f>
        <v>3.034638354455845</v>
      </c>
      <c r="P112" s="78"/>
      <c r="Q112" s="127">
        <f aca="true" t="shared" si="17" ref="Q112:Q119">AVERAGE(Q76,Q52)</f>
        <v>12.913328373918446</v>
      </c>
      <c r="R112" s="88">
        <f aca="true" t="shared" si="18" ref="R112:R119">R76*2+0.5*(Q76-Q52)</f>
        <v>7.598215817516637</v>
      </c>
      <c r="S112" s="78"/>
      <c r="T112" s="94">
        <f aca="true" t="shared" si="19" ref="T112:T119">AVERAGE(T76,T52)</f>
        <v>11.249890170427538</v>
      </c>
      <c r="U112" s="86">
        <f aca="true" t="shared" si="20" ref="U112:U119">U76*2+0.5*(T76-T52)</f>
        <v>6.6194470521568185</v>
      </c>
      <c r="V112" s="78"/>
      <c r="W112" s="94">
        <f aca="true" t="shared" si="21" ref="W112:W119">AVERAGE(W76,W52)</f>
        <v>2.169088187311788</v>
      </c>
      <c r="X112" s="86">
        <f aca="true" t="shared" si="22" ref="X112:X119">X76*2+0.5*(W76-W52)</f>
        <v>1.2762937406368944</v>
      </c>
      <c r="Y112" s="78"/>
      <c r="Z112" s="94">
        <f aca="true" t="shared" si="23" ref="Z112:Z119">AVERAGE(Z76,Z52)</f>
        <v>0.6738452719307646</v>
      </c>
      <c r="AA112" s="86">
        <f aca="true" t="shared" si="24" ref="AA112:AA119">AA76*2+0.5*(Z76-Z52)</f>
        <v>0.39649125736508356</v>
      </c>
      <c r="AB112" s="78"/>
      <c r="AC112" s="94">
        <f aca="true" t="shared" si="25" ref="AC112:AC119">AVERAGE(AC76,AC52)</f>
        <v>1.4937398666971289</v>
      </c>
      <c r="AD112" s="86">
        <f aca="true" t="shared" si="26" ref="AD112:AD119">AD76*2+0.5*(AC76-AC52)</f>
        <v>0.8789180878662443</v>
      </c>
      <c r="AE112" s="78"/>
      <c r="AF112" s="163"/>
      <c r="AG112" s="164"/>
      <c r="AH112" s="135"/>
      <c r="AI112" s="94">
        <f aca="true" t="shared" si="27" ref="AI112:AI119">AVERAGE(AI76,AI52)</f>
        <v>2.0146695378284716</v>
      </c>
      <c r="AJ112" s="86">
        <f aca="true" t="shared" si="28" ref="AJ112:AJ119">AJ76*2+0.5*(AI76-AI52)</f>
        <v>1.1854336470150622</v>
      </c>
      <c r="AK112" s="135"/>
      <c r="AL112" s="94">
        <f aca="true" t="shared" si="29" ref="AL112:AL119">AVERAGE(AL76,AL52)</f>
        <v>15.288853647181414</v>
      </c>
      <c r="AM112" s="86">
        <f aca="true" t="shared" si="30" ref="AM112:AM119">AM76*2+0.5*(AL76-AL52)</f>
        <v>8.995977353781216</v>
      </c>
      <c r="AN112" s="135"/>
      <c r="AO112" s="94">
        <f aca="true" t="shared" si="31" ref="AO112:AO119">AVERAGE(AO76,AO52)</f>
        <v>0.006740730598978604</v>
      </c>
      <c r="AP112" s="86">
        <f aca="true" t="shared" si="32" ref="AP112:AP119">AP76*2+0.5*(AO76-AO52)</f>
        <v>0.014673236359805327</v>
      </c>
      <c r="AQ112" s="135"/>
      <c r="AR112" s="163"/>
      <c r="AS112" s="164"/>
    </row>
    <row r="113" spans="3:45" ht="12.75">
      <c r="C113" s="105" t="s">
        <v>19</v>
      </c>
      <c r="D113" s="89" t="s">
        <v>137</v>
      </c>
      <c r="H113" s="127">
        <f t="shared" si="11"/>
        <v>19.346106088004163</v>
      </c>
      <c r="I113" s="88">
        <f t="shared" si="12"/>
        <v>11.596586625750533</v>
      </c>
      <c r="J113" s="78"/>
      <c r="K113" s="94">
        <f t="shared" si="13"/>
        <v>2.5639767903265067</v>
      </c>
      <c r="L113" s="86">
        <f t="shared" si="14"/>
        <v>1.5803439177475713</v>
      </c>
      <c r="M113" s="78"/>
      <c r="N113" s="94">
        <f t="shared" si="15"/>
        <v>16.926969549492622</v>
      </c>
      <c r="O113" s="86">
        <f t="shared" si="16"/>
        <v>10.087161074793753</v>
      </c>
      <c r="P113" s="78"/>
      <c r="Q113" s="127">
        <f t="shared" si="17"/>
        <v>7.361788298645328</v>
      </c>
      <c r="R113" s="88">
        <f t="shared" si="18"/>
        <v>10.002969188058003</v>
      </c>
      <c r="S113" s="78"/>
      <c r="T113" s="94">
        <f t="shared" si="19"/>
        <v>10.941211970730954</v>
      </c>
      <c r="U113" s="86">
        <f t="shared" si="20"/>
        <v>6.427639859411797</v>
      </c>
      <c r="V113" s="78"/>
      <c r="W113" s="94">
        <f t="shared" si="21"/>
        <v>4.387583797928684</v>
      </c>
      <c r="X113" s="86">
        <f t="shared" si="22"/>
        <v>2.5159464905417077</v>
      </c>
      <c r="Y113" s="78"/>
      <c r="Z113" s="94">
        <f t="shared" si="23"/>
        <v>2.545498736227897</v>
      </c>
      <c r="AA113" s="86">
        <f t="shared" si="24"/>
        <v>1.458195691971345</v>
      </c>
      <c r="AB113" s="78"/>
      <c r="AC113" s="94">
        <f t="shared" si="25"/>
        <v>1.9653512841902505</v>
      </c>
      <c r="AD113" s="86">
        <f t="shared" si="26"/>
        <v>1.1598386383662043</v>
      </c>
      <c r="AE113" s="78"/>
      <c r="AF113" s="163"/>
      <c r="AG113" s="164"/>
      <c r="AH113" s="135"/>
      <c r="AI113" s="94">
        <f t="shared" si="27"/>
        <v>1.9344809756222383</v>
      </c>
      <c r="AJ113" s="86">
        <f t="shared" si="28"/>
        <v>1.131753492343314</v>
      </c>
      <c r="AK113" s="135"/>
      <c r="AL113" s="94">
        <f t="shared" si="29"/>
        <v>14.006189587964258</v>
      </c>
      <c r="AM113" s="86">
        <f t="shared" si="30"/>
        <v>8.058293008168238</v>
      </c>
      <c r="AN113" s="135"/>
      <c r="AO113" s="94">
        <f t="shared" si="31"/>
        <v>0.09369063606516495</v>
      </c>
      <c r="AP113" s="86">
        <f t="shared" si="32"/>
        <v>0.06628564620925873</v>
      </c>
      <c r="AQ113" s="135"/>
      <c r="AR113" s="163"/>
      <c r="AS113" s="164"/>
    </row>
    <row r="114" spans="3:45" ht="12.75">
      <c r="C114" s="105" t="s">
        <v>5</v>
      </c>
      <c r="D114" s="89" t="s">
        <v>137</v>
      </c>
      <c r="H114" s="127">
        <f t="shared" si="11"/>
        <v>30.717869792767576</v>
      </c>
      <c r="I114" s="88">
        <f t="shared" si="12"/>
        <v>17.825951162988428</v>
      </c>
      <c r="J114" s="78"/>
      <c r="K114" s="94">
        <f t="shared" si="13"/>
        <v>1.456576561668185</v>
      </c>
      <c r="L114" s="86">
        <f t="shared" si="14"/>
        <v>0.8831272584839726</v>
      </c>
      <c r="M114" s="78"/>
      <c r="N114" s="94">
        <f t="shared" si="15"/>
        <v>12.122977032890693</v>
      </c>
      <c r="O114" s="86">
        <f t="shared" si="16"/>
        <v>7.22477782903307</v>
      </c>
      <c r="P114" s="78"/>
      <c r="Q114" s="127">
        <f t="shared" si="17"/>
        <v>12.871632769322137</v>
      </c>
      <c r="R114" s="88">
        <f t="shared" si="18"/>
        <v>7.783549559232364</v>
      </c>
      <c r="S114" s="78"/>
      <c r="T114" s="94">
        <f t="shared" si="19"/>
        <v>9.979776390516971</v>
      </c>
      <c r="U114" s="86">
        <f t="shared" si="20"/>
        <v>5.891327596911804</v>
      </c>
      <c r="V114" s="78"/>
      <c r="W114" s="94">
        <f t="shared" si="21"/>
        <v>0.5948256328671615</v>
      </c>
      <c r="X114" s="86">
        <f t="shared" si="22"/>
        <v>0.368547824727319</v>
      </c>
      <c r="Y114" s="78"/>
      <c r="Z114" s="94">
        <f t="shared" si="23"/>
        <v>0.943669970288937</v>
      </c>
      <c r="AA114" s="86">
        <f t="shared" si="24"/>
        <v>0.5524993160772864</v>
      </c>
      <c r="AB114" s="78"/>
      <c r="AC114" s="94">
        <f t="shared" si="25"/>
        <v>2.84729517920604</v>
      </c>
      <c r="AD114" s="86">
        <f t="shared" si="26"/>
        <v>1.6655597024570648</v>
      </c>
      <c r="AE114" s="78"/>
      <c r="AF114" s="163"/>
      <c r="AG114" s="164"/>
      <c r="AH114" s="135"/>
      <c r="AI114" s="94">
        <f t="shared" si="27"/>
        <v>2.0653219277843924</v>
      </c>
      <c r="AJ114" s="86">
        <f t="shared" si="28"/>
        <v>1.2107591973195477</v>
      </c>
      <c r="AK114" s="135"/>
      <c r="AL114" s="94">
        <f t="shared" si="29"/>
        <v>16.967296797373287</v>
      </c>
      <c r="AM114" s="86">
        <f t="shared" si="30"/>
        <v>9.828709152857941</v>
      </c>
      <c r="AN114" s="135"/>
      <c r="AO114" s="94">
        <f t="shared" si="31"/>
        <v>0.07621162236452526</v>
      </c>
      <c r="AP114" s="86">
        <f t="shared" si="32"/>
        <v>0.045542888224321704</v>
      </c>
      <c r="AQ114" s="135"/>
      <c r="AR114" s="163"/>
      <c r="AS114" s="164"/>
    </row>
    <row r="115" spans="3:45" ht="12.75">
      <c r="C115" s="105" t="s">
        <v>21</v>
      </c>
      <c r="D115" s="89" t="s">
        <v>137</v>
      </c>
      <c r="H115" s="127">
        <f t="shared" si="11"/>
        <v>36.63305104194927</v>
      </c>
      <c r="I115" s="88">
        <f t="shared" si="12"/>
        <v>21.60449462707545</v>
      </c>
      <c r="J115" s="78"/>
      <c r="K115" s="94">
        <f t="shared" si="13"/>
        <v>2.75942821702711</v>
      </c>
      <c r="L115" s="86">
        <f t="shared" si="14"/>
        <v>1.62424346204335</v>
      </c>
      <c r="M115" s="78"/>
      <c r="N115" s="94">
        <f t="shared" si="15"/>
        <v>4.96475447895044</v>
      </c>
      <c r="O115" s="86">
        <f t="shared" si="16"/>
        <v>2.948507687623697</v>
      </c>
      <c r="P115" s="78"/>
      <c r="Q115" s="127">
        <f t="shared" si="17"/>
        <v>11.916690112090327</v>
      </c>
      <c r="R115" s="88">
        <f t="shared" si="18"/>
        <v>10.952558646690925</v>
      </c>
      <c r="S115" s="78"/>
      <c r="T115" s="94">
        <f t="shared" si="19"/>
        <v>7.735036082080339</v>
      </c>
      <c r="U115" s="86">
        <f t="shared" si="20"/>
        <v>4.537823120788538</v>
      </c>
      <c r="V115" s="78"/>
      <c r="W115" s="94">
        <f t="shared" si="21"/>
        <v>0.2723539591880647</v>
      </c>
      <c r="X115" s="86">
        <f t="shared" si="22"/>
        <v>0.24234777080424325</v>
      </c>
      <c r="Y115" s="78"/>
      <c r="Z115" s="94">
        <f t="shared" si="23"/>
        <v>0.10162626840638306</v>
      </c>
      <c r="AA115" s="86">
        <f t="shared" si="24"/>
        <v>0.20740823627008986</v>
      </c>
      <c r="AB115" s="78"/>
      <c r="AC115" s="94">
        <f t="shared" si="25"/>
        <v>2.437432142586536</v>
      </c>
      <c r="AD115" s="86">
        <f t="shared" si="26"/>
        <v>1.4166962105841523</v>
      </c>
      <c r="AE115" s="78"/>
      <c r="AF115" s="163"/>
      <c r="AG115" s="164"/>
      <c r="AH115" s="135"/>
      <c r="AI115" s="94">
        <f t="shared" si="27"/>
        <v>2.857138398713523</v>
      </c>
      <c r="AJ115" s="86">
        <f t="shared" si="28"/>
        <v>1.6578676708397466</v>
      </c>
      <c r="AK115" s="135"/>
      <c r="AL115" s="94">
        <f t="shared" si="29"/>
        <v>15.3919503343424</v>
      </c>
      <c r="AM115" s="86">
        <f t="shared" si="30"/>
        <v>8.905842424354708</v>
      </c>
      <c r="AN115" s="135"/>
      <c r="AO115" s="94">
        <f t="shared" si="31"/>
        <v>0.07135151415867318</v>
      </c>
      <c r="AP115" s="86">
        <f t="shared" si="32"/>
        <v>0.042216952744397275</v>
      </c>
      <c r="AQ115" s="135"/>
      <c r="AR115" s="163"/>
      <c r="AS115" s="164"/>
    </row>
    <row r="116" spans="3:45" ht="12.75">
      <c r="C116" s="105" t="s">
        <v>12</v>
      </c>
      <c r="D116" s="89" t="s">
        <v>137</v>
      </c>
      <c r="H116" s="127">
        <f t="shared" si="11"/>
        <v>10.59061240370308</v>
      </c>
      <c r="I116" s="88">
        <f t="shared" si="12"/>
        <v>6.508410861479167</v>
      </c>
      <c r="J116" s="78"/>
      <c r="K116" s="94">
        <f t="shared" si="13"/>
        <v>1.4232943945734104</v>
      </c>
      <c r="L116" s="86">
        <f t="shared" si="14"/>
        <v>1.0422760859492781</v>
      </c>
      <c r="M116" s="78"/>
      <c r="N116" s="94">
        <f t="shared" si="15"/>
        <v>14.992370038921543</v>
      </c>
      <c r="O116" s="86">
        <f t="shared" si="16"/>
        <v>9.021376119098168</v>
      </c>
      <c r="P116" s="78"/>
      <c r="Q116" s="127">
        <f t="shared" si="17"/>
        <v>5.045163299807164</v>
      </c>
      <c r="R116" s="88">
        <f t="shared" si="18"/>
        <v>10.897596452423166</v>
      </c>
      <c r="S116" s="78"/>
      <c r="T116" s="94">
        <f t="shared" si="19"/>
        <v>9.733709685749853</v>
      </c>
      <c r="U116" s="86">
        <f t="shared" si="20"/>
        <v>5.660338832634869</v>
      </c>
      <c r="V116" s="78"/>
      <c r="W116" s="94">
        <f t="shared" si="21"/>
        <v>0.32527775257214797</v>
      </c>
      <c r="X116" s="86">
        <f t="shared" si="22"/>
        <v>0.3238146609088741</v>
      </c>
      <c r="Y116" s="78"/>
      <c r="Z116" s="94">
        <f t="shared" si="23"/>
        <v>1.5274788204937564</v>
      </c>
      <c r="AA116" s="86">
        <f t="shared" si="24"/>
        <v>0.9824661142538889</v>
      </c>
      <c r="AB116" s="78"/>
      <c r="AC116" s="94">
        <f t="shared" si="25"/>
        <v>2.4324231842857564</v>
      </c>
      <c r="AD116" s="86">
        <f t="shared" si="26"/>
        <v>1.4070975103788497</v>
      </c>
      <c r="AE116" s="78"/>
      <c r="AF116" s="163"/>
      <c r="AG116" s="164"/>
      <c r="AH116" s="135"/>
      <c r="AI116" s="94">
        <f t="shared" si="27"/>
        <v>2.9209460280901776</v>
      </c>
      <c r="AJ116" s="86">
        <f t="shared" si="28"/>
        <v>1.6891162279097185</v>
      </c>
      <c r="AK116" s="135"/>
      <c r="AL116" s="94">
        <f t="shared" si="29"/>
        <v>7.3564149700544945</v>
      </c>
      <c r="AM116" s="86">
        <f t="shared" si="30"/>
        <v>4.194008125713424</v>
      </c>
      <c r="AN116" s="135"/>
      <c r="AO116" s="94">
        <f t="shared" si="31"/>
        <v>0.0641526504586577</v>
      </c>
      <c r="AP116" s="86">
        <f t="shared" si="32"/>
        <v>0.042957988268033986</v>
      </c>
      <c r="AQ116" s="135"/>
      <c r="AR116" s="163"/>
      <c r="AS116" s="164"/>
    </row>
    <row r="117" spans="3:45" ht="12.75">
      <c r="C117" s="105" t="s">
        <v>20</v>
      </c>
      <c r="D117" s="89" t="s">
        <v>137</v>
      </c>
      <c r="H117" s="127">
        <f t="shared" si="11"/>
        <v>64.5988677437369</v>
      </c>
      <c r="I117" s="88">
        <f t="shared" si="12"/>
        <v>37.938213324894754</v>
      </c>
      <c r="J117" s="78"/>
      <c r="K117" s="94">
        <f t="shared" si="13"/>
        <v>1.5436752164602634</v>
      </c>
      <c r="L117" s="86">
        <f t="shared" si="14"/>
        <v>0.8901035711002767</v>
      </c>
      <c r="M117" s="78"/>
      <c r="N117" s="94">
        <f t="shared" si="15"/>
        <v>9.291381696903443</v>
      </c>
      <c r="O117" s="86">
        <f t="shared" si="16"/>
        <v>5.448543928782468</v>
      </c>
      <c r="P117" s="78"/>
      <c r="Q117" s="127">
        <f t="shared" si="17"/>
        <v>8.573721373857538</v>
      </c>
      <c r="R117" s="88">
        <f t="shared" si="18"/>
        <v>7.664816059918053</v>
      </c>
      <c r="S117" s="78"/>
      <c r="T117" s="94">
        <f t="shared" si="19"/>
        <v>6.537860879972524</v>
      </c>
      <c r="U117" s="86">
        <f t="shared" si="20"/>
        <v>3.809762631954474</v>
      </c>
      <c r="V117" s="78"/>
      <c r="W117" s="94">
        <f t="shared" si="21"/>
        <v>2.1156179166187834</v>
      </c>
      <c r="X117" s="86">
        <f t="shared" si="22"/>
        <v>1.2326181609514135</v>
      </c>
      <c r="Y117" s="78"/>
      <c r="Z117" s="94">
        <f t="shared" si="23"/>
        <v>0.2931183204832146</v>
      </c>
      <c r="AA117" s="86">
        <f t="shared" si="24"/>
        <v>0.16957409658149972</v>
      </c>
      <c r="AB117" s="78"/>
      <c r="AC117" s="94">
        <f t="shared" si="25"/>
        <v>1.5305218682926518</v>
      </c>
      <c r="AD117" s="86">
        <f t="shared" si="26"/>
        <v>0.8953433522644365</v>
      </c>
      <c r="AE117" s="78"/>
      <c r="AF117" s="163"/>
      <c r="AG117" s="164"/>
      <c r="AH117" s="135"/>
      <c r="AI117" s="94">
        <f t="shared" si="27"/>
        <v>1.8091977071238143</v>
      </c>
      <c r="AJ117" s="86">
        <f t="shared" si="28"/>
        <v>1.0571964002689134</v>
      </c>
      <c r="AK117" s="135"/>
      <c r="AL117" s="94">
        <f t="shared" si="29"/>
        <v>4.159712609886201</v>
      </c>
      <c r="AM117" s="86">
        <f t="shared" si="30"/>
        <v>2.399010414622294</v>
      </c>
      <c r="AN117" s="135"/>
      <c r="AO117" s="94">
        <f t="shared" si="31"/>
        <v>0.125619817263854</v>
      </c>
      <c r="AP117" s="86">
        <f t="shared" si="32"/>
        <v>0.07374161674530638</v>
      </c>
      <c r="AQ117" s="135"/>
      <c r="AR117" s="163"/>
      <c r="AS117" s="164"/>
    </row>
    <row r="118" spans="3:45" ht="12.75">
      <c r="C118" s="105" t="s">
        <v>17</v>
      </c>
      <c r="D118" s="89" t="s">
        <v>137</v>
      </c>
      <c r="H118" s="127">
        <f t="shared" si="11"/>
        <v>45.24927985235958</v>
      </c>
      <c r="I118" s="88">
        <f t="shared" si="12"/>
        <v>26.508751842830765</v>
      </c>
      <c r="J118" s="78"/>
      <c r="K118" s="94">
        <f t="shared" si="13"/>
        <v>2.375422548307155</v>
      </c>
      <c r="L118" s="86">
        <f t="shared" si="14"/>
        <v>1.3606783569275291</v>
      </c>
      <c r="M118" s="78"/>
      <c r="N118" s="94">
        <f t="shared" si="15"/>
        <v>31.74509948075508</v>
      </c>
      <c r="O118" s="86">
        <f t="shared" si="16"/>
        <v>19.157052972175205</v>
      </c>
      <c r="P118" s="78"/>
      <c r="Q118" s="127">
        <f t="shared" si="17"/>
        <v>8.357338766826931</v>
      </c>
      <c r="R118" s="88">
        <f t="shared" si="18"/>
        <v>7.974796469943404</v>
      </c>
      <c r="S118" s="78"/>
      <c r="T118" s="94">
        <f t="shared" si="19"/>
        <v>7.86691421602897</v>
      </c>
      <c r="U118" s="86">
        <f t="shared" si="20"/>
        <v>4.659925493997875</v>
      </c>
      <c r="V118" s="78"/>
      <c r="W118" s="94">
        <f t="shared" si="21"/>
        <v>4.854713117238836</v>
      </c>
      <c r="X118" s="86">
        <f t="shared" si="22"/>
        <v>2.9080848579070726</v>
      </c>
      <c r="Y118" s="78"/>
      <c r="Z118" s="94">
        <f t="shared" si="23"/>
        <v>0.21619686780776082</v>
      </c>
      <c r="AA118" s="86">
        <f t="shared" si="24"/>
        <v>0.19872813539243306</v>
      </c>
      <c r="AB118" s="78"/>
      <c r="AC118" s="94">
        <f t="shared" si="25"/>
        <v>1.4509789774431825</v>
      </c>
      <c r="AD118" s="86">
        <f t="shared" si="26"/>
        <v>0.850350936669181</v>
      </c>
      <c r="AE118" s="78"/>
      <c r="AF118" s="163"/>
      <c r="AG118" s="164"/>
      <c r="AH118" s="135"/>
      <c r="AI118" s="94">
        <f t="shared" si="27"/>
        <v>1.730604432252342</v>
      </c>
      <c r="AJ118" s="86">
        <f t="shared" si="28"/>
        <v>1.013313379870325</v>
      </c>
      <c r="AK118" s="135"/>
      <c r="AL118" s="94">
        <f t="shared" si="29"/>
        <v>6.819566185725623</v>
      </c>
      <c r="AM118" s="86">
        <f t="shared" si="30"/>
        <v>3.9125105352395955</v>
      </c>
      <c r="AN118" s="135"/>
      <c r="AO118" s="94">
        <f t="shared" si="31"/>
        <v>0.49227457266113833</v>
      </c>
      <c r="AP118" s="86">
        <f t="shared" si="32"/>
        <v>0.2936157228168055</v>
      </c>
      <c r="AQ118" s="135"/>
      <c r="AR118" s="163"/>
      <c r="AS118" s="164"/>
    </row>
    <row r="119" spans="3:45" ht="13.5" thickBot="1">
      <c r="C119" s="105" t="s">
        <v>22</v>
      </c>
      <c r="D119" s="89" t="s">
        <v>137</v>
      </c>
      <c r="H119" s="127">
        <f t="shared" si="11"/>
        <v>13.770422093398356</v>
      </c>
      <c r="I119" s="88">
        <f t="shared" si="12"/>
        <v>8.94545290217075</v>
      </c>
      <c r="J119" s="78"/>
      <c r="K119" s="94">
        <f t="shared" si="13"/>
        <v>0.4267929543097488</v>
      </c>
      <c r="L119" s="86">
        <f t="shared" si="14"/>
        <v>0.7451282715036129</v>
      </c>
      <c r="M119" s="78"/>
      <c r="N119" s="94">
        <f t="shared" si="15"/>
        <v>2.7645704933965654</v>
      </c>
      <c r="O119" s="86">
        <f t="shared" si="16"/>
        <v>1.8264350312073492</v>
      </c>
      <c r="P119" s="78"/>
      <c r="Q119" s="127">
        <f t="shared" si="17"/>
        <v>2.9516657994098368</v>
      </c>
      <c r="R119" s="88">
        <f t="shared" si="18"/>
        <v>6.446373611772538</v>
      </c>
      <c r="S119" s="78"/>
      <c r="T119" s="94">
        <f t="shared" si="19"/>
        <v>4.640757726059102</v>
      </c>
      <c r="U119" s="86">
        <f t="shared" si="20"/>
        <v>2.8455143044286277</v>
      </c>
      <c r="V119" s="78"/>
      <c r="W119" s="94">
        <f t="shared" si="21"/>
        <v>0.21083286161352846</v>
      </c>
      <c r="X119" s="86">
        <f t="shared" si="22"/>
        <v>0.22995445356408387</v>
      </c>
      <c r="Y119" s="78"/>
      <c r="Z119" s="94">
        <f t="shared" si="23"/>
        <v>0.4434882487749746</v>
      </c>
      <c r="AA119" s="86">
        <f t="shared" si="24"/>
        <v>0.28946798218472464</v>
      </c>
      <c r="AB119" s="78"/>
      <c r="AC119" s="94">
        <f t="shared" si="25"/>
        <v>1.0480333689101666</v>
      </c>
      <c r="AD119" s="86">
        <f t="shared" si="26"/>
        <v>0.633248969626651</v>
      </c>
      <c r="AE119" s="78"/>
      <c r="AF119" s="163"/>
      <c r="AG119" s="164"/>
      <c r="AH119" s="135"/>
      <c r="AI119" s="94">
        <f t="shared" si="27"/>
        <v>1.4178181737021123</v>
      </c>
      <c r="AJ119" s="86">
        <f t="shared" si="28"/>
        <v>0.848914893804205</v>
      </c>
      <c r="AK119" s="135"/>
      <c r="AL119" s="94">
        <f t="shared" si="29"/>
        <v>5.172184924027769</v>
      </c>
      <c r="AM119" s="86">
        <f t="shared" si="30"/>
        <v>3.0293297967488235</v>
      </c>
      <c r="AN119" s="135"/>
      <c r="AO119" s="94">
        <f t="shared" si="31"/>
        <v>0.011640834935407764</v>
      </c>
      <c r="AP119" s="86">
        <f t="shared" si="32"/>
        <v>0.015846632690982413</v>
      </c>
      <c r="AQ119" s="135"/>
      <c r="AR119" s="163"/>
      <c r="AS119" s="164"/>
    </row>
    <row r="120" spans="3:45" ht="13.5" thickTop="1">
      <c r="C120" s="105"/>
      <c r="D120" s="89" t="s">
        <v>207</v>
      </c>
      <c r="G120" s="200"/>
      <c r="H120" s="201">
        <f>MAX(H112:H119)</f>
        <v>64.5988677437369</v>
      </c>
      <c r="I120" s="202"/>
      <c r="J120" s="200"/>
      <c r="K120" s="201">
        <f>MAX(K112:K119)</f>
        <v>2.75942821702711</v>
      </c>
      <c r="L120" s="202"/>
      <c r="M120" s="200"/>
      <c r="N120" s="201">
        <f>MAX(N112:N119)</f>
        <v>31.74509948075508</v>
      </c>
      <c r="O120" s="202"/>
      <c r="P120" s="200"/>
      <c r="Q120" s="201">
        <f>MAX(Q112:Q119)</f>
        <v>12.913328373918446</v>
      </c>
      <c r="R120" s="202"/>
      <c r="S120" s="200"/>
      <c r="T120" s="201">
        <f>MAX(T112:T119)</f>
        <v>11.249890170427538</v>
      </c>
      <c r="U120" s="202"/>
      <c r="V120" s="200"/>
      <c r="W120" s="201">
        <f>MAX(W112:W119)</f>
        <v>4.854713117238836</v>
      </c>
      <c r="X120" s="202"/>
      <c r="Y120" s="200"/>
      <c r="Z120" s="201">
        <f>MAX(Z112:Z119)</f>
        <v>2.545498736227897</v>
      </c>
      <c r="AA120" s="202"/>
      <c r="AB120" s="200"/>
      <c r="AC120" s="201">
        <f>MAX(AC112:AC119)</f>
        <v>2.84729517920604</v>
      </c>
      <c r="AD120" s="202"/>
      <c r="AE120" s="200"/>
      <c r="AF120" s="201"/>
      <c r="AG120" s="202"/>
      <c r="AH120" s="200"/>
      <c r="AI120" s="201">
        <f>MAX(AI112:AI119)</f>
        <v>2.9209460280901776</v>
      </c>
      <c r="AJ120" s="202"/>
      <c r="AK120" s="200"/>
      <c r="AL120" s="201">
        <f>MAX(AL112:AL119)</f>
        <v>16.967296797373287</v>
      </c>
      <c r="AM120" s="202"/>
      <c r="AN120" s="200"/>
      <c r="AO120" s="203">
        <f>MAX(AO112:AO119)</f>
        <v>0.49227457266113833</v>
      </c>
      <c r="AP120" s="202"/>
      <c r="AQ120" s="200"/>
      <c r="AR120" s="201"/>
      <c r="AS120" s="202"/>
    </row>
    <row r="121" spans="3:45" ht="12.75">
      <c r="C121" s="105"/>
      <c r="D121" s="89" t="s">
        <v>208</v>
      </c>
      <c r="H121" s="127">
        <f>MIN(H112:H119)</f>
        <v>10.59061240370308</v>
      </c>
      <c r="I121" s="88"/>
      <c r="K121" s="127">
        <f>MIN(K112:K119)</f>
        <v>0.4267929543097488</v>
      </c>
      <c r="L121" s="88"/>
      <c r="N121" s="127">
        <f>MIN(N112:N119)</f>
        <v>2.7645704933965654</v>
      </c>
      <c r="O121" s="88"/>
      <c r="Q121" s="127">
        <f>MIN(Q112:Q119)</f>
        <v>2.9516657994098368</v>
      </c>
      <c r="R121" s="88"/>
      <c r="T121" s="127">
        <f>MIN(T112:T119)</f>
        <v>4.640757726059102</v>
      </c>
      <c r="U121" s="88"/>
      <c r="W121" s="127">
        <f>MIN(W112:W119)</f>
        <v>0.21083286161352846</v>
      </c>
      <c r="X121" s="88"/>
      <c r="Z121" s="127">
        <f>MIN(Z112:Z119)</f>
        <v>0.10162626840638306</v>
      </c>
      <c r="AA121" s="88"/>
      <c r="AC121" s="127">
        <f>MIN(AC112:AC119)</f>
        <v>1.0480333689101666</v>
      </c>
      <c r="AD121" s="88"/>
      <c r="AF121" s="127"/>
      <c r="AG121" s="88"/>
      <c r="AI121" s="127">
        <f>MIN(AI112:AI119)</f>
        <v>1.4178181737021123</v>
      </c>
      <c r="AJ121" s="88"/>
      <c r="AL121" s="127">
        <f>MIN(AL112:AL119)</f>
        <v>4.159712609886201</v>
      </c>
      <c r="AM121" s="88"/>
      <c r="AO121" s="119">
        <f>MIN(AO112:AO119)</f>
        <v>0.006740730598978604</v>
      </c>
      <c r="AP121" s="88"/>
      <c r="AR121" s="127"/>
      <c r="AS121" s="88"/>
    </row>
    <row r="122" spans="3:45" ht="12.75">
      <c r="C122" s="105"/>
      <c r="H122" s="96"/>
      <c r="I122" s="96"/>
      <c r="J122" s="78"/>
      <c r="K122" s="96"/>
      <c r="L122" s="96"/>
      <c r="M122" s="78"/>
      <c r="N122" s="96"/>
      <c r="O122" s="96"/>
      <c r="P122" s="78"/>
      <c r="Q122" s="96"/>
      <c r="R122" s="96"/>
      <c r="S122" s="78"/>
      <c r="T122" s="96"/>
      <c r="U122" s="96"/>
      <c r="V122" s="78"/>
      <c r="W122" s="96"/>
      <c r="X122" s="96"/>
      <c r="Y122" s="78"/>
      <c r="Z122" s="120"/>
      <c r="AA122" s="120"/>
      <c r="AB122" s="78"/>
      <c r="AC122" s="96"/>
      <c r="AD122" s="96"/>
      <c r="AE122" s="78"/>
      <c r="AF122" s="123"/>
      <c r="AG122" s="123"/>
      <c r="AH122" s="135"/>
      <c r="AI122" s="123"/>
      <c r="AJ122" s="123"/>
      <c r="AK122" s="135"/>
      <c r="AL122" s="123"/>
      <c r="AM122" s="123"/>
      <c r="AN122" s="135"/>
      <c r="AO122" s="123"/>
      <c r="AP122" s="123"/>
      <c r="AQ122" s="135"/>
      <c r="AR122" s="123"/>
      <c r="AS122" s="124"/>
    </row>
    <row r="123" spans="3:45" ht="12.75">
      <c r="C123" s="105"/>
      <c r="H123" s="96"/>
      <c r="I123" s="96"/>
      <c r="J123" s="78"/>
      <c r="K123" s="96"/>
      <c r="L123" s="96"/>
      <c r="M123" s="78"/>
      <c r="N123" s="96"/>
      <c r="O123" s="96"/>
      <c r="P123" s="78"/>
      <c r="Q123" s="96"/>
      <c r="R123" s="96"/>
      <c r="S123" s="78"/>
      <c r="T123" s="96"/>
      <c r="U123" s="96"/>
      <c r="V123" s="78"/>
      <c r="W123" s="96"/>
      <c r="X123" s="96"/>
      <c r="Y123" s="78"/>
      <c r="Z123" s="120"/>
      <c r="AA123" s="120"/>
      <c r="AB123" s="78"/>
      <c r="AC123" s="96"/>
      <c r="AD123" s="96"/>
      <c r="AE123" s="78"/>
      <c r="AF123" s="123"/>
      <c r="AG123" s="123"/>
      <c r="AH123" s="135"/>
      <c r="AI123" s="123"/>
      <c r="AJ123" s="123"/>
      <c r="AK123" s="135"/>
      <c r="AL123" s="123"/>
      <c r="AM123" s="123"/>
      <c r="AN123" s="135"/>
      <c r="AO123" s="123"/>
      <c r="AP123" s="123"/>
      <c r="AQ123" s="135"/>
      <c r="AR123" s="123"/>
      <c r="AS123" s="124"/>
    </row>
    <row r="124" spans="1:45" s="197" customFormat="1" ht="12.75">
      <c r="A124" s="194"/>
      <c r="B124" s="194"/>
      <c r="C124" s="198"/>
      <c r="D124" s="194"/>
      <c r="E124" s="194"/>
      <c r="F124" s="194"/>
      <c r="G124" s="195"/>
      <c r="H124" s="196" t="s">
        <v>261</v>
      </c>
      <c r="I124" s="199"/>
      <c r="J124" s="195"/>
      <c r="K124" s="194"/>
      <c r="L124" s="199"/>
      <c r="M124" s="195"/>
      <c r="N124" s="194"/>
      <c r="O124" s="199"/>
      <c r="P124" s="195"/>
      <c r="Q124" s="194"/>
      <c r="R124" s="199"/>
      <c r="S124" s="195"/>
      <c r="T124" s="194"/>
      <c r="U124" s="199"/>
      <c r="V124" s="195"/>
      <c r="W124" s="194"/>
      <c r="X124" s="199"/>
      <c r="Y124" s="195"/>
      <c r="Z124" s="194"/>
      <c r="AA124" s="199"/>
      <c r="AB124" s="195"/>
      <c r="AC124" s="194"/>
      <c r="AD124" s="199"/>
      <c r="AE124" s="195"/>
      <c r="AF124" s="194"/>
      <c r="AG124" s="199"/>
      <c r="AH124" s="195"/>
      <c r="AI124" s="194"/>
      <c r="AJ124" s="199"/>
      <c r="AK124" s="195"/>
      <c r="AL124" s="194"/>
      <c r="AM124" s="199"/>
      <c r="AN124" s="195"/>
      <c r="AO124" s="194"/>
      <c r="AP124" s="194"/>
      <c r="AQ124" s="195"/>
      <c r="AR124" s="194"/>
      <c r="AS124" s="199"/>
    </row>
    <row r="125" spans="1:45" s="169" customFormat="1" ht="12.75">
      <c r="A125" s="184"/>
      <c r="B125" s="184"/>
      <c r="C125" s="193"/>
      <c r="D125" s="184"/>
      <c r="E125" s="184"/>
      <c r="F125" s="184"/>
      <c r="G125" s="182"/>
      <c r="H125" s="89" t="s">
        <v>24</v>
      </c>
      <c r="I125" s="76" t="s">
        <v>194</v>
      </c>
      <c r="J125" s="75"/>
      <c r="K125" s="89" t="s">
        <v>25</v>
      </c>
      <c r="L125" s="76" t="s">
        <v>195</v>
      </c>
      <c r="M125" s="75"/>
      <c r="N125" s="89" t="s">
        <v>26</v>
      </c>
      <c r="O125" s="76" t="s">
        <v>196</v>
      </c>
      <c r="P125" s="75"/>
      <c r="Q125" s="89" t="s">
        <v>27</v>
      </c>
      <c r="R125" s="76" t="s">
        <v>197</v>
      </c>
      <c r="S125" s="75"/>
      <c r="T125" s="89" t="s">
        <v>28</v>
      </c>
      <c r="U125" s="76" t="s">
        <v>198</v>
      </c>
      <c r="V125" s="75"/>
      <c r="W125" s="89" t="s">
        <v>29</v>
      </c>
      <c r="X125" s="76" t="s">
        <v>199</v>
      </c>
      <c r="Y125" s="75"/>
      <c r="Z125" s="89" t="s">
        <v>30</v>
      </c>
      <c r="AA125" s="76" t="s">
        <v>200</v>
      </c>
      <c r="AB125" s="75"/>
      <c r="AC125" s="89" t="s">
        <v>31</v>
      </c>
      <c r="AD125" s="76" t="s">
        <v>201</v>
      </c>
      <c r="AE125" s="75"/>
      <c r="AF125" s="89" t="s">
        <v>32</v>
      </c>
      <c r="AG125" s="76" t="s">
        <v>202</v>
      </c>
      <c r="AH125" s="75"/>
      <c r="AI125" s="89" t="s">
        <v>33</v>
      </c>
      <c r="AJ125" s="76" t="s">
        <v>203</v>
      </c>
      <c r="AK125" s="75"/>
      <c r="AL125" s="89" t="s">
        <v>34</v>
      </c>
      <c r="AM125" s="76" t="s">
        <v>204</v>
      </c>
      <c r="AN125" s="75"/>
      <c r="AO125" s="89" t="s">
        <v>35</v>
      </c>
      <c r="AP125" s="89" t="s">
        <v>205</v>
      </c>
      <c r="AQ125" s="75"/>
      <c r="AR125" s="89" t="s">
        <v>36</v>
      </c>
      <c r="AS125" s="76" t="s">
        <v>206</v>
      </c>
    </row>
    <row r="126" spans="3:45" ht="12.75">
      <c r="C126" s="105">
        <v>101</v>
      </c>
      <c r="D126" s="89" t="s">
        <v>137</v>
      </c>
      <c r="H126" s="157">
        <f aca="true" t="shared" si="33" ref="H126:H133">AVERAGE(H100,H88)</f>
        <v>0.08217103858534378</v>
      </c>
      <c r="I126" s="76">
        <f aca="true" t="shared" si="34" ref="I126:I133">I100*2+0.5*(H100-H88)</f>
        <v>0.048349524386134234</v>
      </c>
      <c r="K126" s="157">
        <f aca="true" t="shared" si="35" ref="K126:K133">AVERAGE(K100,K88)</f>
        <v>0.005366912941804155</v>
      </c>
      <c r="L126" s="76">
        <f aca="true" t="shared" si="36" ref="L126:L133">L100*2+0.5*(K100-K88)</f>
        <v>0.0031578971450934323</v>
      </c>
      <c r="N126" s="157">
        <f aca="true" t="shared" si="37" ref="N126:N133">AVERAGE(N100,N88)</f>
        <v>0.0130681708170662</v>
      </c>
      <c r="O126" s="76">
        <f aca="true" t="shared" si="38" ref="O126:O133">O100*2+0.5*(N100-N88)</f>
        <v>0.007689325271770467</v>
      </c>
      <c r="Q126" s="157">
        <f aca="true" t="shared" si="39" ref="Q126:Q133">AVERAGE(Q100,Q88)</f>
        <v>0.03272046636543837</v>
      </c>
      <c r="R126" s="76">
        <f aca="true" t="shared" si="40" ref="R126:R133">R100*2+0.5*(Q100-Q88)</f>
        <v>0.01925275636887983</v>
      </c>
      <c r="T126" s="157">
        <f aca="true" t="shared" si="41" ref="T126:T133">AVERAGE(T100,T88)</f>
        <v>0.028505559703710413</v>
      </c>
      <c r="U126" s="76">
        <f aca="true" t="shared" si="42" ref="U126:U133">U100*2+0.5*(T100-T88)</f>
        <v>0.016772700914611253</v>
      </c>
      <c r="W126" s="157">
        <f aca="true" t="shared" si="43" ref="W126:W133">AVERAGE(W100,W88)</f>
        <v>0.005496149019175657</v>
      </c>
      <c r="X126" s="76">
        <f aca="true" t="shared" si="44" ref="X126:X133">X100*2+0.5*(W100-W88)</f>
        <v>0.0032339397871485403</v>
      </c>
      <c r="Z126" s="157">
        <f aca="true" t="shared" si="45" ref="Z126:Z133">AVERAGE(Z100,Z88)</f>
        <v>0.001707424369402124</v>
      </c>
      <c r="AA126" s="76">
        <f aca="true" t="shared" si="46" ref="AA126:AA133">AA100*2+0.5*(Z100-Z88)</f>
        <v>0.0010046502710337193</v>
      </c>
      <c r="AC126" s="157">
        <f aca="true" t="shared" si="47" ref="AC126:AC133">AVERAGE(AC100,AC88)</f>
        <v>0.0037849161464595217</v>
      </c>
      <c r="AD126" s="76">
        <f aca="true" t="shared" si="48" ref="AD126:AD133">AD100*2+0.5*(AC100-AC88)</f>
        <v>0.0022270485888121407</v>
      </c>
      <c r="AF126" s="208"/>
      <c r="AG126" s="154"/>
      <c r="AI126" s="157">
        <f aca="true" t="shared" si="49" ref="AI126:AI133">AVERAGE(AI100,AI88)</f>
        <v>0.00510487497422685</v>
      </c>
      <c r="AJ126" s="76">
        <f aca="true" t="shared" si="50" ref="AJ126:AJ133">AJ100*2+0.5*(AI100-AI88)</f>
        <v>0.003003713733010678</v>
      </c>
      <c r="AL126" s="157">
        <f aca="true" t="shared" si="51" ref="AL126:AL133">AVERAGE(AL100,AL88)</f>
        <v>0.03873969646269514</v>
      </c>
      <c r="AM126" s="76">
        <f aca="true" t="shared" si="52" ref="AM126:AM133">AM100*2+0.5*(AL100-AL88)</f>
        <v>0.0227944776052593</v>
      </c>
      <c r="AO126" s="157">
        <f aca="true" t="shared" si="53" ref="AO126:AO133">AVERAGE(AO100,AO88)</f>
        <v>1.7080015504587803E-05</v>
      </c>
      <c r="AP126" s="76">
        <f aca="true" t="shared" si="54" ref="AP126:AP133">AP100*2+0.5*(AO100-AO88)</f>
        <v>3.7179813203917654E-05</v>
      </c>
      <c r="AR126" s="163"/>
      <c r="AS126" s="164"/>
    </row>
    <row r="127" spans="3:45" ht="12.75">
      <c r="C127" s="105" t="s">
        <v>19</v>
      </c>
      <c r="D127" s="89" t="s">
        <v>137</v>
      </c>
      <c r="H127" s="157">
        <f t="shared" si="33"/>
        <v>0.03765856002056389</v>
      </c>
      <c r="I127" s="76">
        <f t="shared" si="34"/>
        <v>0.0225735737978964</v>
      </c>
      <c r="K127" s="157">
        <f t="shared" si="35"/>
        <v>0.004990961664875511</v>
      </c>
      <c r="L127" s="76">
        <f t="shared" si="36"/>
        <v>0.0030762509007707856</v>
      </c>
      <c r="N127" s="157">
        <f t="shared" si="37"/>
        <v>0.03294954012172416</v>
      </c>
      <c r="O127" s="76">
        <f t="shared" si="38"/>
        <v>0.01963537050010074</v>
      </c>
      <c r="Q127" s="157">
        <f t="shared" si="39"/>
        <v>0.014330240165235278</v>
      </c>
      <c r="R127" s="76">
        <f t="shared" si="40"/>
        <v>0.019471485054344363</v>
      </c>
      <c r="T127" s="157">
        <f t="shared" si="41"/>
        <v>0.021297840806991604</v>
      </c>
      <c r="U127" s="76">
        <f t="shared" si="42"/>
        <v>0.012511854340875251</v>
      </c>
      <c r="W127" s="157">
        <f t="shared" si="43"/>
        <v>0.00854074132788946</v>
      </c>
      <c r="X127" s="76">
        <f t="shared" si="44"/>
        <v>0.0048974672986695335</v>
      </c>
      <c r="Z127" s="157">
        <f t="shared" si="45"/>
        <v>0.004954992829277778</v>
      </c>
      <c r="AA127" s="76">
        <f t="shared" si="46"/>
        <v>0.002838480763934223</v>
      </c>
      <c r="AC127" s="157">
        <f t="shared" si="47"/>
        <v>0.0038256948949051445</v>
      </c>
      <c r="AD127" s="76">
        <f t="shared" si="48"/>
        <v>0.002257707715361175</v>
      </c>
      <c r="AF127" s="208"/>
      <c r="AG127" s="154"/>
      <c r="AI127" s="157">
        <f t="shared" si="49"/>
        <v>0.003765603661931773</v>
      </c>
      <c r="AJ127" s="76">
        <f t="shared" si="50"/>
        <v>0.00220303799772507</v>
      </c>
      <c r="AL127" s="157">
        <f t="shared" si="51"/>
        <v>0.02726403591804988</v>
      </c>
      <c r="AM127" s="76">
        <f t="shared" si="52"/>
        <v>0.015686035708217326</v>
      </c>
      <c r="AO127" s="157">
        <f t="shared" si="53"/>
        <v>0.00018237543129222101</v>
      </c>
      <c r="AP127" s="76">
        <f t="shared" si="54"/>
        <v>0.00012902968560795045</v>
      </c>
      <c r="AR127" s="163"/>
      <c r="AS127" s="164"/>
    </row>
    <row r="128" spans="3:45" ht="12.75">
      <c r="C128" s="105" t="s">
        <v>5</v>
      </c>
      <c r="D128" s="89" t="s">
        <v>137</v>
      </c>
      <c r="H128" s="157">
        <f t="shared" si="33"/>
        <v>0.07390001104912473</v>
      </c>
      <c r="I128" s="76">
        <f t="shared" si="34"/>
        <v>0.042885069726292205</v>
      </c>
      <c r="K128" s="157">
        <f t="shared" si="35"/>
        <v>0.0035041825727941166</v>
      </c>
      <c r="L128" s="76">
        <f t="shared" si="36"/>
        <v>0.0021245976560234914</v>
      </c>
      <c r="N128" s="157">
        <f t="shared" si="37"/>
        <v>0.029165047665181573</v>
      </c>
      <c r="O128" s="76">
        <f t="shared" si="38"/>
        <v>0.017381125872169785</v>
      </c>
      <c r="Q128" s="157">
        <f t="shared" si="39"/>
        <v>0.030966138286618497</v>
      </c>
      <c r="R128" s="76">
        <f t="shared" si="40"/>
        <v>0.018725399980831732</v>
      </c>
      <c r="T128" s="157">
        <f t="shared" si="41"/>
        <v>0.024009008127921734</v>
      </c>
      <c r="U128" s="76">
        <f t="shared" si="42"/>
        <v>0.014173156453977221</v>
      </c>
      <c r="W128" s="157">
        <f t="shared" si="43"/>
        <v>0.0014310113669254343</v>
      </c>
      <c r="X128" s="76">
        <f t="shared" si="44"/>
        <v>0.0008866398778046879</v>
      </c>
      <c r="Z128" s="157">
        <f t="shared" si="45"/>
        <v>0.0022702492621249097</v>
      </c>
      <c r="AA128" s="76">
        <f t="shared" si="46"/>
        <v>0.001329184147149375</v>
      </c>
      <c r="AC128" s="157">
        <f t="shared" si="47"/>
        <v>0.006849926333530702</v>
      </c>
      <c r="AD128" s="76">
        <f t="shared" si="48"/>
        <v>0.004006947136794424</v>
      </c>
      <c r="AF128" s="208"/>
      <c r="AG128" s="154"/>
      <c r="AI128" s="157">
        <f t="shared" si="49"/>
        <v>0.004968681562651906</v>
      </c>
      <c r="AJ128" s="76">
        <f t="shared" si="50"/>
        <v>0.0029128034809500557</v>
      </c>
      <c r="AL128" s="157">
        <f t="shared" si="51"/>
        <v>0.040819348127287367</v>
      </c>
      <c r="AM128" s="76">
        <f t="shared" si="52"/>
        <v>0.023645575682655247</v>
      </c>
      <c r="AO128" s="157">
        <f t="shared" si="53"/>
        <v>0.00018334734058076462</v>
      </c>
      <c r="AP128" s="76">
        <f t="shared" si="54"/>
        <v>0.0001095655384208592</v>
      </c>
      <c r="AR128" s="163"/>
      <c r="AS128" s="164"/>
    </row>
    <row r="129" spans="3:45" ht="12.75">
      <c r="C129" s="105" t="s">
        <v>21</v>
      </c>
      <c r="D129" s="89" t="s">
        <v>137</v>
      </c>
      <c r="H129" s="157">
        <f t="shared" si="33"/>
        <v>0.06429603381438594</v>
      </c>
      <c r="I129" s="76">
        <f t="shared" si="34"/>
        <v>0.03791885408328381</v>
      </c>
      <c r="K129" s="157">
        <f t="shared" si="35"/>
        <v>0.004843175354058772</v>
      </c>
      <c r="L129" s="76">
        <f t="shared" si="36"/>
        <v>0.002850770263136062</v>
      </c>
      <c r="N129" s="157">
        <f t="shared" si="37"/>
        <v>0.008713825706004746</v>
      </c>
      <c r="O129" s="76">
        <f t="shared" si="38"/>
        <v>0.005175035783078541</v>
      </c>
      <c r="Q129" s="157">
        <f t="shared" si="39"/>
        <v>0.02091542715143031</v>
      </c>
      <c r="R129" s="76">
        <f t="shared" si="40"/>
        <v>0.0192232440670935</v>
      </c>
      <c r="T129" s="157">
        <f t="shared" si="41"/>
        <v>0.013576050242700978</v>
      </c>
      <c r="U129" s="76">
        <f t="shared" si="42"/>
        <v>0.007964502560374157</v>
      </c>
      <c r="W129" s="157">
        <f t="shared" si="43"/>
        <v>0.0004780185889890842</v>
      </c>
      <c r="X129" s="76">
        <f t="shared" si="44"/>
        <v>0.00042535360892073665</v>
      </c>
      <c r="Z129" s="157">
        <f t="shared" si="45"/>
        <v>0.00017836805300230812</v>
      </c>
      <c r="AA129" s="76">
        <f t="shared" si="46"/>
        <v>0.00036402992907506003</v>
      </c>
      <c r="AC129" s="157">
        <f t="shared" si="47"/>
        <v>0.004278028037592471</v>
      </c>
      <c r="AD129" s="76">
        <f t="shared" si="48"/>
        <v>0.0024864963433191617</v>
      </c>
      <c r="AF129" s="208"/>
      <c r="AG129" s="154"/>
      <c r="AI129" s="157">
        <f t="shared" si="49"/>
        <v>0.005014670137240367</v>
      </c>
      <c r="AJ129" s="76">
        <f t="shared" si="50"/>
        <v>0.002909785365735063</v>
      </c>
      <c r="AL129" s="157">
        <f t="shared" si="51"/>
        <v>0.02701498594897184</v>
      </c>
      <c r="AM129" s="76">
        <f t="shared" si="52"/>
        <v>0.015630976109693814</v>
      </c>
      <c r="AO129" s="157">
        <f t="shared" si="53"/>
        <v>0.00012523170297227792</v>
      </c>
      <c r="AP129" s="76">
        <f t="shared" si="54"/>
        <v>7.409654789839383E-05</v>
      </c>
      <c r="AR129" s="163"/>
      <c r="AS129" s="164"/>
    </row>
    <row r="130" spans="3:45" ht="12.75">
      <c r="C130" s="105" t="s">
        <v>12</v>
      </c>
      <c r="D130" s="89" t="s">
        <v>137</v>
      </c>
      <c r="H130" s="157">
        <f t="shared" si="33"/>
        <v>0.017926855218466604</v>
      </c>
      <c r="I130" s="76">
        <f t="shared" si="34"/>
        <v>0.011016864253783494</v>
      </c>
      <c r="K130" s="157">
        <f t="shared" si="35"/>
        <v>0.0024092273017045783</v>
      </c>
      <c r="L130" s="76">
        <f t="shared" si="36"/>
        <v>0.0017642730918893338</v>
      </c>
      <c r="N130" s="157">
        <f t="shared" si="37"/>
        <v>0.02537776257163818</v>
      </c>
      <c r="O130" s="76">
        <f t="shared" si="38"/>
        <v>0.015270590348661687</v>
      </c>
      <c r="Q130" s="157">
        <f t="shared" si="39"/>
        <v>0.008540007752293901</v>
      </c>
      <c r="R130" s="76">
        <f t="shared" si="40"/>
        <v>0.018446490758509543</v>
      </c>
      <c r="T130" s="157">
        <f t="shared" si="41"/>
        <v>0.01647636582507829</v>
      </c>
      <c r="U130" s="76">
        <f t="shared" si="42"/>
        <v>0.009581322672580215</v>
      </c>
      <c r="W130" s="157">
        <f t="shared" si="43"/>
        <v>0.0005506015095132911</v>
      </c>
      <c r="X130" s="76">
        <f t="shared" si="44"/>
        <v>0.000548124916902869</v>
      </c>
      <c r="Z130" s="157">
        <f t="shared" si="45"/>
        <v>0.002585581515068109</v>
      </c>
      <c r="AA130" s="76">
        <f t="shared" si="46"/>
        <v>0.001663032043465267</v>
      </c>
      <c r="AC130" s="157">
        <f t="shared" si="47"/>
        <v>0.0041173915721328105</v>
      </c>
      <c r="AD130" s="76">
        <f t="shared" si="48"/>
        <v>0.002381810643736373</v>
      </c>
      <c r="AF130" s="208"/>
      <c r="AG130" s="154"/>
      <c r="AI130" s="157">
        <f t="shared" si="49"/>
        <v>0.004944319983631777</v>
      </c>
      <c r="AJ130" s="76">
        <f t="shared" si="50"/>
        <v>0.002859187071591079</v>
      </c>
      <c r="AL130" s="157">
        <f t="shared" si="51"/>
        <v>0.012452290865541962</v>
      </c>
      <c r="AM130" s="76">
        <f t="shared" si="52"/>
        <v>0.0070992472945613574</v>
      </c>
      <c r="AO130" s="157">
        <f t="shared" si="53"/>
        <v>0.00010859195227002426</v>
      </c>
      <c r="AP130" s="76">
        <f t="shared" si="54"/>
        <v>7.271549621515382E-05</v>
      </c>
      <c r="AR130" s="163"/>
      <c r="AS130" s="164"/>
    </row>
    <row r="131" spans="3:45" ht="12.75">
      <c r="C131" s="105" t="s">
        <v>20</v>
      </c>
      <c r="D131" s="89" t="s">
        <v>137</v>
      </c>
      <c r="H131" s="157">
        <f t="shared" si="33"/>
        <v>0.14559656815151528</v>
      </c>
      <c r="I131" s="76">
        <f t="shared" si="34"/>
        <v>0.08550728294212717</v>
      </c>
      <c r="K131" s="157">
        <f t="shared" si="35"/>
        <v>0.0034792221861961745</v>
      </c>
      <c r="L131" s="76">
        <f t="shared" si="36"/>
        <v>0.0020061655842903434</v>
      </c>
      <c r="N131" s="157">
        <f t="shared" si="37"/>
        <v>0.02094143962122466</v>
      </c>
      <c r="O131" s="76">
        <f t="shared" si="38"/>
        <v>0.012280235322397174</v>
      </c>
      <c r="Q131" s="157">
        <f t="shared" si="39"/>
        <v>0.019323936346267927</v>
      </c>
      <c r="R131" s="76">
        <f t="shared" si="40"/>
        <v>0.017275394334521986</v>
      </c>
      <c r="T131" s="157">
        <f t="shared" si="41"/>
        <v>0.014735399248051596</v>
      </c>
      <c r="U131" s="76">
        <f t="shared" si="42"/>
        <v>0.00858665769321065</v>
      </c>
      <c r="W131" s="157">
        <f t="shared" si="43"/>
        <v>0.004768298871761847</v>
      </c>
      <c r="X131" s="76">
        <f t="shared" si="44"/>
        <v>0.0027781442669814857</v>
      </c>
      <c r="Z131" s="157">
        <f t="shared" si="45"/>
        <v>0.0006606465873982714</v>
      </c>
      <c r="AA131" s="76">
        <f t="shared" si="46"/>
        <v>0.0003821956540724924</v>
      </c>
      <c r="AC131" s="157">
        <f t="shared" si="47"/>
        <v>0.003449576428928363</v>
      </c>
      <c r="AD131" s="76">
        <f t="shared" si="48"/>
        <v>0.0020179752983304254</v>
      </c>
      <c r="AF131" s="208"/>
      <c r="AG131" s="154"/>
      <c r="AI131" s="157">
        <f t="shared" si="49"/>
        <v>0.004077671737371225</v>
      </c>
      <c r="AJ131" s="76">
        <f t="shared" si="50"/>
        <v>0.0023827688180527436</v>
      </c>
      <c r="AL131" s="157">
        <f t="shared" si="51"/>
        <v>0.009375394672528648</v>
      </c>
      <c r="AM131" s="76">
        <f t="shared" si="52"/>
        <v>0.005407024852422657</v>
      </c>
      <c r="AO131" s="157">
        <f t="shared" si="53"/>
        <v>0.00028312902260134237</v>
      </c>
      <c r="AP131" s="76">
        <f t="shared" si="54"/>
        <v>0.00016620301102880967</v>
      </c>
      <c r="AR131" s="163"/>
      <c r="AS131" s="164"/>
    </row>
    <row r="132" spans="3:45" ht="12.75">
      <c r="C132" s="105" t="s">
        <v>17</v>
      </c>
      <c r="D132" s="89" t="s">
        <v>137</v>
      </c>
      <c r="H132" s="157">
        <f t="shared" si="33"/>
        <v>0.11072489833300604</v>
      </c>
      <c r="I132" s="76">
        <f t="shared" si="34"/>
        <v>0.06486686334698129</v>
      </c>
      <c r="K132" s="157">
        <f t="shared" si="35"/>
        <v>0.005812654279082951</v>
      </c>
      <c r="L132" s="76">
        <f t="shared" si="36"/>
        <v>0.0033295772491032465</v>
      </c>
      <c r="N132" s="157">
        <f t="shared" si="37"/>
        <v>0.07768019566380958</v>
      </c>
      <c r="O132" s="76">
        <f t="shared" si="38"/>
        <v>0.04687727074607796</v>
      </c>
      <c r="Q132" s="157">
        <f t="shared" si="39"/>
        <v>0.020450391438509217</v>
      </c>
      <c r="R132" s="76">
        <f t="shared" si="40"/>
        <v>0.01951431119438806</v>
      </c>
      <c r="T132" s="157">
        <f t="shared" si="41"/>
        <v>0.019250323532361474</v>
      </c>
      <c r="U132" s="76">
        <f t="shared" si="42"/>
        <v>0.011402828470327395</v>
      </c>
      <c r="W132" s="157">
        <f t="shared" si="43"/>
        <v>0.011879473399268925</v>
      </c>
      <c r="X132" s="76">
        <f t="shared" si="44"/>
        <v>0.007116077897507665</v>
      </c>
      <c r="Z132" s="157">
        <f t="shared" si="45"/>
        <v>0.0005290333080666778</v>
      </c>
      <c r="AA132" s="76">
        <f t="shared" si="46"/>
        <v>0.00048628735438510136</v>
      </c>
      <c r="AC132" s="157">
        <f t="shared" si="47"/>
        <v>0.003550542688964975</v>
      </c>
      <c r="AD132" s="76">
        <f t="shared" si="48"/>
        <v>0.002080807060737381</v>
      </c>
      <c r="AF132" s="208"/>
      <c r="AG132" s="154"/>
      <c r="AI132" s="157">
        <f t="shared" si="49"/>
        <v>0.004234785624014697</v>
      </c>
      <c r="AJ132" s="76">
        <f t="shared" si="50"/>
        <v>0.0024795758370454095</v>
      </c>
      <c r="AL132" s="157">
        <f t="shared" si="51"/>
        <v>0.016687464972998903</v>
      </c>
      <c r="AM132" s="76">
        <f t="shared" si="52"/>
        <v>0.009573905544015611</v>
      </c>
      <c r="AO132" s="157">
        <f t="shared" si="53"/>
        <v>0.0012045949059891214</v>
      </c>
      <c r="AP132" s="76">
        <f t="shared" si="54"/>
        <v>0.0007184770932032317</v>
      </c>
      <c r="AR132" s="163"/>
      <c r="AS132" s="164"/>
    </row>
    <row r="133" spans="3:45" ht="13.5" thickBot="1">
      <c r="C133" s="105" t="s">
        <v>22</v>
      </c>
      <c r="D133" s="89" t="s">
        <v>137</v>
      </c>
      <c r="H133" s="157">
        <f t="shared" si="33"/>
        <v>0.039841743416037925</v>
      </c>
      <c r="I133" s="76">
        <f t="shared" si="34"/>
        <v>0.025881736728999818</v>
      </c>
      <c r="K133" s="157">
        <f t="shared" si="35"/>
        <v>0.0012348332725061301</v>
      </c>
      <c r="L133" s="76">
        <f t="shared" si="36"/>
        <v>0.0021558677870531697</v>
      </c>
      <c r="N133" s="157">
        <f t="shared" si="37"/>
        <v>0.007998687876550989</v>
      </c>
      <c r="O133" s="76">
        <f t="shared" si="38"/>
        <v>0.005284395451778644</v>
      </c>
      <c r="Q133" s="157">
        <f t="shared" si="39"/>
        <v>0.008540007752293901</v>
      </c>
      <c r="R133" s="76">
        <f t="shared" si="40"/>
        <v>0.018651190331143708</v>
      </c>
      <c r="T133" s="157">
        <f t="shared" si="41"/>
        <v>0.013427030582184031</v>
      </c>
      <c r="U133" s="76">
        <f t="shared" si="42"/>
        <v>0.008232881318725994</v>
      </c>
      <c r="W133" s="157">
        <f t="shared" si="43"/>
        <v>0.0006099993681458923</v>
      </c>
      <c r="X133" s="76">
        <f t="shared" si="44"/>
        <v>0.0006653235662738084</v>
      </c>
      <c r="Z133" s="157">
        <f t="shared" si="45"/>
        <v>0.0012831375026762142</v>
      </c>
      <c r="AA133" s="76">
        <f t="shared" si="46"/>
        <v>0.0008375131128980425</v>
      </c>
      <c r="AC133" s="157">
        <f t="shared" si="47"/>
        <v>0.0030322582918923427</v>
      </c>
      <c r="AD133" s="76">
        <f t="shared" si="48"/>
        <v>0.0018321691808147807</v>
      </c>
      <c r="AF133" s="208"/>
      <c r="AG133" s="154"/>
      <c r="AI133" s="157">
        <f t="shared" si="49"/>
        <v>0.004102150791319315</v>
      </c>
      <c r="AJ133" s="76">
        <f t="shared" si="50"/>
        <v>0.002456151972074615</v>
      </c>
      <c r="AL133" s="157">
        <f t="shared" si="51"/>
        <v>0.014964600449118036</v>
      </c>
      <c r="AM133" s="76">
        <f t="shared" si="52"/>
        <v>0.008764711761630493</v>
      </c>
      <c r="AO133" s="157">
        <f t="shared" si="53"/>
        <v>3.3680242733250095E-05</v>
      </c>
      <c r="AP133" s="76">
        <f t="shared" si="54"/>
        <v>4.5848810544812386E-05</v>
      </c>
      <c r="AR133" s="163"/>
      <c r="AS133" s="164"/>
    </row>
    <row r="134" spans="4:45" ht="13.5" thickTop="1">
      <c r="D134" s="89" t="s">
        <v>207</v>
      </c>
      <c r="G134" s="200"/>
      <c r="H134" s="203">
        <f>MAX(H126:H133)</f>
        <v>0.14559656815151528</v>
      </c>
      <c r="I134" s="204"/>
      <c r="J134" s="205"/>
      <c r="K134" s="203">
        <f>MAX(K126:K133)</f>
        <v>0.005812654279082951</v>
      </c>
      <c r="L134" s="204"/>
      <c r="M134" s="205"/>
      <c r="N134" s="203">
        <f>MAX(N126:N133)</f>
        <v>0.07768019566380958</v>
      </c>
      <c r="O134" s="204"/>
      <c r="P134" s="205"/>
      <c r="Q134" s="203">
        <f>MAX(Q126:Q133)</f>
        <v>0.03272046636543837</v>
      </c>
      <c r="R134" s="204"/>
      <c r="S134" s="205"/>
      <c r="T134" s="203">
        <f>MAX(T126:T133)</f>
        <v>0.028505559703710413</v>
      </c>
      <c r="U134" s="204"/>
      <c r="V134" s="205"/>
      <c r="W134" s="203">
        <f>MAX(W126:W133)</f>
        <v>0.011879473399268925</v>
      </c>
      <c r="X134" s="204"/>
      <c r="Y134" s="205"/>
      <c r="Z134" s="203">
        <f>MAX(Z126:Z133)</f>
        <v>0.004954992829277778</v>
      </c>
      <c r="AA134" s="204"/>
      <c r="AB134" s="205"/>
      <c r="AC134" s="203">
        <f>MAX(AC126:AC133)</f>
        <v>0.006849926333530702</v>
      </c>
      <c r="AD134" s="204"/>
      <c r="AE134" s="205"/>
      <c r="AF134" s="203"/>
      <c r="AG134" s="204"/>
      <c r="AH134" s="205"/>
      <c r="AI134" s="203">
        <f>MAX(AI126:AI133)</f>
        <v>0.00510487497422685</v>
      </c>
      <c r="AJ134" s="204"/>
      <c r="AK134" s="205"/>
      <c r="AL134" s="203">
        <f>MAX(AL126:AL133)</f>
        <v>0.040819348127287367</v>
      </c>
      <c r="AM134" s="202"/>
      <c r="AN134" s="205"/>
      <c r="AO134" s="207">
        <f>MAX(AO126:AO133)</f>
        <v>0.0012045949059891214</v>
      </c>
      <c r="AP134" s="204"/>
      <c r="AQ134" s="205"/>
      <c r="AR134" s="203"/>
      <c r="AS134" s="202"/>
    </row>
    <row r="135" spans="4:45" ht="12.75">
      <c r="D135" s="89" t="s">
        <v>208</v>
      </c>
      <c r="H135" s="119">
        <f>MIN(H126:H133)</f>
        <v>0.017926855218466604</v>
      </c>
      <c r="I135" s="84"/>
      <c r="J135" s="206"/>
      <c r="K135" s="96">
        <f>MIN(K126:K133)</f>
        <v>0.0012348332725061301</v>
      </c>
      <c r="L135" s="84"/>
      <c r="M135" s="206"/>
      <c r="N135" s="119">
        <f>MIN(N126:N133)</f>
        <v>0.007998687876550989</v>
      </c>
      <c r="O135" s="84"/>
      <c r="P135" s="206"/>
      <c r="Q135" s="119">
        <f>MIN(Q126:Q133)</f>
        <v>0.008540007752293901</v>
      </c>
      <c r="R135" s="84"/>
      <c r="S135" s="206"/>
      <c r="T135" s="119">
        <f>MIN(T126:T133)</f>
        <v>0.013427030582184031</v>
      </c>
      <c r="U135" s="84"/>
      <c r="V135" s="206"/>
      <c r="W135" s="119">
        <f>MIN(W126:W133)</f>
        <v>0.0004780185889890842</v>
      </c>
      <c r="X135" s="84"/>
      <c r="Y135" s="206"/>
      <c r="Z135" s="119">
        <f>MIN(Z126:Z133)</f>
        <v>0.00017836805300230812</v>
      </c>
      <c r="AA135" s="84"/>
      <c r="AB135" s="206"/>
      <c r="AC135" s="119">
        <f>MIN(AC126:AC133)</f>
        <v>0.0030322582918923427</v>
      </c>
      <c r="AD135" s="84"/>
      <c r="AE135" s="206"/>
      <c r="AF135" s="119"/>
      <c r="AG135" s="84"/>
      <c r="AH135" s="206"/>
      <c r="AI135" s="119">
        <f>MIN(AI126:AI133)</f>
        <v>0.003765603661931773</v>
      </c>
      <c r="AJ135" s="84"/>
      <c r="AK135" s="206"/>
      <c r="AL135" s="119">
        <f>MIN(AL126:AL133)</f>
        <v>0.009375394672528648</v>
      </c>
      <c r="AM135" s="88"/>
      <c r="AN135" s="206"/>
      <c r="AO135" s="157">
        <f>MIN(AO126:AO133)</f>
        <v>1.7080015504587803E-05</v>
      </c>
      <c r="AP135" s="84"/>
      <c r="AQ135" s="206"/>
      <c r="AR135" s="119"/>
      <c r="AS135" s="88"/>
    </row>
    <row r="136" spans="3:45" ht="12.75">
      <c r="C136" s="105"/>
      <c r="H136" s="96"/>
      <c r="I136" s="96"/>
      <c r="J136" s="78"/>
      <c r="K136" s="96"/>
      <c r="L136" s="96"/>
      <c r="M136" s="78"/>
      <c r="N136" s="96"/>
      <c r="O136" s="96"/>
      <c r="P136" s="78"/>
      <c r="Q136" s="96"/>
      <c r="R136" s="96"/>
      <c r="S136" s="78"/>
      <c r="T136" s="96"/>
      <c r="U136" s="96"/>
      <c r="V136" s="78"/>
      <c r="W136" s="96"/>
      <c r="X136" s="96"/>
      <c r="Y136" s="78"/>
      <c r="Z136" s="120"/>
      <c r="AA136" s="120"/>
      <c r="AB136" s="78"/>
      <c r="AC136" s="96"/>
      <c r="AD136" s="96"/>
      <c r="AE136" s="78"/>
      <c r="AF136" s="123"/>
      <c r="AG136" s="123"/>
      <c r="AH136" s="135"/>
      <c r="AI136" s="123"/>
      <c r="AJ136" s="123"/>
      <c r="AK136" s="135"/>
      <c r="AL136" s="123"/>
      <c r="AM136" s="123"/>
      <c r="AN136" s="135"/>
      <c r="AO136" s="123"/>
      <c r="AP136" s="123"/>
      <c r="AQ136" s="135"/>
      <c r="AR136" s="123"/>
      <c r="AS136" s="124"/>
    </row>
    <row r="137" spans="3:45" ht="12.75">
      <c r="C137" s="105"/>
      <c r="H137" s="96"/>
      <c r="I137" s="96"/>
      <c r="J137" s="78"/>
      <c r="K137" s="96"/>
      <c r="L137" s="96"/>
      <c r="M137" s="78"/>
      <c r="N137" s="96"/>
      <c r="O137" s="96"/>
      <c r="P137" s="78"/>
      <c r="Q137" s="96"/>
      <c r="R137" s="96"/>
      <c r="S137" s="78"/>
      <c r="T137" s="96"/>
      <c r="U137" s="96"/>
      <c r="V137" s="78"/>
      <c r="W137" s="96"/>
      <c r="X137" s="96"/>
      <c r="Y137" s="78"/>
      <c r="Z137" s="120"/>
      <c r="AA137" s="120"/>
      <c r="AB137" s="78"/>
      <c r="AC137" s="96"/>
      <c r="AD137" s="96"/>
      <c r="AE137" s="78"/>
      <c r="AF137" s="123"/>
      <c r="AG137" s="123"/>
      <c r="AH137" s="135"/>
      <c r="AI137" s="123"/>
      <c r="AJ137" s="123"/>
      <c r="AK137" s="135"/>
      <c r="AL137" s="123"/>
      <c r="AM137" s="123"/>
      <c r="AN137" s="135"/>
      <c r="AO137" s="123"/>
      <c r="AP137" s="123"/>
      <c r="AQ137" s="135"/>
      <c r="AR137" s="123"/>
      <c r="AS137" s="124"/>
    </row>
    <row r="138" spans="1:45" s="175" customFormat="1" ht="12.75">
      <c r="A138" s="170"/>
      <c r="B138" s="170"/>
      <c r="C138" s="171"/>
      <c r="D138" s="170"/>
      <c r="E138" s="170"/>
      <c r="F138" s="170"/>
      <c r="G138" s="172"/>
      <c r="H138" s="170"/>
      <c r="I138" s="173"/>
      <c r="J138" s="172"/>
      <c r="K138" s="170"/>
      <c r="L138" s="173"/>
      <c r="M138" s="172"/>
      <c r="N138" s="170"/>
      <c r="O138" s="173"/>
      <c r="P138" s="172"/>
      <c r="Q138" s="170"/>
      <c r="R138" s="173"/>
      <c r="S138" s="174"/>
      <c r="T138" s="170"/>
      <c r="U138" s="173"/>
      <c r="V138" s="172"/>
      <c r="W138" s="170"/>
      <c r="X138" s="173"/>
      <c r="Y138" s="172"/>
      <c r="Z138" s="170"/>
      <c r="AA138" s="173"/>
      <c r="AB138" s="172"/>
      <c r="AC138" s="170"/>
      <c r="AD138" s="173"/>
      <c r="AE138" s="172"/>
      <c r="AF138" s="170"/>
      <c r="AG138" s="173"/>
      <c r="AH138" s="172"/>
      <c r="AI138" s="170"/>
      <c r="AJ138" s="173"/>
      <c r="AK138" s="172"/>
      <c r="AL138" s="170"/>
      <c r="AM138" s="173"/>
      <c r="AN138" s="172"/>
      <c r="AO138" s="170"/>
      <c r="AP138" s="170"/>
      <c r="AQ138" s="172"/>
      <c r="AR138" s="170"/>
      <c r="AS138" s="173"/>
    </row>
    <row r="139" ht="13.5" thickBot="1"/>
    <row r="140" spans="1:2" ht="12.75">
      <c r="A140" s="66" t="s">
        <v>191</v>
      </c>
      <c r="B140" s="67"/>
    </row>
    <row r="141" spans="1:2" ht="12.75">
      <c r="A141" s="89" t="s">
        <v>209</v>
      </c>
      <c r="B141" s="89" t="s">
        <v>210</v>
      </c>
    </row>
    <row r="142" spans="1:2" ht="12.75">
      <c r="A142" s="75">
        <v>1.4</v>
      </c>
      <c r="B142" s="76">
        <f>0.2*A142</f>
        <v>0.27999999999999997</v>
      </c>
    </row>
    <row r="143" spans="1:2" ht="12.75">
      <c r="A143" s="75">
        <v>0</v>
      </c>
      <c r="B143" s="76">
        <f aca="true" t="shared" si="55" ref="B143:B149">0.2*A143</f>
        <v>0</v>
      </c>
    </row>
    <row r="144" spans="1:2" ht="12.75">
      <c r="A144" s="75">
        <v>3.5</v>
      </c>
      <c r="B144" s="76">
        <f t="shared" si="55"/>
        <v>0.7000000000000001</v>
      </c>
    </row>
    <row r="145" spans="1:2" ht="12.75">
      <c r="A145" s="75">
        <v>3.2</v>
      </c>
      <c r="B145" s="76">
        <f t="shared" si="55"/>
        <v>0.6400000000000001</v>
      </c>
    </row>
    <row r="146" spans="1:2" ht="12.75">
      <c r="A146" s="75">
        <v>1.2</v>
      </c>
      <c r="B146" s="76">
        <f t="shared" si="55"/>
        <v>0.24</v>
      </c>
    </row>
    <row r="147" spans="1:2" ht="12.75">
      <c r="A147" s="75">
        <v>2.3</v>
      </c>
      <c r="B147" s="76">
        <f t="shared" si="55"/>
        <v>0.45999999999999996</v>
      </c>
    </row>
    <row r="148" spans="1:2" ht="12.75">
      <c r="A148" s="75">
        <v>4</v>
      </c>
      <c r="B148" s="76">
        <f t="shared" si="55"/>
        <v>0.8</v>
      </c>
    </row>
    <row r="149" spans="1:2" ht="13.5" thickBot="1">
      <c r="A149" s="165">
        <v>2.8</v>
      </c>
      <c r="B149" s="166">
        <f t="shared" si="55"/>
        <v>0.5599999999999999</v>
      </c>
    </row>
    <row r="153" ht="12.75">
      <c r="W153" s="119"/>
    </row>
    <row r="154" ht="12.75">
      <c r="W154" s="119"/>
    </row>
    <row r="155" ht="12.75">
      <c r="W155" s="119"/>
    </row>
    <row r="156" ht="12.75">
      <c r="W156" s="119"/>
    </row>
    <row r="157" ht="12.75">
      <c r="W157" s="119"/>
    </row>
    <row r="158" ht="12.75">
      <c r="W158" s="119"/>
    </row>
    <row r="159" ht="12.75">
      <c r="W159" s="119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T135"/>
  <sheetViews>
    <sheetView workbookViewId="0" topLeftCell="A96">
      <selection activeCell="H125" sqref="H125"/>
    </sheetView>
  </sheetViews>
  <sheetFormatPr defaultColWidth="9.6640625" defaultRowHeight="15"/>
  <cols>
    <col min="1" max="1" width="11.5546875" style="89" customWidth="1"/>
    <col min="2" max="2" width="9.6640625" style="89" customWidth="1"/>
    <col min="3" max="3" width="5.4453125" style="106" customWidth="1"/>
    <col min="4" max="4" width="5.4453125" style="89" customWidth="1"/>
    <col min="5" max="5" width="6.3359375" style="89" customWidth="1"/>
    <col min="6" max="6" width="5.77734375" style="89" customWidth="1"/>
    <col min="7" max="7" width="2.4453125" style="75" customWidth="1"/>
    <col min="8" max="8" width="6.6640625" style="89" customWidth="1"/>
    <col min="9" max="9" width="6.6640625" style="76" customWidth="1"/>
    <col min="10" max="10" width="2.4453125" style="75" customWidth="1"/>
    <col min="11" max="11" width="6.6640625" style="89" customWidth="1"/>
    <col min="12" max="12" width="6.6640625" style="76" customWidth="1"/>
    <col min="13" max="13" width="2.4453125" style="75" customWidth="1"/>
    <col min="14" max="14" width="6.6640625" style="89" customWidth="1"/>
    <col min="15" max="15" width="6.6640625" style="76" customWidth="1"/>
    <col min="16" max="16" width="2.4453125" style="75" customWidth="1"/>
    <col min="17" max="17" width="6.6640625" style="89" customWidth="1"/>
    <col min="18" max="18" width="6.6640625" style="76" customWidth="1"/>
    <col min="19" max="19" width="2.4453125" style="75" customWidth="1"/>
    <col min="20" max="20" width="6.6640625" style="89" customWidth="1"/>
    <col min="21" max="21" width="6.6640625" style="76" customWidth="1"/>
    <col min="22" max="22" width="2.4453125" style="75" customWidth="1"/>
    <col min="23" max="23" width="6.6640625" style="89" customWidth="1"/>
    <col min="24" max="24" width="6.6640625" style="76" customWidth="1"/>
    <col min="25" max="25" width="2.4453125" style="75" customWidth="1"/>
    <col min="26" max="26" width="6.6640625" style="89" customWidth="1"/>
    <col min="27" max="27" width="6.6640625" style="76" customWidth="1"/>
    <col min="28" max="28" width="2.4453125" style="75" customWidth="1"/>
    <col min="29" max="29" width="6.6640625" style="89" customWidth="1"/>
    <col min="30" max="30" width="6.6640625" style="76" customWidth="1"/>
    <col min="31" max="31" width="2.4453125" style="75" customWidth="1"/>
    <col min="32" max="32" width="6.6640625" style="89" customWidth="1"/>
    <col min="33" max="33" width="6.6640625" style="76" customWidth="1"/>
    <col min="34" max="34" width="2.4453125" style="75" customWidth="1"/>
    <col min="35" max="35" width="6.6640625" style="89" customWidth="1"/>
    <col min="36" max="36" width="6.6640625" style="76" customWidth="1"/>
    <col min="37" max="37" width="2.4453125" style="75" customWidth="1"/>
    <col min="38" max="38" width="6.6640625" style="89" customWidth="1"/>
    <col min="39" max="39" width="6.6640625" style="76" customWidth="1"/>
    <col min="40" max="40" width="2.4453125" style="75" customWidth="1"/>
    <col min="41" max="42" width="6.6640625" style="89" customWidth="1"/>
    <col min="43" max="43" width="2.4453125" style="75" customWidth="1"/>
    <col min="44" max="44" width="6.6640625" style="89" customWidth="1"/>
    <col min="45" max="45" width="6.6640625" style="76" customWidth="1"/>
    <col min="46" max="16384" width="9.6640625" style="2" customWidth="1"/>
  </cols>
  <sheetData>
    <row r="1" spans="1:45" ht="12.75">
      <c r="A1" s="101" t="s">
        <v>0</v>
      </c>
      <c r="B1" s="101" t="s">
        <v>2</v>
      </c>
      <c r="C1" s="102" t="s">
        <v>3</v>
      </c>
      <c r="D1" s="101" t="s">
        <v>4</v>
      </c>
      <c r="E1" s="101" t="s">
        <v>23</v>
      </c>
      <c r="F1" s="89" t="s">
        <v>0</v>
      </c>
      <c r="G1" s="66" t="s">
        <v>180</v>
      </c>
      <c r="H1" s="109" t="s">
        <v>75</v>
      </c>
      <c r="I1" s="67" t="s">
        <v>167</v>
      </c>
      <c r="J1" s="66"/>
      <c r="K1" s="109" t="s">
        <v>76</v>
      </c>
      <c r="L1" s="67" t="s">
        <v>168</v>
      </c>
      <c r="M1" s="66"/>
      <c r="N1" s="109" t="s">
        <v>77</v>
      </c>
      <c r="O1" s="67" t="s">
        <v>169</v>
      </c>
      <c r="P1" s="66"/>
      <c r="Q1" s="109" t="s">
        <v>78</v>
      </c>
      <c r="R1" s="67" t="s">
        <v>170</v>
      </c>
      <c r="S1" s="66"/>
      <c r="T1" s="109" t="s">
        <v>79</v>
      </c>
      <c r="U1" s="67" t="s">
        <v>171</v>
      </c>
      <c r="V1" s="66"/>
      <c r="W1" s="109" t="s">
        <v>80</v>
      </c>
      <c r="X1" s="67" t="s">
        <v>172</v>
      </c>
      <c r="Y1" s="66"/>
      <c r="Z1" s="109" t="s">
        <v>81</v>
      </c>
      <c r="AA1" s="67" t="s">
        <v>173</v>
      </c>
      <c r="AB1" s="66"/>
      <c r="AC1" s="109" t="s">
        <v>82</v>
      </c>
      <c r="AD1" s="67" t="s">
        <v>174</v>
      </c>
      <c r="AE1" s="66"/>
      <c r="AF1" s="109" t="s">
        <v>83</v>
      </c>
      <c r="AG1" s="67" t="s">
        <v>179</v>
      </c>
      <c r="AH1" s="66"/>
      <c r="AI1" s="109" t="s">
        <v>84</v>
      </c>
      <c r="AJ1" s="67" t="s">
        <v>178</v>
      </c>
      <c r="AK1" s="66"/>
      <c r="AL1" s="109" t="s">
        <v>85</v>
      </c>
      <c r="AM1" s="67" t="s">
        <v>177</v>
      </c>
      <c r="AN1" s="66"/>
      <c r="AO1" s="109" t="s">
        <v>86</v>
      </c>
      <c r="AP1" s="109" t="s">
        <v>176</v>
      </c>
      <c r="AQ1" s="66"/>
      <c r="AR1" s="109" t="s">
        <v>87</v>
      </c>
      <c r="AS1" s="67" t="s">
        <v>175</v>
      </c>
    </row>
    <row r="2" spans="1:45" ht="12.75">
      <c r="A2" s="101" t="s">
        <v>92</v>
      </c>
      <c r="B2" s="33">
        <v>38246</v>
      </c>
      <c r="C2" s="35">
        <v>101</v>
      </c>
      <c r="D2" s="24" t="s">
        <v>43</v>
      </c>
      <c r="E2" s="103"/>
      <c r="F2" s="90"/>
      <c r="G2" s="68"/>
      <c r="H2" s="90"/>
      <c r="I2" s="69"/>
      <c r="J2" s="68"/>
      <c r="K2" s="90"/>
      <c r="L2" s="69"/>
      <c r="M2" s="68"/>
      <c r="N2" s="90"/>
      <c r="O2" s="69"/>
      <c r="P2" s="68"/>
      <c r="Q2" s="90"/>
      <c r="R2" s="69"/>
      <c r="S2" s="68"/>
      <c r="T2" s="90"/>
      <c r="U2" s="69"/>
      <c r="V2" s="68"/>
      <c r="W2" s="90"/>
      <c r="X2" s="69"/>
      <c r="Y2" s="68"/>
      <c r="Z2" s="90"/>
      <c r="AA2" s="69"/>
      <c r="AB2" s="68"/>
      <c r="AC2" s="90"/>
      <c r="AD2" s="69"/>
      <c r="AE2" s="68"/>
      <c r="AF2" s="90"/>
      <c r="AG2" s="69"/>
      <c r="AH2" s="68"/>
      <c r="AI2" s="90"/>
      <c r="AJ2" s="69"/>
      <c r="AK2" s="68"/>
      <c r="AL2" s="90"/>
      <c r="AM2" s="69"/>
      <c r="AN2" s="68"/>
      <c r="AO2" s="90"/>
      <c r="AP2" s="90"/>
      <c r="AQ2" s="68"/>
      <c r="AR2" s="90"/>
      <c r="AS2" s="69"/>
    </row>
    <row r="3" spans="1:45" ht="12.75">
      <c r="A3" s="101" t="s">
        <v>93</v>
      </c>
      <c r="B3" s="104">
        <v>38246</v>
      </c>
      <c r="C3" s="105">
        <v>101</v>
      </c>
      <c r="D3" s="101" t="s">
        <v>10</v>
      </c>
      <c r="E3" s="101" t="s">
        <v>11</v>
      </c>
      <c r="F3" s="89">
        <v>4085</v>
      </c>
      <c r="G3" s="68"/>
      <c r="H3" s="90"/>
      <c r="I3" s="69"/>
      <c r="J3" s="68"/>
      <c r="K3" s="97"/>
      <c r="L3" s="71"/>
      <c r="M3" s="70"/>
      <c r="N3" s="97"/>
      <c r="O3" s="71"/>
      <c r="P3" s="70"/>
      <c r="Q3" s="97"/>
      <c r="R3" s="71"/>
      <c r="S3" s="70"/>
      <c r="T3" s="97"/>
      <c r="U3" s="71"/>
      <c r="V3" s="70"/>
      <c r="W3" s="97"/>
      <c r="X3" s="71"/>
      <c r="Y3" s="70"/>
      <c r="Z3" s="97"/>
      <c r="AA3" s="71"/>
      <c r="AB3" s="70"/>
      <c r="AC3" s="97"/>
      <c r="AD3" s="71"/>
      <c r="AE3" s="70"/>
      <c r="AF3" s="97"/>
      <c r="AG3" s="71"/>
      <c r="AH3" s="70"/>
      <c r="AI3" s="97"/>
      <c r="AJ3" s="71"/>
      <c r="AK3" s="70"/>
      <c r="AL3" s="97"/>
      <c r="AM3" s="71"/>
      <c r="AN3" s="70"/>
      <c r="AO3" s="97"/>
      <c r="AP3" s="97"/>
      <c r="AQ3" s="70"/>
      <c r="AR3" s="97"/>
      <c r="AS3" s="71"/>
    </row>
    <row r="4" spans="1:45" ht="12.75">
      <c r="A4" s="101" t="s">
        <v>94</v>
      </c>
      <c r="B4" s="104">
        <v>38246</v>
      </c>
      <c r="C4" s="105">
        <v>101</v>
      </c>
      <c r="D4" s="101" t="s">
        <v>6</v>
      </c>
      <c r="E4" s="101" t="s">
        <v>7</v>
      </c>
      <c r="F4" s="89">
        <v>4091</v>
      </c>
      <c r="G4" s="110">
        <v>1</v>
      </c>
      <c r="H4" s="91">
        <f>'HNO3 Cold Leach'!G4/1000*'Horizon Thicknesses'!$J4</f>
        <v>2755.1545414795346</v>
      </c>
      <c r="I4" s="82">
        <f>'HNO3 Cold Leach'!G4/1000*'Horizon Thicknesses'!$L4</f>
        <v>810.5678958437368</v>
      </c>
      <c r="J4" s="112">
        <v>0</v>
      </c>
      <c r="K4" s="115">
        <f>K$48/1000*'Horizon Thicknesses'!$J4</f>
        <v>1.3733570981724466</v>
      </c>
      <c r="L4" s="116">
        <f>K$48/1000*'Horizon Thicknesses'!$L4</f>
        <v>0.40404237096257606</v>
      </c>
      <c r="M4" s="110">
        <v>1</v>
      </c>
      <c r="N4" s="91">
        <f>'HNO3 Cold Leach'!I4/1000*'Horizon Thicknesses'!$J4</f>
        <v>48.97975880461428</v>
      </c>
      <c r="O4" s="82">
        <f>'HNO3 Cold Leach'!I4/1000*'Horizon Thicknesses'!$L4</f>
        <v>14.40987045752796</v>
      </c>
      <c r="P4" s="110">
        <v>1</v>
      </c>
      <c r="Q4" s="98">
        <f>'HNO3 Cold Leach'!J4/1000*'Horizon Thicknesses'!$J4</f>
        <v>914.6683898470955</v>
      </c>
      <c r="R4" s="82">
        <f>'HNO3 Cold Leach'!J4/1000*'Horizon Thicknesses'!$L4</f>
        <v>269.09591494457595</v>
      </c>
      <c r="S4" s="110">
        <v>1</v>
      </c>
      <c r="T4" s="98">
        <f>'HNO3 Cold Leach'!K4/1000*'Horizon Thicknesses'!$J4</f>
        <v>7.454576898405875</v>
      </c>
      <c r="U4" s="82">
        <f>'HNO3 Cold Leach'!K4/1000*'Horizon Thicknesses'!$L4</f>
        <v>2.1931403919365455</v>
      </c>
      <c r="V4" s="110">
        <v>1</v>
      </c>
      <c r="W4" s="98">
        <f>'HNO3 Cold Leach'!L4/1000*'Horizon Thicknesses'!$J4</f>
        <v>17.943396004672103</v>
      </c>
      <c r="X4" s="82">
        <f>'HNO3 Cold Leach'!L4/1000*'Horizon Thicknesses'!$L4</f>
        <v>5.278956415993849</v>
      </c>
      <c r="Y4" s="110">
        <v>1</v>
      </c>
      <c r="Z4" s="98">
        <f>'HNO3 Cold Leach'!M4/1000*'Horizon Thicknesses'!$J4</f>
        <v>4.924704629807918</v>
      </c>
      <c r="AA4" s="82">
        <f>'HNO3 Cold Leach'!M4/1000*'Horizon Thicknesses'!$L4</f>
        <v>1.4488506576809619</v>
      </c>
      <c r="AB4" s="110">
        <v>1</v>
      </c>
      <c r="AC4" s="98">
        <f>'HNO3 Cold Leach'!N4/1000*'Horizon Thicknesses'!$J4</f>
        <v>2.331170031701557</v>
      </c>
      <c r="AD4" s="82">
        <f>'HNO3 Cold Leach'!N4/1000*'Horizon Thicknesses'!$L4</f>
        <v>0.6858314330475259</v>
      </c>
      <c r="AE4" s="112">
        <v>0</v>
      </c>
      <c r="AF4" s="99">
        <f>AF$48/1000*'Horizon Thicknesses'!$J4</f>
        <v>2.2889284969540773</v>
      </c>
      <c r="AG4" s="72">
        <f>AF$48/1000*'Horizon Thicknesses'!$L4</f>
        <v>0.6734039516042934</v>
      </c>
      <c r="AH4" s="110">
        <v>1</v>
      </c>
      <c r="AI4" s="98">
        <f>'HNO3 Cold Leach'!P4/1000*'Horizon Thicknesses'!$J4</f>
        <v>2.9758851387211904</v>
      </c>
      <c r="AJ4" s="80">
        <f>'HNO3 Cold Leach'!P4/1000*'Horizon Thicknesses'!$L4</f>
        <v>0.8755069520966107</v>
      </c>
      <c r="AK4" s="110">
        <v>1</v>
      </c>
      <c r="AL4" s="98">
        <f>'HNO3 Cold Leach'!Q4/1000*'Horizon Thicknesses'!$J4</f>
        <v>429.9654728185593</v>
      </c>
      <c r="AM4" s="80">
        <f>'HNO3 Cold Leach'!Q4/1000*'Horizon Thicknesses'!$L4</f>
        <v>126.49606522646883</v>
      </c>
      <c r="AN4" s="113">
        <v>1</v>
      </c>
      <c r="AO4" s="176">
        <f>'HNO3 Cold Leach'!R4/1000*'Horizon Thicknesses'!$J4</f>
        <v>0.03066315048952789</v>
      </c>
      <c r="AP4" s="176">
        <f>'HNO3 Cold Leach'!R4/1000*'Horizon Thicknesses'!$L4</f>
        <v>0.009021114786138066</v>
      </c>
      <c r="AQ4" s="113">
        <v>1</v>
      </c>
      <c r="AR4" s="176">
        <f>'HNO3 Cold Leach'!S4/1000*'Horizon Thicknesses'!$J4</f>
        <v>19.8980249332421</v>
      </c>
      <c r="AS4" s="183">
        <f>'HNO3 Cold Leach'!S4/1000*'Horizon Thicknesses'!$L4</f>
        <v>5.8540092611004875</v>
      </c>
    </row>
    <row r="5" spans="1:45" ht="12.75">
      <c r="A5" s="101" t="s">
        <v>95</v>
      </c>
      <c r="B5" s="104">
        <v>38246</v>
      </c>
      <c r="C5" s="105">
        <v>101</v>
      </c>
      <c r="D5" s="101" t="s">
        <v>8</v>
      </c>
      <c r="E5" s="101" t="s">
        <v>7</v>
      </c>
      <c r="F5" s="89">
        <v>4089</v>
      </c>
      <c r="G5" s="111"/>
      <c r="H5" s="92"/>
      <c r="I5" s="83"/>
      <c r="J5" s="111"/>
      <c r="K5" s="114"/>
      <c r="L5" s="81"/>
      <c r="M5" s="111"/>
      <c r="N5" s="92"/>
      <c r="O5" s="83"/>
      <c r="P5" s="111"/>
      <c r="Q5" s="97"/>
      <c r="R5" s="71"/>
      <c r="S5" s="111"/>
      <c r="T5" s="97"/>
      <c r="U5" s="71"/>
      <c r="V5" s="111"/>
      <c r="W5" s="97"/>
      <c r="X5" s="71"/>
      <c r="Y5" s="111"/>
      <c r="Z5" s="97"/>
      <c r="AA5" s="71"/>
      <c r="AB5" s="111"/>
      <c r="AC5" s="97"/>
      <c r="AD5" s="71"/>
      <c r="AE5" s="118"/>
      <c r="AF5" s="97"/>
      <c r="AG5" s="71"/>
      <c r="AH5" s="111"/>
      <c r="AI5" s="97"/>
      <c r="AJ5" s="71"/>
      <c r="AK5" s="111"/>
      <c r="AL5" s="97"/>
      <c r="AM5" s="71"/>
      <c r="AN5" s="111"/>
      <c r="AO5" s="97"/>
      <c r="AP5" s="97"/>
      <c r="AQ5" s="111"/>
      <c r="AR5" s="97"/>
      <c r="AS5" s="71"/>
    </row>
    <row r="6" spans="1:45" ht="12.75">
      <c r="A6" s="101" t="s">
        <v>96</v>
      </c>
      <c r="B6" s="104">
        <v>38245</v>
      </c>
      <c r="C6" s="105" t="s">
        <v>19</v>
      </c>
      <c r="D6" s="24" t="s">
        <v>43</v>
      </c>
      <c r="E6" s="103"/>
      <c r="F6" s="90"/>
      <c r="G6" s="111"/>
      <c r="H6" s="92"/>
      <c r="I6" s="83"/>
      <c r="J6" s="111"/>
      <c r="K6" s="114"/>
      <c r="L6" s="81"/>
      <c r="M6" s="111"/>
      <c r="N6" s="92"/>
      <c r="O6" s="83"/>
      <c r="P6" s="111"/>
      <c r="Q6" s="97"/>
      <c r="R6" s="71"/>
      <c r="S6" s="111"/>
      <c r="T6" s="97"/>
      <c r="U6" s="71"/>
      <c r="V6" s="111"/>
      <c r="W6" s="97"/>
      <c r="X6" s="71"/>
      <c r="Y6" s="111"/>
      <c r="Z6" s="97"/>
      <c r="AA6" s="71"/>
      <c r="AB6" s="111"/>
      <c r="AC6" s="97"/>
      <c r="AD6" s="71"/>
      <c r="AE6" s="118"/>
      <c r="AF6" s="97"/>
      <c r="AG6" s="71"/>
      <c r="AH6" s="111"/>
      <c r="AI6" s="97"/>
      <c r="AJ6" s="71"/>
      <c r="AK6" s="111"/>
      <c r="AL6" s="97"/>
      <c r="AM6" s="71"/>
      <c r="AN6" s="111"/>
      <c r="AO6" s="97"/>
      <c r="AP6" s="97"/>
      <c r="AQ6" s="111"/>
      <c r="AR6" s="97"/>
      <c r="AS6" s="71"/>
    </row>
    <row r="7" spans="1:45" ht="12.75">
      <c r="A7" s="101" t="s">
        <v>97</v>
      </c>
      <c r="B7" s="104">
        <v>38245</v>
      </c>
      <c r="C7" s="105" t="s">
        <v>19</v>
      </c>
      <c r="D7" s="101" t="s">
        <v>10</v>
      </c>
      <c r="E7" s="101" t="s">
        <v>11</v>
      </c>
      <c r="F7" s="89">
        <v>4009</v>
      </c>
      <c r="G7" s="111"/>
      <c r="H7" s="92"/>
      <c r="I7" s="83"/>
      <c r="J7" s="111"/>
      <c r="K7" s="114"/>
      <c r="L7" s="81"/>
      <c r="M7" s="111"/>
      <c r="N7" s="92"/>
      <c r="O7" s="83"/>
      <c r="P7" s="111"/>
      <c r="Q7" s="97"/>
      <c r="R7" s="71"/>
      <c r="S7" s="111"/>
      <c r="T7" s="97"/>
      <c r="U7" s="71"/>
      <c r="V7" s="111"/>
      <c r="W7" s="97"/>
      <c r="X7" s="71"/>
      <c r="Y7" s="111"/>
      <c r="Z7" s="97"/>
      <c r="AA7" s="71"/>
      <c r="AB7" s="111"/>
      <c r="AC7" s="97"/>
      <c r="AD7" s="71"/>
      <c r="AE7" s="118"/>
      <c r="AF7" s="97"/>
      <c r="AG7" s="71"/>
      <c r="AH7" s="111"/>
      <c r="AI7" s="97"/>
      <c r="AJ7" s="71"/>
      <c r="AK7" s="111"/>
      <c r="AL7" s="97"/>
      <c r="AM7" s="71"/>
      <c r="AN7" s="111"/>
      <c r="AO7" s="97"/>
      <c r="AP7" s="97"/>
      <c r="AQ7" s="111"/>
      <c r="AR7" s="97"/>
      <c r="AS7" s="71"/>
    </row>
    <row r="8" spans="1:45" ht="12.75">
      <c r="A8" s="101" t="s">
        <v>98</v>
      </c>
      <c r="B8" s="104">
        <v>38245</v>
      </c>
      <c r="C8" s="105" t="s">
        <v>19</v>
      </c>
      <c r="D8" s="101" t="s">
        <v>9</v>
      </c>
      <c r="E8" s="101" t="s">
        <v>7</v>
      </c>
      <c r="F8" s="89">
        <v>4007</v>
      </c>
      <c r="G8" s="110">
        <v>1</v>
      </c>
      <c r="H8" s="91">
        <f>'HNO3 Cold Leach'!G8/1000*'Horizon Thicknesses'!$J8</f>
        <v>23.189873471766138</v>
      </c>
      <c r="I8" s="82">
        <f>'HNO3 Cold Leach'!G8/1000*'Horizon Thicknesses'!$L8</f>
        <v>8.126311219353306</v>
      </c>
      <c r="J8" s="112">
        <v>0</v>
      </c>
      <c r="K8" s="115">
        <f>K$48/1000*'Horizon Thicknesses'!$J8</f>
        <v>0.25219415293002906</v>
      </c>
      <c r="L8" s="116">
        <f>K$48/1000*'Horizon Thicknesses'!$L8</f>
        <v>0.08837513395257503</v>
      </c>
      <c r="M8" s="113">
        <v>1</v>
      </c>
      <c r="N8" s="91">
        <f>'HNO3 Cold Leach'!I8/1000*'Horizon Thicknesses'!$J8</f>
        <v>0.5755312287247333</v>
      </c>
      <c r="O8" s="82">
        <f>'HNO3 Cold Leach'!I8/1000*'Horizon Thicknesses'!$L8</f>
        <v>0.2016805260610074</v>
      </c>
      <c r="P8" s="110">
        <v>1</v>
      </c>
      <c r="Q8" s="98">
        <f>'HNO3 Cold Leach'!J8/1000*'Horizon Thicknesses'!$J8</f>
        <v>14.38696493514404</v>
      </c>
      <c r="R8" s="77">
        <f>'HNO3 Cold Leach'!J8/1000*'Horizon Thicknesses'!$L8</f>
        <v>5.041552068287311</v>
      </c>
      <c r="S8" s="113">
        <v>1</v>
      </c>
      <c r="T8" s="98">
        <f>'HNO3 Cold Leach'!K8/1000*'Horizon Thicknesses'!$J8</f>
        <v>1.2286134618812654</v>
      </c>
      <c r="U8" s="77">
        <f>'HNO3 Cold Leach'!K8/1000*'Horizon Thicknesses'!$L8</f>
        <v>0.4305368622079785</v>
      </c>
      <c r="V8" s="112">
        <v>0</v>
      </c>
      <c r="W8" s="99">
        <f>W$48/1000*'Horizon Thicknesses'!$J8</f>
        <v>0.04203235882167151</v>
      </c>
      <c r="X8" s="72">
        <f>W$48/1000*'Horizon Thicknesses'!$L8</f>
        <v>0.014729188992095838</v>
      </c>
      <c r="Y8" s="112">
        <v>0</v>
      </c>
      <c r="Z8" s="99">
        <f>Z$48/1000*'Horizon Thicknesses'!$J8</f>
        <v>0.04203235882167151</v>
      </c>
      <c r="AA8" s="72">
        <f>Z$48/1000*'Horizon Thicknesses'!$L8</f>
        <v>0.014729188992095838</v>
      </c>
      <c r="AB8" s="113">
        <v>1</v>
      </c>
      <c r="AC8" s="98">
        <f>'HNO3 Cold Leach'!N8/1000*'Horizon Thicknesses'!$J8</f>
        <v>0.5354720559351567</v>
      </c>
      <c r="AD8" s="77">
        <f>'HNO3 Cold Leach'!N8/1000*'Horizon Thicknesses'!$L8</f>
        <v>0.18764279076787227</v>
      </c>
      <c r="AE8" s="112">
        <v>0</v>
      </c>
      <c r="AF8" s="99">
        <f>AF$48/1000*'Horizon Thicknesses'!$J8</f>
        <v>0.42032358821671506</v>
      </c>
      <c r="AG8" s="72">
        <f>AF$48/1000*'Horizon Thicknesses'!$L8</f>
        <v>0.14729188992095837</v>
      </c>
      <c r="AH8" s="113">
        <v>1</v>
      </c>
      <c r="AI8" s="98">
        <f>'HNO3 Cold Leach'!P8/1000*'Horizon Thicknesses'!$J8</f>
        <v>0.47820703010357407</v>
      </c>
      <c r="AJ8" s="77">
        <f>'HNO3 Cold Leach'!P8/1000*'Horizon Thicknesses'!$L8</f>
        <v>0.1675756945649405</v>
      </c>
      <c r="AK8" s="113">
        <v>1</v>
      </c>
      <c r="AL8" s="98">
        <f>'HNO3 Cold Leach'!Q8/1000*'Horizon Thicknesses'!$J8</f>
        <v>4.36998625205561</v>
      </c>
      <c r="AM8" s="77">
        <f>'HNO3 Cold Leach'!Q8/1000*'Horizon Thicknesses'!$L8</f>
        <v>1.5313523961972109</v>
      </c>
      <c r="AN8" s="112">
        <v>0</v>
      </c>
      <c r="AO8" s="99">
        <f>AO$48/1000*'Horizon Thicknesses'!$J8</f>
        <v>0.004203235882167151</v>
      </c>
      <c r="AP8" s="72">
        <f>AO$48/1000*'Horizon Thicknesses'!$L8</f>
        <v>0.0014729188992095837</v>
      </c>
      <c r="AQ8" s="113">
        <v>1</v>
      </c>
      <c r="AR8" s="176">
        <f>'HNO3 Cold Leach'!S8/1000*'Horizon Thicknesses'!$J8</f>
        <v>0.2783030236549792</v>
      </c>
      <c r="AS8" s="183">
        <f>'HNO3 Cold Leach'!S8/1000*'Horizon Thicknesses'!$L8</f>
        <v>0.0975243347602088</v>
      </c>
    </row>
    <row r="9" spans="1:45" ht="12.75">
      <c r="A9" s="101" t="s">
        <v>99</v>
      </c>
      <c r="B9" s="104">
        <v>38245</v>
      </c>
      <c r="C9" s="105" t="s">
        <v>19</v>
      </c>
      <c r="D9" s="101" t="s">
        <v>18</v>
      </c>
      <c r="E9" s="101" t="s">
        <v>7</v>
      </c>
      <c r="F9" s="89">
        <v>4001</v>
      </c>
      <c r="G9" s="110">
        <v>1</v>
      </c>
      <c r="H9" s="91">
        <f>'HNO3 Cold Leach'!G9/1000*'Horizon Thicknesses'!$J9</f>
        <v>173.08016943370325</v>
      </c>
      <c r="I9" s="82">
        <f>'HNO3 Cold Leach'!G9/1000*'Horizon Thicknesses'!$L9</f>
        <v>48.73130984055723</v>
      </c>
      <c r="J9" s="110">
        <v>1</v>
      </c>
      <c r="K9" s="100">
        <f>'HNO3 Cold Leach'!H9/1000*'Horizon Thicknesses'!$J9</f>
        <v>0.14256193230147615</v>
      </c>
      <c r="L9" s="80">
        <f>'HNO3 Cold Leach'!H9/1000*'Horizon Thicknesses'!$L9</f>
        <v>0.04013879647323115</v>
      </c>
      <c r="M9" s="110">
        <v>1</v>
      </c>
      <c r="N9" s="91">
        <f>'HNO3 Cold Leach'!I9/1000*'Horizon Thicknesses'!$J9</f>
        <v>2.502624706751879</v>
      </c>
      <c r="O9" s="82">
        <f>'HNO3 Cold Leach'!I9/1000*'Horizon Thicknesses'!$L9</f>
        <v>0.7046224902505291</v>
      </c>
      <c r="P9" s="110">
        <v>1</v>
      </c>
      <c r="Q9" s="98">
        <f>'HNO3 Cold Leach'!J9/1000*'Horizon Thicknesses'!$J9</f>
        <v>106.93247195363567</v>
      </c>
      <c r="R9" s="77">
        <f>'HNO3 Cold Leach'!J9/1000*'Horizon Thicknesses'!$L9</f>
        <v>30.107200841314896</v>
      </c>
      <c r="S9" s="110">
        <v>1</v>
      </c>
      <c r="T9" s="98">
        <f>'HNO3 Cold Leach'!K9/1000*'Horizon Thicknesses'!$J9</f>
        <v>0.7260359964371915</v>
      </c>
      <c r="U9" s="77">
        <f>'HNO3 Cold Leach'!K9/1000*'Horizon Thicknesses'!$L9</f>
        <v>0.20441790190950052</v>
      </c>
      <c r="V9" s="110">
        <v>1</v>
      </c>
      <c r="W9" s="98">
        <f>'HNO3 Cold Leach'!L9/1000*'Horizon Thicknesses'!$J9</f>
        <v>0.28682652075542225</v>
      </c>
      <c r="X9" s="77">
        <f>'HNO3 Cold Leach'!L9/1000*'Horizon Thicknesses'!$L9</f>
        <v>0.080756981571915</v>
      </c>
      <c r="Y9" s="110">
        <v>1</v>
      </c>
      <c r="Z9" s="98">
        <f>'HNO3 Cold Leach'!M9/1000*'Horizon Thicknesses'!$J9</f>
        <v>0.3914227679567985</v>
      </c>
      <c r="AA9" s="77">
        <f>'HNO3 Cold Leach'!M9/1000*'Horizon Thicknesses'!$L9</f>
        <v>0.11020641039560344</v>
      </c>
      <c r="AB9" s="110">
        <v>1</v>
      </c>
      <c r="AC9" s="98">
        <f>'HNO3 Cold Leach'!N9/1000*'Horizon Thicknesses'!$J9</f>
        <v>0.23572254917747262</v>
      </c>
      <c r="AD9" s="77">
        <f>'HNO3 Cold Leach'!N9/1000*'Horizon Thicknesses'!$L9</f>
        <v>0.06636848471987093</v>
      </c>
      <c r="AE9" s="112">
        <v>0</v>
      </c>
      <c r="AF9" s="99">
        <f>AF$48/1000*'Horizon Thicknesses'!$J9</f>
        <v>0.1624873833684663</v>
      </c>
      <c r="AG9" s="72">
        <f>AF$48/1000*'Horizon Thicknesses'!$L9</f>
        <v>0.045748874928985654</v>
      </c>
      <c r="AH9" s="110">
        <v>1</v>
      </c>
      <c r="AI9" s="98">
        <f>'HNO3 Cold Leach'!P9/1000*'Horizon Thicknesses'!$J9</f>
        <v>0.222505729459446</v>
      </c>
      <c r="AJ9" s="77">
        <f>'HNO3 Cold Leach'!P9/1000*'Horizon Thicknesses'!$L9</f>
        <v>0.06264724421673722</v>
      </c>
      <c r="AK9" s="110">
        <v>1</v>
      </c>
      <c r="AL9" s="98">
        <f>'HNO3 Cold Leach'!Q9/1000*'Horizon Thicknesses'!$J9</f>
        <v>23.281348518408826</v>
      </c>
      <c r="AM9" s="77">
        <f>'HNO3 Cold Leach'!Q9/1000*'Horizon Thicknesses'!$L9</f>
        <v>6.554942786736466</v>
      </c>
      <c r="AN9" s="110">
        <v>1</v>
      </c>
      <c r="AO9" s="98">
        <f>'HNO3 Cold Leach'!R9/1000*'Horizon Thicknesses'!$J9</f>
        <v>0.017022960901007956</v>
      </c>
      <c r="AP9" s="98">
        <f>'HNO3 Cold Leach'!R9/1000*'Horizon Thicknesses'!$L9</f>
        <v>0.00479287248669156</v>
      </c>
      <c r="AQ9" s="113">
        <v>1</v>
      </c>
      <c r="AR9" s="176">
        <f>'HNO3 Cold Leach'!S9/1000*'Horizon Thicknesses'!$J9</f>
        <v>0.5377772145926324</v>
      </c>
      <c r="AS9" s="183">
        <f>'HNO3 Cold Leach'!S9/1000*'Horizon Thicknesses'!$L9</f>
        <v>0.15141300216685766</v>
      </c>
    </row>
    <row r="10" spans="1:45" ht="12.75">
      <c r="A10" s="101" t="s">
        <v>100</v>
      </c>
      <c r="B10" s="104">
        <v>38245</v>
      </c>
      <c r="C10" s="105" t="s">
        <v>19</v>
      </c>
      <c r="D10" s="101" t="s">
        <v>6</v>
      </c>
      <c r="E10" s="101" t="s">
        <v>7</v>
      </c>
      <c r="F10" s="89">
        <v>4003</v>
      </c>
      <c r="G10" s="110">
        <v>1</v>
      </c>
      <c r="H10" s="91">
        <f>'HNO3 Cold Leach'!G10/1000*'Horizon Thicknesses'!$J10</f>
        <v>3518.19131908861</v>
      </c>
      <c r="I10" s="82">
        <f>'HNO3 Cold Leach'!G10/1000*'Horizon Thicknesses'!$L10</f>
        <v>990.5587209084435</v>
      </c>
      <c r="J10" s="112">
        <v>0</v>
      </c>
      <c r="K10" s="115">
        <f>K$48/1000*'Horizon Thicknesses'!$J10</f>
        <v>1.4380133428109267</v>
      </c>
      <c r="L10" s="116">
        <f>K$48/1000*'Horizon Thicknesses'!$L10</f>
        <v>0.4048775431215231</v>
      </c>
      <c r="M10" s="110">
        <v>1</v>
      </c>
      <c r="N10" s="91">
        <f>'HNO3 Cold Leach'!I10/1000*'Horizon Thicknesses'!$J10</f>
        <v>7.093407213901003</v>
      </c>
      <c r="O10" s="82">
        <f>'HNO3 Cold Leach'!I10/1000*'Horizon Thicknesses'!$L10</f>
        <v>1.9971729048847482</v>
      </c>
      <c r="P10" s="110">
        <v>1</v>
      </c>
      <c r="Q10" s="98">
        <f>'HNO3 Cold Leach'!J10/1000*'Horizon Thicknesses'!$J10</f>
        <v>721.8313266512832</v>
      </c>
      <c r="R10" s="77">
        <f>'HNO3 Cold Leach'!J10/1000*'Horizon Thicknesses'!$L10</f>
        <v>203.2340628435652</v>
      </c>
      <c r="S10" s="110">
        <v>1</v>
      </c>
      <c r="T10" s="98">
        <f>'HNO3 Cold Leach'!K10/1000*'Horizon Thicknesses'!$J10</f>
        <v>9.000210748895057</v>
      </c>
      <c r="U10" s="77">
        <f>'HNO3 Cold Leach'!K10/1000*'Horizon Thicknesses'!$L10</f>
        <v>2.5340399195918124</v>
      </c>
      <c r="V10" s="110">
        <v>1</v>
      </c>
      <c r="W10" s="98">
        <f>'HNO3 Cold Leach'!L10/1000*'Horizon Thicknesses'!$J10</f>
        <v>1.6660858100930451</v>
      </c>
      <c r="X10" s="77">
        <f>'HNO3 Cold Leach'!L10/1000*'Horizon Thicknesses'!$L10</f>
        <v>0.4690921212883331</v>
      </c>
      <c r="Y10" s="110">
        <v>1</v>
      </c>
      <c r="Z10" s="98">
        <f>'HNO3 Cold Leach'!M10/1000*'Horizon Thicknesses'!$J10</f>
        <v>20.06638346440164</v>
      </c>
      <c r="AA10" s="77">
        <f>'HNO3 Cold Leach'!M10/1000*'Horizon Thicknesses'!$L10</f>
        <v>5.649758451142209</v>
      </c>
      <c r="AB10" s="110">
        <v>1</v>
      </c>
      <c r="AC10" s="98">
        <f>'HNO3 Cold Leach'!N10/1000*'Horizon Thicknesses'!$J10</f>
        <v>3.3547933254143483</v>
      </c>
      <c r="AD10" s="77">
        <f>'HNO3 Cold Leach'!N10/1000*'Horizon Thicknesses'!$L10</f>
        <v>0.9445534605535544</v>
      </c>
      <c r="AE10" s="112">
        <v>0</v>
      </c>
      <c r="AF10" s="99">
        <f>AF$48/1000*'Horizon Thicknesses'!$J10</f>
        <v>2.396688904684878</v>
      </c>
      <c r="AG10" s="72">
        <f>AF$48/1000*'Horizon Thicknesses'!$L10</f>
        <v>0.6747959052025384</v>
      </c>
      <c r="AH10" s="110">
        <v>1</v>
      </c>
      <c r="AI10" s="98">
        <f>'HNO3 Cold Leach'!P10/1000*'Horizon Thicknesses'!$J10</f>
        <v>3.2739753346839007</v>
      </c>
      <c r="AJ10" s="77">
        <f>'HNO3 Cold Leach'!P10/1000*'Horizon Thicknesses'!$L10</f>
        <v>0.9217988806391565</v>
      </c>
      <c r="AK10" s="110">
        <v>1</v>
      </c>
      <c r="AL10" s="98">
        <f>'HNO3 Cold Leach'!Q10/1000*'Horizon Thicknesses'!$J10</f>
        <v>500.4813002044307</v>
      </c>
      <c r="AM10" s="77">
        <f>'HNO3 Cold Leach'!Q10/1000*'Horizon Thicknesses'!$L10</f>
        <v>140.9122107371698</v>
      </c>
      <c r="AN10" s="112">
        <v>0</v>
      </c>
      <c r="AO10" s="99">
        <f>AO$48/1000*'Horizon Thicknesses'!$J10</f>
        <v>0.023966889046848776</v>
      </c>
      <c r="AP10" s="72">
        <f>AO$48/1000*'Horizon Thicknesses'!$L10</f>
        <v>0.0067479590520253836</v>
      </c>
      <c r="AQ10" s="113">
        <v>1</v>
      </c>
      <c r="AR10" s="176">
        <f>'HNO3 Cold Leach'!S10/1000*'Horizon Thicknesses'!$J10</f>
        <v>10.829600523335223</v>
      </c>
      <c r="AS10" s="183">
        <f>'HNO3 Cold Leach'!S10/1000*'Horizon Thicknesses'!$L10</f>
        <v>3.049110826958461</v>
      </c>
    </row>
    <row r="11" spans="1:45" ht="12.75">
      <c r="A11" s="101" t="s">
        <v>101</v>
      </c>
      <c r="B11" s="104">
        <v>38245</v>
      </c>
      <c r="C11" s="105" t="s">
        <v>19</v>
      </c>
      <c r="D11" s="101" t="s">
        <v>8</v>
      </c>
      <c r="E11" s="101" t="s">
        <v>7</v>
      </c>
      <c r="F11" s="89">
        <v>4005</v>
      </c>
      <c r="G11" s="111"/>
      <c r="H11" s="92"/>
      <c r="I11" s="83"/>
      <c r="J11" s="111"/>
      <c r="K11" s="114"/>
      <c r="L11" s="81"/>
      <c r="M11" s="111"/>
      <c r="N11" s="92"/>
      <c r="O11" s="83"/>
      <c r="P11" s="111"/>
      <c r="Q11" s="97"/>
      <c r="R11" s="71"/>
      <c r="S11" s="111"/>
      <c r="T11" s="97"/>
      <c r="U11" s="71"/>
      <c r="V11" s="111"/>
      <c r="W11" s="97"/>
      <c r="X11" s="71"/>
      <c r="Y11" s="111"/>
      <c r="Z11" s="97"/>
      <c r="AA11" s="71"/>
      <c r="AB11" s="111"/>
      <c r="AC11" s="97"/>
      <c r="AD11" s="71"/>
      <c r="AE11" s="118"/>
      <c r="AF11" s="97"/>
      <c r="AG11" s="71"/>
      <c r="AH11" s="111"/>
      <c r="AI11" s="97"/>
      <c r="AJ11" s="71"/>
      <c r="AK11" s="111"/>
      <c r="AL11" s="97"/>
      <c r="AM11" s="71"/>
      <c r="AN11" s="111"/>
      <c r="AO11" s="97"/>
      <c r="AP11" s="97"/>
      <c r="AQ11" s="111"/>
      <c r="AR11" s="97"/>
      <c r="AS11" s="71"/>
    </row>
    <row r="12" spans="1:45" ht="12.75">
      <c r="A12" s="101" t="s">
        <v>102</v>
      </c>
      <c r="B12" s="104">
        <v>38161</v>
      </c>
      <c r="C12" s="105" t="s">
        <v>5</v>
      </c>
      <c r="D12" s="24" t="s">
        <v>43</v>
      </c>
      <c r="E12" s="103"/>
      <c r="F12" s="90"/>
      <c r="G12" s="111"/>
      <c r="H12" s="92"/>
      <c r="I12" s="83"/>
      <c r="J12" s="111"/>
      <c r="K12" s="114"/>
      <c r="L12" s="81"/>
      <c r="M12" s="111"/>
      <c r="N12" s="92"/>
      <c r="O12" s="83"/>
      <c r="P12" s="111"/>
      <c r="Q12" s="97"/>
      <c r="R12" s="71"/>
      <c r="S12" s="111"/>
      <c r="T12" s="97"/>
      <c r="U12" s="71"/>
      <c r="V12" s="111"/>
      <c r="W12" s="97"/>
      <c r="X12" s="71"/>
      <c r="Y12" s="111"/>
      <c r="Z12" s="97"/>
      <c r="AA12" s="71"/>
      <c r="AB12" s="111"/>
      <c r="AC12" s="97"/>
      <c r="AD12" s="71"/>
      <c r="AE12" s="118"/>
      <c r="AF12" s="97"/>
      <c r="AG12" s="71"/>
      <c r="AH12" s="111"/>
      <c r="AI12" s="97"/>
      <c r="AJ12" s="71"/>
      <c r="AK12" s="111"/>
      <c r="AL12" s="97"/>
      <c r="AM12" s="71"/>
      <c r="AN12" s="111"/>
      <c r="AO12" s="97"/>
      <c r="AP12" s="97"/>
      <c r="AQ12" s="111"/>
      <c r="AR12" s="97"/>
      <c r="AS12" s="71"/>
    </row>
    <row r="13" spans="1:45" ht="12.75">
      <c r="A13" s="101" t="s">
        <v>103</v>
      </c>
      <c r="B13" s="104">
        <v>38161</v>
      </c>
      <c r="C13" s="105" t="s">
        <v>5</v>
      </c>
      <c r="D13" s="101" t="s">
        <v>10</v>
      </c>
      <c r="E13" s="101" t="s">
        <v>11</v>
      </c>
      <c r="F13" s="89">
        <v>4059</v>
      </c>
      <c r="G13" s="111"/>
      <c r="H13" s="92"/>
      <c r="I13" s="83"/>
      <c r="J13" s="111"/>
      <c r="K13" s="114"/>
      <c r="L13" s="81"/>
      <c r="M13" s="111"/>
      <c r="N13" s="92"/>
      <c r="O13" s="83"/>
      <c r="P13" s="111"/>
      <c r="Q13" s="97"/>
      <c r="R13" s="71"/>
      <c r="S13" s="111"/>
      <c r="T13" s="97"/>
      <c r="U13" s="71"/>
      <c r="V13" s="111"/>
      <c r="W13" s="97"/>
      <c r="X13" s="71"/>
      <c r="Y13" s="111"/>
      <c r="Z13" s="97"/>
      <c r="AA13" s="71"/>
      <c r="AB13" s="111"/>
      <c r="AC13" s="97"/>
      <c r="AD13" s="71"/>
      <c r="AE13" s="118"/>
      <c r="AF13" s="97"/>
      <c r="AG13" s="71"/>
      <c r="AH13" s="111"/>
      <c r="AI13" s="97"/>
      <c r="AJ13" s="71"/>
      <c r="AK13" s="111"/>
      <c r="AL13" s="97"/>
      <c r="AM13" s="71"/>
      <c r="AN13" s="111"/>
      <c r="AO13" s="97"/>
      <c r="AP13" s="97"/>
      <c r="AQ13" s="111"/>
      <c r="AR13" s="97"/>
      <c r="AS13" s="71"/>
    </row>
    <row r="14" spans="1:45" ht="12.75">
      <c r="A14" s="101" t="s">
        <v>104</v>
      </c>
      <c r="B14" s="104">
        <v>38161</v>
      </c>
      <c r="C14" s="105" t="s">
        <v>5</v>
      </c>
      <c r="D14" s="101" t="s">
        <v>9</v>
      </c>
      <c r="E14" s="101" t="s">
        <v>7</v>
      </c>
      <c r="F14" s="89">
        <v>4057</v>
      </c>
      <c r="G14" s="110">
        <v>1</v>
      </c>
      <c r="H14" s="91">
        <f>'HNO3 Cold Leach'!G14/1000*'Horizon Thicknesses'!$J14</f>
        <v>3.9471728980890703</v>
      </c>
      <c r="I14" s="82">
        <f>'HNO3 Cold Leach'!G14/1000*'Horizon Thicknesses'!$L14</f>
        <v>1.4941882637927533</v>
      </c>
      <c r="J14" s="112">
        <v>0</v>
      </c>
      <c r="K14" s="115">
        <f>K$48/1000*'Horizon Thicknesses'!$J14</f>
        <v>0.07162993216568768</v>
      </c>
      <c r="L14" s="116">
        <f>K$48/1000*'Horizon Thicknesses'!$L14</f>
        <v>0.027115256093812594</v>
      </c>
      <c r="M14" s="113">
        <v>1</v>
      </c>
      <c r="N14" s="91">
        <f>'HNO3 Cold Leach'!I14/1000*'Horizon Thicknesses'!$J14</f>
        <v>0.12207703223835474</v>
      </c>
      <c r="O14" s="82">
        <f>'HNO3 Cold Leach'!I14/1000*'Horizon Thicknesses'!$L14</f>
        <v>0.04621182642835504</v>
      </c>
      <c r="P14" s="110">
        <v>1</v>
      </c>
      <c r="Q14" s="98">
        <f>'HNO3 Cold Leach'!J14/1000*'Horizon Thicknesses'!$J14</f>
        <v>3.65580579292562</v>
      </c>
      <c r="R14" s="77">
        <f>'HNO3 Cold Leach'!J14/1000*'Horizon Thicknesses'!$L14</f>
        <v>1.38389228228121</v>
      </c>
      <c r="S14" s="113">
        <v>1</v>
      </c>
      <c r="T14" s="98">
        <f>'HNO3 Cold Leach'!K14/1000*'Horizon Thicknesses'!$J14</f>
        <v>0.37169239063748966</v>
      </c>
      <c r="U14" s="77">
        <f>'HNO3 Cold Leach'!K14/1000*'Horizon Thicknesses'!$L14</f>
        <v>0.1407028326781636</v>
      </c>
      <c r="V14" s="112">
        <v>0</v>
      </c>
      <c r="W14" s="99">
        <f>W$48/1000*'Horizon Thicknesses'!$J14</f>
        <v>0.011938322027614613</v>
      </c>
      <c r="X14" s="72">
        <f>W$48/1000*'Horizon Thicknesses'!$L14</f>
        <v>0.004519209348968765</v>
      </c>
      <c r="Y14" s="112">
        <v>0</v>
      </c>
      <c r="Z14" s="99">
        <f>Z$48/1000*'Horizon Thicknesses'!$J14</f>
        <v>0.011938322027614613</v>
      </c>
      <c r="AA14" s="72">
        <f>Z$48/1000*'Horizon Thicknesses'!$L14</f>
        <v>0.004519209348968765</v>
      </c>
      <c r="AB14" s="113">
        <v>1</v>
      </c>
      <c r="AC14" s="98">
        <f>'HNO3 Cold Leach'!N14/1000*'Horizon Thicknesses'!$J14</f>
        <v>0.13381343022321351</v>
      </c>
      <c r="AD14" s="77">
        <f>'HNO3 Cold Leach'!N14/1000*'Horizon Thicknesses'!$L14</f>
        <v>0.05065459814901281</v>
      </c>
      <c r="AE14" s="112">
        <v>0</v>
      </c>
      <c r="AF14" s="99">
        <f>AF$48/1000*'Horizon Thicknesses'!$J14</f>
        <v>0.11938322027614613</v>
      </c>
      <c r="AG14" s="72">
        <f>AF$48/1000*'Horizon Thicknesses'!$L14</f>
        <v>0.045192093489687654</v>
      </c>
      <c r="AH14" s="113">
        <v>1</v>
      </c>
      <c r="AI14" s="98">
        <f>'HNO3 Cold Leach'!P14/1000*'Horizon Thicknesses'!$J14</f>
        <v>0.14873748331205766</v>
      </c>
      <c r="AJ14" s="77">
        <f>'HNO3 Cold Leach'!P14/1000*'Horizon Thicknesses'!$L14</f>
        <v>0.05630404537347228</v>
      </c>
      <c r="AK14" s="113">
        <v>1</v>
      </c>
      <c r="AL14" s="98">
        <f>'HNO3 Cold Leach'!Q14/1000*'Horizon Thicknesses'!$J14</f>
        <v>0.6309960729098438</v>
      </c>
      <c r="AM14" s="77">
        <f>'HNO3 Cold Leach'!Q14/1000*'Horizon Thicknesses'!$L14</f>
        <v>0.23886131947694828</v>
      </c>
      <c r="AN14" s="112">
        <v>0</v>
      </c>
      <c r="AO14" s="99">
        <f>AO$48/1000*'Horizon Thicknesses'!$J14</f>
        <v>0.0011938322027614614</v>
      </c>
      <c r="AP14" s="72">
        <f>AO$48/1000*'Horizon Thicknesses'!$L14</f>
        <v>0.0004519209348968765</v>
      </c>
      <c r="AQ14" s="112">
        <v>0</v>
      </c>
      <c r="AR14" s="115">
        <f>AR$48/1000*'Horizon Thicknesses'!$J14</f>
        <v>0.059691610138073066</v>
      </c>
      <c r="AS14" s="116">
        <f>AR$48/1000*'Horizon Thicknesses'!$L14</f>
        <v>0.022596046744843827</v>
      </c>
    </row>
    <row r="15" spans="1:45" ht="12.75">
      <c r="A15" s="101" t="s">
        <v>105</v>
      </c>
      <c r="B15" s="104">
        <v>38161</v>
      </c>
      <c r="C15" s="105" t="s">
        <v>5</v>
      </c>
      <c r="D15" s="101" t="s">
        <v>6</v>
      </c>
      <c r="E15" s="101" t="s">
        <v>7</v>
      </c>
      <c r="F15" s="89">
        <v>4053</v>
      </c>
      <c r="G15" s="110">
        <v>1</v>
      </c>
      <c r="H15" s="91">
        <f>'HNO3 Cold Leach'!G15/1000*'Horizon Thicknesses'!$J15</f>
        <v>4133.290752959339</v>
      </c>
      <c r="I15" s="82">
        <f>'HNO3 Cold Leach'!G15/1000*'Horizon Thicknesses'!$L15</f>
        <v>1195.072615676796</v>
      </c>
      <c r="J15" s="112">
        <v>0</v>
      </c>
      <c r="K15" s="115">
        <f>K$48/1000*'Horizon Thicknesses'!$J15</f>
        <v>1.3748464885225686</v>
      </c>
      <c r="L15" s="116">
        <f>K$48/1000*'Horizon Thicknesses'!$L15</f>
        <v>0.397514108586807</v>
      </c>
      <c r="M15" s="110">
        <v>1</v>
      </c>
      <c r="N15" s="91">
        <f>'HNO3 Cold Leach'!I15/1000*'Horizon Thicknesses'!$J15</f>
        <v>8.44851973868312</v>
      </c>
      <c r="O15" s="82">
        <f>'HNO3 Cold Leach'!I15/1000*'Horizon Thicknesses'!$L15</f>
        <v>2.44274966029819</v>
      </c>
      <c r="P15" s="110">
        <v>1</v>
      </c>
      <c r="Q15" s="98">
        <f>'HNO3 Cold Leach'!J15/1000*'Horizon Thicknesses'!$J15</f>
        <v>676.1559876113276</v>
      </c>
      <c r="R15" s="77">
        <f>'HNO3 Cold Leach'!J15/1000*'Horizon Thicknesses'!$L15</f>
        <v>195.49931350501964</v>
      </c>
      <c r="S15" s="110">
        <v>1</v>
      </c>
      <c r="T15" s="98">
        <f>'HNO3 Cold Leach'!K15/1000*'Horizon Thicknesses'!$J15</f>
        <v>9.05407306230162</v>
      </c>
      <c r="U15" s="77">
        <f>'HNO3 Cold Leach'!K15/1000*'Horizon Thicknesses'!$L15</f>
        <v>2.6178353819765894</v>
      </c>
      <c r="V15" s="110">
        <v>1</v>
      </c>
      <c r="W15" s="98">
        <f>'HNO3 Cold Leach'!L15/1000*'Horizon Thicknesses'!$J15</f>
        <v>0.8470415843561239</v>
      </c>
      <c r="X15" s="77">
        <f>'HNO3 Cold Leach'!L15/1000*'Horizon Thicknesses'!$L15</f>
        <v>0.24490805566453905</v>
      </c>
      <c r="Y15" s="110">
        <v>1</v>
      </c>
      <c r="Z15" s="98">
        <f>'HNO3 Cold Leach'!M15/1000*'Horizon Thicknesses'!$J15</f>
        <v>6.990084549347236</v>
      </c>
      <c r="AA15" s="77">
        <f>'HNO3 Cold Leach'!M15/1000*'Horizon Thicknesses'!$L15</f>
        <v>2.021067262255706</v>
      </c>
      <c r="AB15" s="110">
        <v>1</v>
      </c>
      <c r="AC15" s="98">
        <f>'HNO3 Cold Leach'!N15/1000*'Horizon Thicknesses'!$J15</f>
        <v>2.8715941196633814</v>
      </c>
      <c r="AD15" s="77">
        <f>'HNO3 Cold Leach'!N15/1000*'Horizon Thicknesses'!$L15</f>
        <v>0.8302739151101725</v>
      </c>
      <c r="AE15" s="112">
        <v>0</v>
      </c>
      <c r="AF15" s="99">
        <f>AF$48/1000*'Horizon Thicknesses'!$J15</f>
        <v>2.291410814204281</v>
      </c>
      <c r="AG15" s="72">
        <f>AF$48/1000*'Horizon Thicknesses'!$L15</f>
        <v>0.662523514311345</v>
      </c>
      <c r="AH15" s="110">
        <v>1</v>
      </c>
      <c r="AI15" s="98">
        <f>'HNO3 Cold Leach'!P15/1000*'Horizon Thicknesses'!$J15</f>
        <v>3.1730752399777744</v>
      </c>
      <c r="AJ15" s="77">
        <f>'HNO3 Cold Leach'!P15/1000*'Horizon Thicknesses'!$L15</f>
        <v>0.9174421915672138</v>
      </c>
      <c r="AK15" s="110">
        <v>1</v>
      </c>
      <c r="AL15" s="98">
        <f>'HNO3 Cold Leach'!Q15/1000*'Horizon Thicknesses'!$J15</f>
        <v>498.5038110648265</v>
      </c>
      <c r="AM15" s="77">
        <f>'HNO3 Cold Leach'!Q15/1000*'Horizon Thicknesses'!$L15</f>
        <v>144.13412678204446</v>
      </c>
      <c r="AN15" s="112">
        <v>0</v>
      </c>
      <c r="AO15" s="99">
        <f>AO$48/1000*'Horizon Thicknesses'!$J15</f>
        <v>0.02291410814204281</v>
      </c>
      <c r="AP15" s="72">
        <f>AO$48/1000*'Horizon Thicknesses'!$L15</f>
        <v>0.00662523514311345</v>
      </c>
      <c r="AQ15" s="113">
        <v>1</v>
      </c>
      <c r="AR15" s="176">
        <f>'HNO3 Cold Leach'!S15/1000*'Horizon Thicknesses'!$J15</f>
        <v>6.651633520829283</v>
      </c>
      <c r="AS15" s="183">
        <f>'HNO3 Cold Leach'!S15/1000*'Horizon Thicknesses'!$L15</f>
        <v>1.9232097486898247</v>
      </c>
    </row>
    <row r="16" spans="1:45" ht="12.75">
      <c r="A16" s="101" t="s">
        <v>106</v>
      </c>
      <c r="B16" s="104">
        <v>38161</v>
      </c>
      <c r="C16" s="105" t="s">
        <v>5</v>
      </c>
      <c r="D16" s="101" t="s">
        <v>8</v>
      </c>
      <c r="E16" s="101" t="s">
        <v>7</v>
      </c>
      <c r="F16" s="89">
        <v>4055</v>
      </c>
      <c r="G16" s="111"/>
      <c r="H16" s="92"/>
      <c r="I16" s="83"/>
      <c r="J16" s="111"/>
      <c r="K16" s="114"/>
      <c r="L16" s="81"/>
      <c r="M16" s="111"/>
      <c r="N16" s="92"/>
      <c r="O16" s="83"/>
      <c r="P16" s="111"/>
      <c r="Q16" s="97"/>
      <c r="R16" s="71"/>
      <c r="S16" s="111"/>
      <c r="T16" s="97"/>
      <c r="U16" s="71"/>
      <c r="V16" s="111"/>
      <c r="W16" s="97"/>
      <c r="X16" s="71"/>
      <c r="Y16" s="111"/>
      <c r="Z16" s="97"/>
      <c r="AA16" s="71"/>
      <c r="AB16" s="111"/>
      <c r="AC16" s="97"/>
      <c r="AD16" s="71"/>
      <c r="AE16" s="118"/>
      <c r="AF16" s="97"/>
      <c r="AG16" s="71"/>
      <c r="AH16" s="111"/>
      <c r="AI16" s="97"/>
      <c r="AJ16" s="71"/>
      <c r="AK16" s="111"/>
      <c r="AL16" s="97"/>
      <c r="AM16" s="71"/>
      <c r="AN16" s="111"/>
      <c r="AO16" s="97"/>
      <c r="AP16" s="97"/>
      <c r="AQ16" s="111"/>
      <c r="AR16" s="97"/>
      <c r="AS16" s="71"/>
    </row>
    <row r="17" spans="1:45" ht="12.75">
      <c r="A17" s="101" t="s">
        <v>107</v>
      </c>
      <c r="B17" s="104">
        <v>38236</v>
      </c>
      <c r="C17" s="105" t="s">
        <v>21</v>
      </c>
      <c r="D17" s="24" t="s">
        <v>43</v>
      </c>
      <c r="E17" s="103"/>
      <c r="F17" s="90"/>
      <c r="G17" s="111"/>
      <c r="H17" s="92"/>
      <c r="I17" s="83"/>
      <c r="J17" s="111"/>
      <c r="K17" s="114"/>
      <c r="L17" s="81"/>
      <c r="M17" s="111"/>
      <c r="N17" s="92"/>
      <c r="O17" s="83"/>
      <c r="P17" s="111"/>
      <c r="Q17" s="97"/>
      <c r="R17" s="71"/>
      <c r="S17" s="111"/>
      <c r="T17" s="97"/>
      <c r="U17" s="71"/>
      <c r="V17" s="111"/>
      <c r="W17" s="97"/>
      <c r="X17" s="71"/>
      <c r="Y17" s="111"/>
      <c r="Z17" s="97"/>
      <c r="AA17" s="71"/>
      <c r="AB17" s="111"/>
      <c r="AC17" s="97"/>
      <c r="AD17" s="71"/>
      <c r="AE17" s="118"/>
      <c r="AF17" s="97"/>
      <c r="AG17" s="71"/>
      <c r="AH17" s="111"/>
      <c r="AI17" s="97"/>
      <c r="AJ17" s="71"/>
      <c r="AK17" s="111"/>
      <c r="AL17" s="97"/>
      <c r="AM17" s="71"/>
      <c r="AN17" s="111"/>
      <c r="AO17" s="97"/>
      <c r="AP17" s="97"/>
      <c r="AQ17" s="111"/>
      <c r="AR17" s="97"/>
      <c r="AS17" s="71"/>
    </row>
    <row r="18" spans="1:45" ht="12.75">
      <c r="A18" s="101" t="s">
        <v>108</v>
      </c>
      <c r="B18" s="104">
        <v>38236</v>
      </c>
      <c r="C18" s="105" t="s">
        <v>21</v>
      </c>
      <c r="D18" s="101" t="s">
        <v>10</v>
      </c>
      <c r="E18" s="101" t="s">
        <v>11</v>
      </c>
      <c r="F18" s="89">
        <v>4071</v>
      </c>
      <c r="G18" s="111"/>
      <c r="H18" s="92"/>
      <c r="I18" s="83"/>
      <c r="J18" s="111"/>
      <c r="K18" s="114"/>
      <c r="L18" s="81"/>
      <c r="M18" s="111"/>
      <c r="N18" s="92"/>
      <c r="O18" s="83"/>
      <c r="P18" s="111"/>
      <c r="Q18" s="97"/>
      <c r="R18" s="71"/>
      <c r="S18" s="111"/>
      <c r="T18" s="97"/>
      <c r="U18" s="71"/>
      <c r="V18" s="111"/>
      <c r="W18" s="97"/>
      <c r="X18" s="71"/>
      <c r="Y18" s="111"/>
      <c r="Z18" s="97"/>
      <c r="AA18" s="71"/>
      <c r="AB18" s="111"/>
      <c r="AC18" s="97"/>
      <c r="AD18" s="71"/>
      <c r="AE18" s="118"/>
      <c r="AF18" s="97"/>
      <c r="AG18" s="71"/>
      <c r="AH18" s="111"/>
      <c r="AI18" s="97"/>
      <c r="AJ18" s="71"/>
      <c r="AK18" s="111"/>
      <c r="AL18" s="97"/>
      <c r="AM18" s="71"/>
      <c r="AN18" s="111"/>
      <c r="AO18" s="97"/>
      <c r="AP18" s="97"/>
      <c r="AQ18" s="111"/>
      <c r="AR18" s="97"/>
      <c r="AS18" s="71"/>
    </row>
    <row r="19" spans="1:45" ht="12.75">
      <c r="A19" s="101" t="s">
        <v>109</v>
      </c>
      <c r="B19" s="104">
        <v>38236</v>
      </c>
      <c r="C19" s="105" t="s">
        <v>21</v>
      </c>
      <c r="D19" s="101" t="s">
        <v>9</v>
      </c>
      <c r="E19" s="101" t="s">
        <v>7</v>
      </c>
      <c r="F19" s="89">
        <v>4069</v>
      </c>
      <c r="G19" s="110">
        <v>1</v>
      </c>
      <c r="H19" s="91">
        <f>'HNO3 Cold Leach'!G19/1000*'Horizon Thicknesses'!$J19</f>
        <v>23.421915509732294</v>
      </c>
      <c r="I19" s="82">
        <f>'HNO3 Cold Leach'!G19/1000*'Horizon Thicknesses'!$L19</f>
        <v>8.866282824127188</v>
      </c>
      <c r="J19" s="112">
        <v>0</v>
      </c>
      <c r="K19" s="115">
        <f>K$48/1000*'Horizon Thicknesses'!$J19</f>
        <v>0.07162993216568768</v>
      </c>
      <c r="L19" s="116">
        <f>K$48/1000*'Horizon Thicknesses'!$L19</f>
        <v>0.027115256093812594</v>
      </c>
      <c r="M19" s="113">
        <v>1</v>
      </c>
      <c r="N19" s="91">
        <f>'HNO3 Cold Leach'!I19/1000*'Horizon Thicknesses'!$J19</f>
        <v>4.9626446773713155</v>
      </c>
      <c r="O19" s="82">
        <f>'HNO3 Cold Leach'!I19/1000*'Horizon Thicknesses'!$L19</f>
        <v>1.8785914946597986</v>
      </c>
      <c r="P19" s="110">
        <v>1</v>
      </c>
      <c r="Q19" s="98">
        <f>'HNO3 Cold Leach'!J19/1000*'Horizon Thicknesses'!$J19</f>
        <v>28.01340423569982</v>
      </c>
      <c r="R19" s="77">
        <f>'HNO3 Cold Leach'!J19/1000*'Horizon Thicknesses'!$L19</f>
        <v>10.604374553273075</v>
      </c>
      <c r="S19" s="113">
        <v>1</v>
      </c>
      <c r="T19" s="98">
        <f>'HNO3 Cold Leach'!K19/1000*'Horizon Thicknesses'!$J19</f>
        <v>0.4676089478999133</v>
      </c>
      <c r="U19" s="77">
        <f>'HNO3 Cold Leach'!K19/1000*'Horizon Thicknesses'!$L19</f>
        <v>0.17701170433521787</v>
      </c>
      <c r="V19" s="113">
        <v>1</v>
      </c>
      <c r="W19" s="98">
        <f>'HNO3 Cold Leach'!L19/1000*'Horizon Thicknesses'!$J19</f>
        <v>0.3992129503741765</v>
      </c>
      <c r="X19" s="77">
        <f>'HNO3 Cold Leach'!L19/1000*'Horizon Thicknesses'!$L19</f>
        <v>0.15112064269896927</v>
      </c>
      <c r="Y19" s="113">
        <v>1</v>
      </c>
      <c r="Z19" s="98">
        <f>'HNO3 Cold Leach'!M19/1000*'Horizon Thicknesses'!$J19</f>
        <v>1.0512003315761513</v>
      </c>
      <c r="AA19" s="77">
        <f>'HNO3 Cold Leach'!M19/1000*'Horizon Thicknesses'!$L19</f>
        <v>0.3979281472814502</v>
      </c>
      <c r="AB19" s="113">
        <v>1</v>
      </c>
      <c r="AC19" s="98">
        <f>'HNO3 Cold Leach'!N19/1000*'Horizon Thicknesses'!$J19</f>
        <v>0.19537202516593205</v>
      </c>
      <c r="AD19" s="77">
        <f>'HNO3 Cold Leach'!N19/1000*'Horizon Thicknesses'!$L19</f>
        <v>0.07395738535235827</v>
      </c>
      <c r="AE19" s="177">
        <v>1</v>
      </c>
      <c r="AF19" s="176">
        <f>'HNO3 Cold Leach'!Q19/1000*'Horizon Thicknesses'!$J19</f>
        <v>4.296318778396039</v>
      </c>
      <c r="AG19" s="178">
        <f>'HNO3 Cold Leach'!Q19/1000*'Horizon Thicknesses'!$L19</f>
        <v>1.626356195164299</v>
      </c>
      <c r="AH19" s="113">
        <v>1</v>
      </c>
      <c r="AI19" s="98">
        <f>'HNO3 Cold Leach'!P19/1000*'Horizon Thicknesses'!$J19</f>
        <v>0.1299118334122201</v>
      </c>
      <c r="AJ19" s="77">
        <f>'HNO3 Cold Leach'!P19/1000*'Horizon Thicknesses'!$L19</f>
        <v>0.049177662550914256</v>
      </c>
      <c r="AK19" s="113">
        <v>1</v>
      </c>
      <c r="AL19" s="98">
        <f>'HNO3 Cold Leach'!Q19/1000*'Horizon Thicknesses'!$J19</f>
        <v>4.296318778396039</v>
      </c>
      <c r="AM19" s="77">
        <f>'HNO3 Cold Leach'!Q19/1000*'Horizon Thicknesses'!$L19</f>
        <v>1.626356195164299</v>
      </c>
      <c r="AN19" s="113">
        <v>1</v>
      </c>
      <c r="AO19" s="176">
        <f>'HNO3 Cold Leach'!R19/1000*'Horizon Thicknesses'!$J19</f>
        <v>0.00487417964360824</v>
      </c>
      <c r="AP19" s="176">
        <f>'HNO3 Cold Leach'!R19/1000*'Horizon Thicknesses'!$L19</f>
        <v>0.0018451033707246114</v>
      </c>
      <c r="AQ19" s="113">
        <v>1</v>
      </c>
      <c r="AR19" s="176">
        <f>'HNO3 Cold Leach'!S19/1000*'Horizon Thicknesses'!$J19</f>
        <v>0.6577344677225051</v>
      </c>
      <c r="AS19" s="183">
        <f>'HNO3 Cold Leach'!S19/1000*'Horizon Thicknesses'!$L19</f>
        <v>0.24898304374726776</v>
      </c>
    </row>
    <row r="20" spans="1:45" ht="12.75">
      <c r="A20" s="101" t="s">
        <v>110</v>
      </c>
      <c r="B20" s="104">
        <v>38236</v>
      </c>
      <c r="C20" s="105" t="s">
        <v>21</v>
      </c>
      <c r="D20" s="101" t="s">
        <v>15</v>
      </c>
      <c r="E20" s="101" t="s">
        <v>7</v>
      </c>
      <c r="F20" s="89">
        <v>4063</v>
      </c>
      <c r="G20" s="110">
        <v>1</v>
      </c>
      <c r="H20" s="91">
        <f>'HNO3 Cold Leach'!G20/1000*'Horizon Thicknesses'!$J20</f>
        <v>2143.999737624493</v>
      </c>
      <c r="I20" s="82">
        <f>'HNO3 Cold Leach'!G20/1000*'Horizon Thicknesses'!$L20</f>
        <v>627.2116187898596</v>
      </c>
      <c r="J20" s="112">
        <v>0</v>
      </c>
      <c r="K20" s="115">
        <f>K$48/1000*'Horizon Thicknesses'!$J20</f>
        <v>0.9483171071803447</v>
      </c>
      <c r="L20" s="116">
        <f>K$48/1000*'Horizon Thicknesses'!$L20</f>
        <v>0.27742331189821967</v>
      </c>
      <c r="M20" s="110">
        <v>1</v>
      </c>
      <c r="N20" s="91">
        <f>'HNO3 Cold Leach'!I20/1000*'Horizon Thicknesses'!$J20</f>
        <v>3.8445607959480226</v>
      </c>
      <c r="O20" s="82">
        <f>'HNO3 Cold Leach'!I20/1000*'Horizon Thicknesses'!$L20</f>
        <v>1.1246984587014548</v>
      </c>
      <c r="P20" s="110">
        <v>1</v>
      </c>
      <c r="Q20" s="98">
        <f>'HNO3 Cold Leach'!J20/1000*'Horizon Thicknesses'!$J20</f>
        <v>407.0038743785185</v>
      </c>
      <c r="R20" s="77">
        <f>'HNO3 Cold Leach'!J20/1000*'Horizon Thicknesses'!$L20</f>
        <v>119.06604017850185</v>
      </c>
      <c r="S20" s="110">
        <v>1</v>
      </c>
      <c r="T20" s="98">
        <f>'HNO3 Cold Leach'!K20/1000*'Horizon Thicknesses'!$J20</f>
        <v>5.880117317616624</v>
      </c>
      <c r="U20" s="77">
        <f>'HNO3 Cold Leach'!K20/1000*'Horizon Thicknesses'!$L20</f>
        <v>1.7201857988765072</v>
      </c>
      <c r="V20" s="110">
        <v>1</v>
      </c>
      <c r="W20" s="98">
        <f>'HNO3 Cold Leach'!L20/1000*'Horizon Thicknesses'!$J20</f>
        <v>2.2545882482929387</v>
      </c>
      <c r="X20" s="77">
        <f>'HNO3 Cold Leach'!L20/1000*'Horizon Thicknesses'!$L20</f>
        <v>0.6595634878590078</v>
      </c>
      <c r="Y20" s="110">
        <v>1</v>
      </c>
      <c r="Z20" s="98">
        <f>'HNO3 Cold Leach'!M20/1000*'Horizon Thicknesses'!$J20</f>
        <v>0.31723642952816217</v>
      </c>
      <c r="AA20" s="77">
        <f>'HNO3 Cold Leach'!M20/1000*'Horizon Thicknesses'!$L20</f>
        <v>0.09280522334575157</v>
      </c>
      <c r="AB20" s="110">
        <v>1</v>
      </c>
      <c r="AC20" s="98">
        <f>'HNO3 Cold Leach'!N20/1000*'Horizon Thicknesses'!$J20</f>
        <v>2.308831216580991</v>
      </c>
      <c r="AD20" s="77">
        <f>'HNO3 Cold Leach'!N20/1000*'Horizon Thicknesses'!$L20</f>
        <v>0.6754318759706649</v>
      </c>
      <c r="AE20" s="112">
        <v>0</v>
      </c>
      <c r="AF20" s="99">
        <f>AF$48/1000*'Horizon Thicknesses'!$J20</f>
        <v>1.580528511967241</v>
      </c>
      <c r="AG20" s="72">
        <f>AF$48/1000*'Horizon Thicknesses'!$L20</f>
        <v>0.46237218649703277</v>
      </c>
      <c r="AH20" s="110">
        <v>1</v>
      </c>
      <c r="AI20" s="98">
        <f>'HNO3 Cold Leach'!P20/1000*'Horizon Thicknesses'!$J20</f>
        <v>2.360193705369385</v>
      </c>
      <c r="AJ20" s="77">
        <f>'HNO3 Cold Leach'!P20/1000*'Horizon Thicknesses'!$L20</f>
        <v>0.690457600635043</v>
      </c>
      <c r="AK20" s="110">
        <v>1</v>
      </c>
      <c r="AL20" s="98">
        <f>'HNO3 Cold Leach'!Q20/1000*'Horizon Thicknesses'!$J20</f>
        <v>339.8540330236113</v>
      </c>
      <c r="AM20" s="77">
        <f>'HNO3 Cold Leach'!Q20/1000*'Horizon Thicknesses'!$L20</f>
        <v>99.42183968789985</v>
      </c>
      <c r="AN20" s="112">
        <v>0</v>
      </c>
      <c r="AO20" s="99">
        <f>AO$48/1000*'Horizon Thicknesses'!$J20</f>
        <v>0.01580528511967241</v>
      </c>
      <c r="AP20" s="72">
        <f>AO$48/1000*'Horizon Thicknesses'!$L20</f>
        <v>0.004623721864970328</v>
      </c>
      <c r="AQ20" s="113">
        <v>1</v>
      </c>
      <c r="AR20" s="176">
        <f>'HNO3 Cold Leach'!S20/1000*'Horizon Thicknesses'!$J20</f>
        <v>6.313014813738066</v>
      </c>
      <c r="AS20" s="183">
        <f>'HNO3 Cold Leach'!S20/1000*'Horizon Thicknesses'!$L20</f>
        <v>1.8468268308447497</v>
      </c>
    </row>
    <row r="21" spans="1:45" ht="12.75">
      <c r="A21" s="101" t="s">
        <v>111</v>
      </c>
      <c r="B21" s="104">
        <v>38236</v>
      </c>
      <c r="C21" s="105" t="s">
        <v>21</v>
      </c>
      <c r="D21" s="101" t="s">
        <v>16</v>
      </c>
      <c r="E21" s="101" t="s">
        <v>7</v>
      </c>
      <c r="F21" s="89">
        <v>4065</v>
      </c>
      <c r="G21" s="110">
        <v>1</v>
      </c>
      <c r="H21" s="91">
        <f>'HNO3 Cold Leach'!G21/1000*'Horizon Thicknesses'!$J21</f>
        <v>747.7877001897118</v>
      </c>
      <c r="I21" s="82">
        <f>'HNO3 Cold Leach'!G21/1000*'Horizon Thicknesses'!$L21</f>
        <v>210.54216801457906</v>
      </c>
      <c r="J21" s="112">
        <v>0</v>
      </c>
      <c r="K21" s="115">
        <f>K$48/1000*'Horizon Thicknesses'!$J21</f>
        <v>0.9627377464581628</v>
      </c>
      <c r="L21" s="116">
        <f>K$48/1000*'Horizon Thicknesses'!$L21</f>
        <v>0.27106208395424003</v>
      </c>
      <c r="M21" s="110">
        <v>1</v>
      </c>
      <c r="N21" s="91">
        <f>'HNO3 Cold Leach'!I21/1000*'Horizon Thicknesses'!$J21</f>
        <v>6.012396847615074</v>
      </c>
      <c r="O21" s="82">
        <f>'HNO3 Cold Leach'!I21/1000*'Horizon Thicknesses'!$L21</f>
        <v>1.6928107629207492</v>
      </c>
      <c r="P21" s="110">
        <v>1</v>
      </c>
      <c r="Q21" s="98">
        <f>'HNO3 Cold Leach'!J21/1000*'Horizon Thicknesses'!$J21</f>
        <v>181.04486575872605</v>
      </c>
      <c r="R21" s="77">
        <f>'HNO3 Cold Leach'!J21/1000*'Horizon Thicknesses'!$L21</f>
        <v>50.973797155369475</v>
      </c>
      <c r="S21" s="110">
        <v>1</v>
      </c>
      <c r="T21" s="98">
        <f>'HNO3 Cold Leach'!K21/1000*'Horizon Thicknesses'!$J21</f>
        <v>6.819838870895035</v>
      </c>
      <c r="U21" s="77">
        <f>'HNO3 Cold Leach'!K21/1000*'Horizon Thicknesses'!$L21</f>
        <v>1.9201488083102525</v>
      </c>
      <c r="V21" s="110">
        <v>1</v>
      </c>
      <c r="W21" s="98">
        <f>'HNO3 Cold Leach'!L21/1000*'Horizon Thicknesses'!$J21</f>
        <v>4.162233476105127</v>
      </c>
      <c r="X21" s="77">
        <f>'HNO3 Cold Leach'!L21/1000*'Horizon Thicknesses'!$L21</f>
        <v>1.1718909787092107</v>
      </c>
      <c r="Y21" s="110">
        <v>1</v>
      </c>
      <c r="Z21" s="98">
        <f>'HNO3 Cold Leach'!M21/1000*'Horizon Thicknesses'!$J21</f>
        <v>0.5982425160948343</v>
      </c>
      <c r="AA21" s="77">
        <f>'HNO3 Cold Leach'!M21/1000*'Horizon Thicknesses'!$L21</f>
        <v>0.16843721326941935</v>
      </c>
      <c r="AB21" s="110">
        <v>1</v>
      </c>
      <c r="AC21" s="98">
        <f>'HNO3 Cold Leach'!N21/1000*'Horizon Thicknesses'!$J21</f>
        <v>2.757992827426842</v>
      </c>
      <c r="AD21" s="77">
        <f>'HNO3 Cold Leach'!N21/1000*'Horizon Thicknesses'!$L21</f>
        <v>0.7765222523823148</v>
      </c>
      <c r="AE21" s="177">
        <v>1</v>
      </c>
      <c r="AF21" s="176">
        <f>'HNO3 Cold Leach'!Q21/1000*'Horizon Thicknesses'!$J21</f>
        <v>208.58619562084706</v>
      </c>
      <c r="AG21" s="178">
        <f>'HNO3 Cold Leach'!Q21/1000*'Horizon Thicknesses'!$L21</f>
        <v>58.72815216509286</v>
      </c>
      <c r="AH21" s="110">
        <v>1</v>
      </c>
      <c r="AI21" s="98">
        <f>'HNO3 Cold Leach'!P21/1000*'Horizon Thicknesses'!$J21</f>
        <v>2.0384114230252823</v>
      </c>
      <c r="AJ21" s="77">
        <f>'HNO3 Cold Leach'!P21/1000*'Horizon Thicknesses'!$L21</f>
        <v>0.5739216627935261</v>
      </c>
      <c r="AK21" s="110">
        <v>1</v>
      </c>
      <c r="AL21" s="98">
        <f>'HNO3 Cold Leach'!Q21/1000*'Horizon Thicknesses'!$J21</f>
        <v>208.58619562084706</v>
      </c>
      <c r="AM21" s="77">
        <f>'HNO3 Cold Leach'!Q21/1000*'Horizon Thicknesses'!$L21</f>
        <v>58.72815216509286</v>
      </c>
      <c r="AN21" s="112">
        <v>0</v>
      </c>
      <c r="AO21" s="99">
        <f>AO$48/1000*'Horizon Thicknesses'!$J21</f>
        <v>0.016045629107636045</v>
      </c>
      <c r="AP21" s="72">
        <f>AO$48/1000*'Horizon Thicknesses'!$L21</f>
        <v>0.004517701399237333</v>
      </c>
      <c r="AQ21" s="113">
        <v>1</v>
      </c>
      <c r="AR21" s="176">
        <f>'HNO3 Cold Leach'!S21/1000*'Horizon Thicknesses'!$J21</f>
        <v>10.399714146923017</v>
      </c>
      <c r="AS21" s="183">
        <f>'HNO3 Cold Leach'!S21/1000*'Horizon Thicknesses'!$L21</f>
        <v>2.9280748569006554</v>
      </c>
    </row>
    <row r="22" spans="1:45" ht="12.75">
      <c r="A22" s="101" t="s">
        <v>112</v>
      </c>
      <c r="B22" s="104">
        <v>38236</v>
      </c>
      <c r="C22" s="105" t="s">
        <v>21</v>
      </c>
      <c r="D22" s="101" t="s">
        <v>8</v>
      </c>
      <c r="E22" s="101" t="s">
        <v>7</v>
      </c>
      <c r="F22" s="89">
        <v>4067</v>
      </c>
      <c r="G22" s="111"/>
      <c r="H22" s="92"/>
      <c r="I22" s="83"/>
      <c r="J22" s="111"/>
      <c r="K22" s="114"/>
      <c r="L22" s="81"/>
      <c r="M22" s="111"/>
      <c r="N22" s="92"/>
      <c r="O22" s="83"/>
      <c r="P22" s="111"/>
      <c r="Q22" s="97"/>
      <c r="R22" s="71"/>
      <c r="S22" s="111"/>
      <c r="T22" s="97"/>
      <c r="U22" s="71"/>
      <c r="V22" s="111"/>
      <c r="W22" s="97"/>
      <c r="X22" s="71"/>
      <c r="Y22" s="111"/>
      <c r="Z22" s="97"/>
      <c r="AA22" s="71"/>
      <c r="AB22" s="111"/>
      <c r="AC22" s="97"/>
      <c r="AD22" s="71"/>
      <c r="AE22" s="118"/>
      <c r="AF22" s="97"/>
      <c r="AG22" s="71"/>
      <c r="AH22" s="111"/>
      <c r="AI22" s="97"/>
      <c r="AJ22" s="71"/>
      <c r="AK22" s="111"/>
      <c r="AL22" s="97"/>
      <c r="AM22" s="71"/>
      <c r="AN22" s="111"/>
      <c r="AO22" s="97"/>
      <c r="AP22" s="97"/>
      <c r="AQ22" s="111"/>
      <c r="AR22" s="97"/>
      <c r="AS22" s="71"/>
    </row>
    <row r="23" spans="1:45" ht="12.75">
      <c r="A23" s="101" t="s">
        <v>113</v>
      </c>
      <c r="B23" s="104">
        <v>38236</v>
      </c>
      <c r="C23" s="105" t="s">
        <v>12</v>
      </c>
      <c r="D23" s="24" t="s">
        <v>43</v>
      </c>
      <c r="E23" s="103"/>
      <c r="F23" s="90"/>
      <c r="G23" s="111"/>
      <c r="H23" s="92"/>
      <c r="I23" s="83"/>
      <c r="J23" s="111"/>
      <c r="K23" s="114"/>
      <c r="L23" s="81"/>
      <c r="M23" s="111"/>
      <c r="N23" s="92"/>
      <c r="O23" s="83"/>
      <c r="P23" s="111"/>
      <c r="Q23" s="97"/>
      <c r="R23" s="71"/>
      <c r="S23" s="111"/>
      <c r="T23" s="97"/>
      <c r="U23" s="71"/>
      <c r="V23" s="111"/>
      <c r="W23" s="97"/>
      <c r="X23" s="71"/>
      <c r="Y23" s="111"/>
      <c r="Z23" s="97"/>
      <c r="AA23" s="71"/>
      <c r="AB23" s="111"/>
      <c r="AC23" s="97"/>
      <c r="AD23" s="71"/>
      <c r="AE23" s="118"/>
      <c r="AF23" s="97"/>
      <c r="AG23" s="71"/>
      <c r="AH23" s="111"/>
      <c r="AI23" s="97"/>
      <c r="AJ23" s="71"/>
      <c r="AK23" s="111"/>
      <c r="AL23" s="97"/>
      <c r="AM23" s="71"/>
      <c r="AN23" s="111"/>
      <c r="AO23" s="97"/>
      <c r="AP23" s="97"/>
      <c r="AQ23" s="111"/>
      <c r="AR23" s="97"/>
      <c r="AS23" s="71"/>
    </row>
    <row r="24" spans="1:45" ht="12.75">
      <c r="A24" s="101" t="s">
        <v>114</v>
      </c>
      <c r="B24" s="104">
        <v>38236</v>
      </c>
      <c r="C24" s="105" t="s">
        <v>12</v>
      </c>
      <c r="D24" s="101" t="s">
        <v>10</v>
      </c>
      <c r="E24" s="101" t="s">
        <v>11</v>
      </c>
      <c r="F24" s="89">
        <v>4015</v>
      </c>
      <c r="G24" s="111"/>
      <c r="H24" s="92"/>
      <c r="I24" s="83"/>
      <c r="J24" s="111"/>
      <c r="K24" s="114"/>
      <c r="L24" s="81"/>
      <c r="M24" s="111"/>
      <c r="N24" s="92"/>
      <c r="O24" s="83"/>
      <c r="P24" s="111"/>
      <c r="Q24" s="97"/>
      <c r="R24" s="71"/>
      <c r="S24" s="111"/>
      <c r="T24" s="97"/>
      <c r="U24" s="71"/>
      <c r="V24" s="111"/>
      <c r="W24" s="97"/>
      <c r="X24" s="71"/>
      <c r="Y24" s="111"/>
      <c r="Z24" s="97"/>
      <c r="AA24" s="71"/>
      <c r="AB24" s="111"/>
      <c r="AC24" s="97"/>
      <c r="AD24" s="71"/>
      <c r="AE24" s="118"/>
      <c r="AF24" s="97"/>
      <c r="AG24" s="71"/>
      <c r="AH24" s="111"/>
      <c r="AI24" s="97"/>
      <c r="AJ24" s="71"/>
      <c r="AK24" s="111"/>
      <c r="AL24" s="97"/>
      <c r="AM24" s="71"/>
      <c r="AN24" s="111"/>
      <c r="AO24" s="97"/>
      <c r="AP24" s="97"/>
      <c r="AQ24" s="111"/>
      <c r="AR24" s="97"/>
      <c r="AS24" s="71"/>
    </row>
    <row r="25" spans="1:45" ht="12.75">
      <c r="A25" s="101" t="s">
        <v>115</v>
      </c>
      <c r="B25" s="104">
        <v>38236</v>
      </c>
      <c r="C25" s="105" t="s">
        <v>12</v>
      </c>
      <c r="D25" s="101" t="s">
        <v>14</v>
      </c>
      <c r="E25" s="101" t="s">
        <v>7</v>
      </c>
      <c r="F25" s="89">
        <v>4079</v>
      </c>
      <c r="G25" s="110">
        <v>1</v>
      </c>
      <c r="H25" s="91">
        <f>'HNO3 Cold Leach'!G25/1000*'Horizon Thicknesses'!$J25</f>
        <v>63.18280968020354</v>
      </c>
      <c r="I25" s="82">
        <f>'HNO3 Cold Leach'!G25/1000*'Horizon Thicknesses'!$L25</f>
        <v>23.91762791625272</v>
      </c>
      <c r="J25" s="112">
        <v>0</v>
      </c>
      <c r="K25" s="115">
        <f>K$48/1000*'Horizon Thicknesses'!$J25</f>
        <v>0.1790748304142192</v>
      </c>
      <c r="L25" s="116">
        <f>K$48/1000*'Horizon Thicknesses'!$L25</f>
        <v>0.06778814023453149</v>
      </c>
      <c r="M25" s="110">
        <v>1</v>
      </c>
      <c r="N25" s="91">
        <f>'HNO3 Cold Leach'!I25/1000*'Horizon Thicknesses'!$J25</f>
        <v>0.5042872117299252</v>
      </c>
      <c r="O25" s="82">
        <f>'HNO3 Cold Leach'!I25/1000*'Horizon Thicknesses'!$L25</f>
        <v>0.1908961306742896</v>
      </c>
      <c r="P25" s="110">
        <v>1</v>
      </c>
      <c r="Q25" s="98">
        <f>'HNO3 Cold Leach'!J25/1000*'Horizon Thicknesses'!$J25</f>
        <v>58.40036670977045</v>
      </c>
      <c r="R25" s="77">
        <f>'HNO3 Cold Leach'!J25/1000*'Horizon Thicknesses'!$L25</f>
        <v>22.107251136928262</v>
      </c>
      <c r="S25" s="110">
        <v>1</v>
      </c>
      <c r="T25" s="98">
        <f>'HNO3 Cold Leach'!K25/1000*'Horizon Thicknesses'!$J25</f>
        <v>1.1136988563848855</v>
      </c>
      <c r="U25" s="77">
        <f>'HNO3 Cold Leach'!K25/1000*'Horizon Thicknesses'!$L25</f>
        <v>0.42158674159303483</v>
      </c>
      <c r="V25" s="112">
        <v>0</v>
      </c>
      <c r="W25" s="99">
        <f>W$48/1000*'Horizon Thicknesses'!$J25</f>
        <v>0.029845805069036533</v>
      </c>
      <c r="X25" s="72">
        <f>W$48/1000*'Horizon Thicknesses'!$L25</f>
        <v>0.011298023372421914</v>
      </c>
      <c r="Y25" s="110">
        <v>1</v>
      </c>
      <c r="Z25" s="98">
        <f>'HNO3 Cold Leach'!M25/1000*'Horizon Thicknesses'!$J25</f>
        <v>0.9149435818863304</v>
      </c>
      <c r="AA25" s="77">
        <f>'HNO3 Cold Leach'!M25/1000*'Horizon Thicknesses'!$L25</f>
        <v>0.34634863923718845</v>
      </c>
      <c r="AB25" s="110">
        <v>1</v>
      </c>
      <c r="AC25" s="98">
        <f>'HNO3 Cold Leach'!N25/1000*'Horizon Thicknesses'!$J25</f>
        <v>0.4863954699019714</v>
      </c>
      <c r="AD25" s="77">
        <f>'HNO3 Cold Leach'!N25/1000*'Horizon Thicknesses'!$L25</f>
        <v>0.18412327543121654</v>
      </c>
      <c r="AE25" s="112">
        <v>0</v>
      </c>
      <c r="AF25" s="99">
        <f>AF$48/1000*'Horizon Thicknesses'!$J25</f>
        <v>0.29845805069036535</v>
      </c>
      <c r="AG25" s="72">
        <f>AF$48/1000*'Horizon Thicknesses'!$L25</f>
        <v>0.11298023372421914</v>
      </c>
      <c r="AH25" s="110">
        <v>1</v>
      </c>
      <c r="AI25" s="98">
        <f>'HNO3 Cold Leach'!P25/1000*'Horizon Thicknesses'!$J25</f>
        <v>0.3682866451787264</v>
      </c>
      <c r="AJ25" s="77">
        <f>'HNO3 Cold Leach'!P25/1000*'Horizon Thicknesses'!$L25</f>
        <v>0.13941359984612495</v>
      </c>
      <c r="AK25" s="110">
        <v>1</v>
      </c>
      <c r="AL25" s="98">
        <f>'HNO3 Cold Leach'!Q25/1000*'Horizon Thicknesses'!$J25</f>
        <v>6.207692520735447</v>
      </c>
      <c r="AM25" s="77">
        <f>'HNO3 Cold Leach'!Q25/1000*'Horizon Thicknesses'!$L25</f>
        <v>2.3498999281757973</v>
      </c>
      <c r="AN25" s="112">
        <v>0</v>
      </c>
      <c r="AO25" s="99">
        <f>AO$48/1000*'Horizon Thicknesses'!$J25</f>
        <v>0.0029845805069036533</v>
      </c>
      <c r="AP25" s="72">
        <f>AO$48/1000*'Horizon Thicknesses'!$L25</f>
        <v>0.0011298023372421913</v>
      </c>
      <c r="AQ25" s="113">
        <v>1</v>
      </c>
      <c r="AR25" s="176">
        <f>'HNO3 Cold Leach'!S25/1000*'Horizon Thicknesses'!$J25</f>
        <v>0.6082317040456688</v>
      </c>
      <c r="AS25" s="183">
        <f>'HNO3 Cold Leach'!S25/1000*'Horizon Thicknesses'!$L25</f>
        <v>0.23024394859715566</v>
      </c>
    </row>
    <row r="26" spans="1:45" ht="12.75">
      <c r="A26" s="101" t="s">
        <v>116</v>
      </c>
      <c r="B26" s="104">
        <v>38236</v>
      </c>
      <c r="C26" s="105" t="s">
        <v>12</v>
      </c>
      <c r="D26" s="101" t="s">
        <v>13</v>
      </c>
      <c r="E26" s="101" t="s">
        <v>7</v>
      </c>
      <c r="F26" s="89">
        <v>4076</v>
      </c>
      <c r="G26" s="110">
        <v>1</v>
      </c>
      <c r="H26" s="91">
        <f>'HNO3 Cold Leach'!G26/1000*'Horizon Thicknesses'!$J26</f>
        <v>91.62928650144462</v>
      </c>
      <c r="I26" s="82">
        <f>'HNO3 Cold Leach'!G26/1000*'Horizon Thicknesses'!$L26</f>
        <v>25.798536976134898</v>
      </c>
      <c r="J26" s="112">
        <v>0</v>
      </c>
      <c r="K26" s="115">
        <f>K$48/1000*'Horizon Thicknesses'!$J26</f>
        <v>0.46308904260012895</v>
      </c>
      <c r="L26" s="116">
        <f>K$48/1000*'Horizon Thicknesses'!$L26</f>
        <v>0.1303842935476091</v>
      </c>
      <c r="M26" s="113">
        <v>1</v>
      </c>
      <c r="N26" s="91">
        <f>'HNO3 Cold Leach'!I26/1000*'Horizon Thicknesses'!$J26</f>
        <v>1.0284398945095132</v>
      </c>
      <c r="O26" s="82">
        <f>'HNO3 Cold Leach'!I26/1000*'Horizon Thicknesses'!$L26</f>
        <v>0.2895607469978241</v>
      </c>
      <c r="P26" s="110">
        <v>1</v>
      </c>
      <c r="Q26" s="98">
        <f>'HNO3 Cold Leach'!J26/1000*'Horizon Thicknesses'!$J26</f>
        <v>29.7290325278471</v>
      </c>
      <c r="R26" s="77">
        <f>'HNO3 Cold Leach'!J26/1000*'Horizon Thicknesses'!$L26</f>
        <v>8.37031012919967</v>
      </c>
      <c r="S26" s="113">
        <v>1</v>
      </c>
      <c r="T26" s="98">
        <f>'HNO3 Cold Leach'!K26/1000*'Horizon Thicknesses'!$J26</f>
        <v>3.5494759458043874</v>
      </c>
      <c r="U26" s="77">
        <f>'HNO3 Cold Leach'!K26/1000*'Horizon Thicknesses'!$L26</f>
        <v>0.9993670138672547</v>
      </c>
      <c r="V26" s="112">
        <v>0</v>
      </c>
      <c r="W26" s="99">
        <f>W$48/1000*'Horizon Thicknesses'!$J26</f>
        <v>0.07718150710002149</v>
      </c>
      <c r="X26" s="72">
        <f>W$48/1000*'Horizon Thicknesses'!$L26</f>
        <v>0.021730715591268185</v>
      </c>
      <c r="Y26" s="110">
        <v>1</v>
      </c>
      <c r="Z26" s="98">
        <f>'HNO3 Cold Leach'!M26/1000*'Horizon Thicknesses'!$J26</f>
        <v>0.4048928970563351</v>
      </c>
      <c r="AA26" s="77">
        <f>'HNO3 Cold Leach'!M26/1000*'Horizon Thicknesses'!$L26</f>
        <v>0.11399897101586133</v>
      </c>
      <c r="AB26" s="113">
        <v>1</v>
      </c>
      <c r="AC26" s="98">
        <f>'HNO3 Cold Leach'!N26/1000*'Horizon Thicknesses'!$J26</f>
        <v>1.4709477961425</v>
      </c>
      <c r="AD26" s="77">
        <f>'HNO3 Cold Leach'!N26/1000*'Horizon Thicknesses'!$L26</f>
        <v>0.41415035037021847</v>
      </c>
      <c r="AE26" s="112">
        <v>0</v>
      </c>
      <c r="AF26" s="99">
        <f>AF$48/1000*'Horizon Thicknesses'!$J26</f>
        <v>0.7718150710002148</v>
      </c>
      <c r="AG26" s="72">
        <f>AF$48/1000*'Horizon Thicknesses'!$L26</f>
        <v>0.21730715591268188</v>
      </c>
      <c r="AH26" s="113">
        <v>1</v>
      </c>
      <c r="AI26" s="98">
        <f>'HNO3 Cold Leach'!P26/1000*'Horizon Thicknesses'!$J26</f>
        <v>1.139418163173962</v>
      </c>
      <c r="AJ26" s="77">
        <f>'HNO3 Cold Leach'!P26/1000*'Horizon Thicknesses'!$L26</f>
        <v>0.3208070556509213</v>
      </c>
      <c r="AK26" s="113">
        <v>1</v>
      </c>
      <c r="AL26" s="98">
        <f>'HNO3 Cold Leach'!Q26/1000*'Horizon Thicknesses'!$J26</f>
        <v>26.74237471060511</v>
      </c>
      <c r="AM26" s="77">
        <f>'HNO3 Cold Leach'!Q26/1000*'Horizon Thicknesses'!$L26</f>
        <v>7.529406471917944</v>
      </c>
      <c r="AN26" s="112">
        <v>0</v>
      </c>
      <c r="AO26" s="99">
        <f>AO$48/1000*'Horizon Thicknesses'!$J26</f>
        <v>0.007718150710002149</v>
      </c>
      <c r="AP26" s="72">
        <f>AO$48/1000*'Horizon Thicknesses'!$L26</f>
        <v>0.0021730715591268186</v>
      </c>
      <c r="AQ26" s="112">
        <v>0</v>
      </c>
      <c r="AR26" s="115">
        <f>AR$48/1000*'Horizon Thicknesses'!$J26</f>
        <v>0.3859075355001074</v>
      </c>
      <c r="AS26" s="116">
        <f>AR$48/1000*'Horizon Thicknesses'!$L26</f>
        <v>0.10865357795634094</v>
      </c>
    </row>
    <row r="27" spans="1:45" ht="12.75">
      <c r="A27" s="101" t="s">
        <v>117</v>
      </c>
      <c r="B27" s="104">
        <v>38236</v>
      </c>
      <c r="C27" s="105" t="s">
        <v>12</v>
      </c>
      <c r="D27" s="101" t="s">
        <v>15</v>
      </c>
      <c r="E27" s="101" t="s">
        <v>7</v>
      </c>
      <c r="F27" s="89">
        <v>4081</v>
      </c>
      <c r="G27" s="110">
        <v>1</v>
      </c>
      <c r="H27" s="91">
        <f>'HNO3 Cold Leach'!G27/1000*'Horizon Thicknesses'!$J27</f>
        <v>229.93002771648358</v>
      </c>
      <c r="I27" s="82">
        <f>'HNO3 Cold Leach'!G27/1000*'Horizon Thicknesses'!$L27</f>
        <v>64.73758061920411</v>
      </c>
      <c r="J27" s="112">
        <v>0</v>
      </c>
      <c r="K27" s="115">
        <f>K$48/1000*'Horizon Thicknesses'!$J27</f>
        <v>0.41434282758958907</v>
      </c>
      <c r="L27" s="116">
        <f>K$48/1000*'Horizon Thicknesses'!$L27</f>
        <v>0.11665963106891343</v>
      </c>
      <c r="M27" s="110">
        <v>1</v>
      </c>
      <c r="N27" s="91">
        <f>'HNO3 Cold Leach'!I27/1000*'Horizon Thicknesses'!$J27</f>
        <v>2.37840517338564</v>
      </c>
      <c r="O27" s="82">
        <f>'HNO3 Cold Leach'!I27/1000*'Horizon Thicknesses'!$L27</f>
        <v>0.6696480585260539</v>
      </c>
      <c r="P27" s="110">
        <v>1</v>
      </c>
      <c r="Q27" s="98">
        <f>'HNO3 Cold Leach'!J27/1000*'Horizon Thicknesses'!$J27</f>
        <v>210.54742073201317</v>
      </c>
      <c r="R27" s="77">
        <f>'HNO3 Cold Leach'!J27/1000*'Horizon Thicknesses'!$L27</f>
        <v>59.28034175949885</v>
      </c>
      <c r="S27" s="110">
        <v>1</v>
      </c>
      <c r="T27" s="98">
        <f>'HNO3 Cold Leach'!K27/1000*'Horizon Thicknesses'!$J27</f>
        <v>2.650668311721273</v>
      </c>
      <c r="U27" s="77">
        <f>'HNO3 Cold Leach'!K27/1000*'Horizon Thicknesses'!$L27</f>
        <v>0.7463046702904554</v>
      </c>
      <c r="V27" s="110">
        <v>1</v>
      </c>
      <c r="W27" s="98">
        <f>'HNO3 Cold Leach'!L27/1000*'Horizon Thicknesses'!$J27</f>
        <v>0.24267381557545975</v>
      </c>
      <c r="X27" s="77">
        <f>'HNO3 Cold Leach'!L27/1000*'Horizon Thicknesses'!$L27</f>
        <v>0.06832563739503235</v>
      </c>
      <c r="Y27" s="110">
        <v>1</v>
      </c>
      <c r="Z27" s="98">
        <f>'HNO3 Cold Leach'!M27/1000*'Horizon Thicknesses'!$J27</f>
        <v>1.5169568873821726</v>
      </c>
      <c r="AA27" s="77">
        <f>'HNO3 Cold Leach'!M27/1000*'Horizon Thicknesses'!$L27</f>
        <v>0.42710436635032045</v>
      </c>
      <c r="AB27" s="110">
        <v>1</v>
      </c>
      <c r="AC27" s="98">
        <f>'HNO3 Cold Leach'!N27/1000*'Horizon Thicknesses'!$J27</f>
        <v>1.1713950669779356</v>
      </c>
      <c r="AD27" s="77">
        <f>'HNO3 Cold Leach'!N27/1000*'Horizon Thicknesses'!$L27</f>
        <v>0.329810261576312</v>
      </c>
      <c r="AE27" s="112">
        <v>0</v>
      </c>
      <c r="AF27" s="99">
        <f>AF$48/1000*'Horizon Thicknesses'!$J27</f>
        <v>0.6905713793159818</v>
      </c>
      <c r="AG27" s="72">
        <f>AF$48/1000*'Horizon Thicknesses'!$L27</f>
        <v>0.19443271844818905</v>
      </c>
      <c r="AH27" s="110">
        <v>1</v>
      </c>
      <c r="AI27" s="98">
        <f>'HNO3 Cold Leach'!P27/1000*'Horizon Thicknesses'!$J27</f>
        <v>0.7879471665977602</v>
      </c>
      <c r="AJ27" s="77">
        <f>'HNO3 Cold Leach'!P27/1000*'Horizon Thicknesses'!$L27</f>
        <v>0.22184920224597132</v>
      </c>
      <c r="AK27" s="110">
        <v>1</v>
      </c>
      <c r="AL27" s="98">
        <f>'HNO3 Cold Leach'!Q27/1000*'Horizon Thicknesses'!$J27</f>
        <v>32.432438413269224</v>
      </c>
      <c r="AM27" s="77">
        <f>'HNO3 Cold Leach'!Q27/1000*'Horizon Thicknesses'!$L27</f>
        <v>9.131463242570947</v>
      </c>
      <c r="AN27" s="112">
        <v>0</v>
      </c>
      <c r="AO27" s="99">
        <f>AO$48/1000*'Horizon Thicknesses'!$J27</f>
        <v>0.006905713793159817</v>
      </c>
      <c r="AP27" s="72">
        <f>AO$48/1000*'Horizon Thicknesses'!$L27</f>
        <v>0.0019443271844818903</v>
      </c>
      <c r="AQ27" s="113">
        <v>1</v>
      </c>
      <c r="AR27" s="176">
        <f>'HNO3 Cold Leach'!S27/1000*'Horizon Thicknesses'!$J27</f>
        <v>2.2992989733839733</v>
      </c>
      <c r="AS27" s="183">
        <f>'HNO3 Cold Leach'!S27/1000*'Horizon Thicknesses'!$L27</f>
        <v>0.6473754391081089</v>
      </c>
    </row>
    <row r="28" spans="1:45" ht="12.75">
      <c r="A28" s="101" t="s">
        <v>118</v>
      </c>
      <c r="B28" s="104">
        <v>38236</v>
      </c>
      <c r="C28" s="105" t="s">
        <v>12</v>
      </c>
      <c r="D28" s="101" t="s">
        <v>16</v>
      </c>
      <c r="E28" s="101" t="s">
        <v>7</v>
      </c>
      <c r="F28" s="89">
        <v>4083</v>
      </c>
      <c r="G28" s="110">
        <v>1</v>
      </c>
      <c r="H28" s="91">
        <f>'HNO3 Cold Leach'!G28/1000*'Horizon Thicknesses'!$J28</f>
        <v>94.10084099787365</v>
      </c>
      <c r="I28" s="82">
        <f>'HNO3 Cold Leach'!G28/1000*'Horizon Thicknesses'!$L28</f>
        <v>26.49441154309064</v>
      </c>
      <c r="J28" s="112">
        <v>0</v>
      </c>
      <c r="K28" s="115">
        <f>K$48/1000*'Horizon Thicknesses'!$J28</f>
        <v>0.9992974077160678</v>
      </c>
      <c r="L28" s="116">
        <f>K$48/1000*'Horizon Thicknesses'!$L28</f>
        <v>0.2813555808132618</v>
      </c>
      <c r="M28" s="110">
        <v>1</v>
      </c>
      <c r="N28" s="91">
        <f>'HNO3 Cold Leach'!I28/1000*'Horizon Thicknesses'!$J28</f>
        <v>0.8424050374850846</v>
      </c>
      <c r="O28" s="82">
        <f>'HNO3 Cold Leach'!I28/1000*'Horizon Thicknesses'!$L28</f>
        <v>0.23718200084531507</v>
      </c>
      <c r="P28" s="110">
        <v>1</v>
      </c>
      <c r="Q28" s="98">
        <f>'HNO3 Cold Leach'!J28/1000*'Horizon Thicknesses'!$J28</f>
        <v>68.27754709059408</v>
      </c>
      <c r="R28" s="77">
        <f>'HNO3 Cold Leach'!J28/1000*'Horizon Thicknesses'!$L28</f>
        <v>19.223775394439112</v>
      </c>
      <c r="S28" s="110">
        <v>1</v>
      </c>
      <c r="T28" s="98">
        <f>'HNO3 Cold Leach'!K28/1000*'Horizon Thicknesses'!$J28</f>
        <v>4.968292788520203</v>
      </c>
      <c r="U28" s="77">
        <f>'HNO3 Cold Leach'!K28/1000*'Horizon Thicknesses'!$L28</f>
        <v>1.3988397171561735</v>
      </c>
      <c r="V28" s="112">
        <v>0</v>
      </c>
      <c r="W28" s="115">
        <f>W$48/1000*'Horizon Thicknesses'!$J28</f>
        <v>0.16654956795267795</v>
      </c>
      <c r="X28" s="116">
        <f>W$48/1000*'Horizon Thicknesses'!$L28</f>
        <v>0.04689259680221029</v>
      </c>
      <c r="Y28" s="112">
        <v>0</v>
      </c>
      <c r="Z28" s="99">
        <f>Z$48/1000*'Horizon Thicknesses'!$J28</f>
        <v>0.16654956795267795</v>
      </c>
      <c r="AA28" s="72">
        <f>Z$48/1000*'Horizon Thicknesses'!$L28</f>
        <v>0.04689259680221029</v>
      </c>
      <c r="AB28" s="110">
        <v>1</v>
      </c>
      <c r="AC28" s="98">
        <f>'HNO3 Cold Leach'!N28/1000*'Horizon Thicknesses'!$J28</f>
        <v>1.975247578712038</v>
      </c>
      <c r="AD28" s="77">
        <f>'HNO3 Cold Leach'!N28/1000*'Horizon Thicknesses'!$L28</f>
        <v>0.5561376677927098</v>
      </c>
      <c r="AE28" s="112">
        <v>0</v>
      </c>
      <c r="AF28" s="99">
        <f>AF$48/1000*'Horizon Thicknesses'!$J28</f>
        <v>1.6654956795267795</v>
      </c>
      <c r="AG28" s="72">
        <f>AF$48/1000*'Horizon Thicknesses'!$L28</f>
        <v>0.46892596802210296</v>
      </c>
      <c r="AH28" s="110">
        <v>1</v>
      </c>
      <c r="AI28" s="98">
        <f>'HNO3 Cold Leach'!P28/1000*'Horizon Thicknesses'!$J28</f>
        <v>2.0439333742664996</v>
      </c>
      <c r="AJ28" s="77">
        <f>'HNO3 Cold Leach'!P28/1000*'Horizon Thicknesses'!$L28</f>
        <v>0.5754763869294028</v>
      </c>
      <c r="AK28" s="110">
        <v>1</v>
      </c>
      <c r="AL28" s="98">
        <f>'HNO3 Cold Leach'!Q28/1000*'Horizon Thicknesses'!$J28</f>
        <v>9.674642662197757</v>
      </c>
      <c r="AM28" s="77">
        <f>'HNO3 Cold Leach'!Q28/1000*'Horizon Thicknesses'!$L28</f>
        <v>2.723928516541116</v>
      </c>
      <c r="AN28" s="112">
        <v>0</v>
      </c>
      <c r="AO28" s="99">
        <f>AO$48/1000*'Horizon Thicknesses'!$J28</f>
        <v>0.016654956795267795</v>
      </c>
      <c r="AP28" s="72">
        <f>AO$48/1000*'Horizon Thicknesses'!$L28</f>
        <v>0.004689259680221029</v>
      </c>
      <c r="AQ28" s="113">
        <v>1</v>
      </c>
      <c r="AR28" s="176">
        <f>'HNO3 Cold Leach'!S28/1000*'Horizon Thicknesses'!$J28</f>
        <v>1.3256479640705794</v>
      </c>
      <c r="AS28" s="183">
        <f>'HNO3 Cold Leach'!S28/1000*'Horizon Thicknesses'!$L28</f>
        <v>0.37324068891307577</v>
      </c>
    </row>
    <row r="29" spans="1:45" ht="12.75">
      <c r="A29" s="101" t="s">
        <v>119</v>
      </c>
      <c r="B29" s="104">
        <v>38236</v>
      </c>
      <c r="C29" s="105" t="s">
        <v>12</v>
      </c>
      <c r="D29" s="101" t="s">
        <v>8</v>
      </c>
      <c r="E29" s="101" t="s">
        <v>7</v>
      </c>
      <c r="F29" s="89">
        <v>4013</v>
      </c>
      <c r="G29" s="111"/>
      <c r="H29" s="92"/>
      <c r="I29" s="83"/>
      <c r="J29" s="111"/>
      <c r="K29" s="114"/>
      <c r="L29" s="81"/>
      <c r="M29" s="111"/>
      <c r="N29" s="92"/>
      <c r="O29" s="83"/>
      <c r="P29" s="111"/>
      <c r="Q29" s="97"/>
      <c r="R29" s="71"/>
      <c r="S29" s="111"/>
      <c r="T29" s="97"/>
      <c r="U29" s="71"/>
      <c r="V29" s="111"/>
      <c r="W29" s="97"/>
      <c r="X29" s="71"/>
      <c r="Y29" s="111"/>
      <c r="Z29" s="97"/>
      <c r="AA29" s="71"/>
      <c r="AB29" s="111"/>
      <c r="AC29" s="97"/>
      <c r="AD29" s="71"/>
      <c r="AE29" s="118"/>
      <c r="AF29" s="97"/>
      <c r="AG29" s="71"/>
      <c r="AH29" s="111"/>
      <c r="AI29" s="97"/>
      <c r="AJ29" s="71"/>
      <c r="AK29" s="111"/>
      <c r="AL29" s="97"/>
      <c r="AM29" s="71"/>
      <c r="AN29" s="111"/>
      <c r="AO29" s="97"/>
      <c r="AP29" s="97"/>
      <c r="AQ29" s="111"/>
      <c r="AR29" s="97"/>
      <c r="AS29" s="71"/>
    </row>
    <row r="30" spans="1:45" ht="12.75">
      <c r="A30" s="101" t="s">
        <v>120</v>
      </c>
      <c r="B30" s="104">
        <v>38247</v>
      </c>
      <c r="C30" s="105" t="s">
        <v>20</v>
      </c>
      <c r="D30" s="24" t="s">
        <v>43</v>
      </c>
      <c r="E30" s="103"/>
      <c r="F30" s="90"/>
      <c r="G30" s="111"/>
      <c r="H30" s="92"/>
      <c r="I30" s="83"/>
      <c r="J30" s="111"/>
      <c r="K30" s="114"/>
      <c r="L30" s="81"/>
      <c r="M30" s="111"/>
      <c r="N30" s="92"/>
      <c r="O30" s="83"/>
      <c r="P30" s="111"/>
      <c r="Q30" s="97"/>
      <c r="R30" s="71"/>
      <c r="S30" s="111"/>
      <c r="T30" s="97"/>
      <c r="U30" s="71"/>
      <c r="V30" s="111"/>
      <c r="W30" s="97"/>
      <c r="X30" s="71"/>
      <c r="Y30" s="111"/>
      <c r="Z30" s="97"/>
      <c r="AA30" s="71"/>
      <c r="AB30" s="111"/>
      <c r="AC30" s="97"/>
      <c r="AD30" s="71"/>
      <c r="AE30" s="118"/>
      <c r="AF30" s="97"/>
      <c r="AG30" s="71"/>
      <c r="AH30" s="111"/>
      <c r="AI30" s="97"/>
      <c r="AJ30" s="71"/>
      <c r="AK30" s="111"/>
      <c r="AL30" s="97"/>
      <c r="AM30" s="71"/>
      <c r="AN30" s="111"/>
      <c r="AO30" s="97"/>
      <c r="AP30" s="97"/>
      <c r="AQ30" s="111"/>
      <c r="AR30" s="97"/>
      <c r="AS30" s="71"/>
    </row>
    <row r="31" spans="1:45" ht="12.75">
      <c r="A31" s="101" t="s">
        <v>121</v>
      </c>
      <c r="B31" s="104">
        <v>38247</v>
      </c>
      <c r="C31" s="105" t="s">
        <v>20</v>
      </c>
      <c r="D31" s="101" t="s">
        <v>10</v>
      </c>
      <c r="E31" s="101" t="s">
        <v>11</v>
      </c>
      <c r="F31" s="89">
        <v>4049</v>
      </c>
      <c r="G31" s="111"/>
      <c r="H31" s="92"/>
      <c r="I31" s="83"/>
      <c r="J31" s="111"/>
      <c r="K31" s="114"/>
      <c r="L31" s="81"/>
      <c r="M31" s="111"/>
      <c r="N31" s="92"/>
      <c r="O31" s="83"/>
      <c r="P31" s="111"/>
      <c r="Q31" s="97"/>
      <c r="R31" s="71"/>
      <c r="S31" s="111"/>
      <c r="T31" s="97"/>
      <c r="U31" s="71"/>
      <c r="V31" s="111"/>
      <c r="W31" s="97"/>
      <c r="X31" s="71"/>
      <c r="Y31" s="111"/>
      <c r="Z31" s="97"/>
      <c r="AA31" s="71"/>
      <c r="AB31" s="111"/>
      <c r="AC31" s="97"/>
      <c r="AD31" s="71"/>
      <c r="AE31" s="118"/>
      <c r="AF31" s="97"/>
      <c r="AG31" s="71"/>
      <c r="AH31" s="111"/>
      <c r="AI31" s="97"/>
      <c r="AJ31" s="71"/>
      <c r="AK31" s="111"/>
      <c r="AL31" s="97"/>
      <c r="AM31" s="71"/>
      <c r="AN31" s="111"/>
      <c r="AO31" s="97"/>
      <c r="AP31" s="97"/>
      <c r="AQ31" s="111"/>
      <c r="AR31" s="97"/>
      <c r="AS31" s="71"/>
    </row>
    <row r="32" spans="1:45" ht="12.75">
      <c r="A32" s="101" t="s">
        <v>122</v>
      </c>
      <c r="B32" s="104">
        <v>38247</v>
      </c>
      <c r="C32" s="105" t="s">
        <v>20</v>
      </c>
      <c r="D32" s="101" t="s">
        <v>9</v>
      </c>
      <c r="E32" s="101" t="s">
        <v>7</v>
      </c>
      <c r="F32" s="89">
        <v>4047</v>
      </c>
      <c r="G32" s="110">
        <v>1</v>
      </c>
      <c r="H32" s="91">
        <f>'HNO3 Cold Leach'!G32/1000*'Horizon Thicknesses'!$J32</f>
        <v>62.218485020788854</v>
      </c>
      <c r="I32" s="82">
        <f>'HNO3 Cold Leach'!G32/1000*'Horizon Thicknesses'!$L32</f>
        <v>20.073782821522002</v>
      </c>
      <c r="J32" s="112">
        <v>0</v>
      </c>
      <c r="K32" s="115">
        <f>K$48/1000*'Horizon Thicknesses'!$J32</f>
        <v>0.42280590546691865</v>
      </c>
      <c r="L32" s="116">
        <f>K$48/1000*'Horizon Thicknesses'!$L32</f>
        <v>0.13641145262800997</v>
      </c>
      <c r="M32" s="110">
        <v>1</v>
      </c>
      <c r="N32" s="91">
        <f>'HNO3 Cold Leach'!I32/1000*'Horizon Thicknesses'!$J32</f>
        <v>0.34866959981730516</v>
      </c>
      <c r="O32" s="82">
        <f>'HNO3 Cold Leach'!I32/1000*'Horizon Thicknesses'!$L32</f>
        <v>0.11249257870648857</v>
      </c>
      <c r="P32" s="110">
        <v>1</v>
      </c>
      <c r="Q32" s="98">
        <f>'HNO3 Cold Leach'!J32/1000*'Horizon Thicknesses'!$J32</f>
        <v>28.782821117935548</v>
      </c>
      <c r="R32" s="77">
        <f>'HNO3 Cold Leach'!J32/1000*'Horizon Thicknesses'!$L32</f>
        <v>9.286309364798958</v>
      </c>
      <c r="S32" s="110">
        <v>1</v>
      </c>
      <c r="T32" s="98">
        <f>'HNO3 Cold Leach'!K32/1000*'Horizon Thicknesses'!$J32</f>
        <v>1.2199304615516944</v>
      </c>
      <c r="U32" s="77">
        <f>'HNO3 Cold Leach'!K32/1000*'Horizon Thicknesses'!$L32</f>
        <v>0.3935907332742915</v>
      </c>
      <c r="V32" s="112">
        <v>0</v>
      </c>
      <c r="W32" s="99">
        <f>W$48/1000*'Horizon Thicknesses'!$J32</f>
        <v>0.0704676509111531</v>
      </c>
      <c r="X32" s="72">
        <f>W$48/1000*'Horizon Thicknesses'!$L32</f>
        <v>0.022735242104668325</v>
      </c>
      <c r="Y32" s="112">
        <v>0</v>
      </c>
      <c r="Z32" s="99">
        <f>Z$48/1000*'Horizon Thicknesses'!$J32</f>
        <v>0.0704676509111531</v>
      </c>
      <c r="AA32" s="72">
        <f>Z$48/1000*'Horizon Thicknesses'!$L32</f>
        <v>0.022735242104668325</v>
      </c>
      <c r="AB32" s="110">
        <v>1</v>
      </c>
      <c r="AC32" s="98">
        <f>'HNO3 Cold Leach'!N32/1000*'Horizon Thicknesses'!$J32</f>
        <v>0.5179563845787731</v>
      </c>
      <c r="AD32" s="77">
        <f>'HNO3 Cold Leach'!N32/1000*'Horizon Thicknesses'!$L32</f>
        <v>0.16711020802870705</v>
      </c>
      <c r="AE32" s="112">
        <v>0</v>
      </c>
      <c r="AF32" s="99">
        <f>AF$48/1000*'Horizon Thicknesses'!$J32</f>
        <v>0.7046765091115311</v>
      </c>
      <c r="AG32" s="72">
        <f>AF$48/1000*'Horizon Thicknesses'!$L32</f>
        <v>0.22735242104668327</v>
      </c>
      <c r="AH32" s="110">
        <v>1</v>
      </c>
      <c r="AI32" s="98">
        <f>'HNO3 Cold Leach'!P32/1000*'Horizon Thicknesses'!$J32</f>
        <v>0.7175733706238601</v>
      </c>
      <c r="AJ32" s="77">
        <f>'HNO3 Cold Leach'!P32/1000*'Horizon Thicknesses'!$L32</f>
        <v>0.23151338377329478</v>
      </c>
      <c r="AK32" s="110">
        <v>1</v>
      </c>
      <c r="AL32" s="98">
        <f>'HNO3 Cold Leach'!Q32/1000*'Horizon Thicknesses'!$J32</f>
        <v>2.2253880761367237</v>
      </c>
      <c r="AM32" s="77">
        <f>'HNO3 Cold Leach'!Q32/1000*'Horizon Thicknesses'!$L32</f>
        <v>0.7179852887618071</v>
      </c>
      <c r="AN32" s="112">
        <v>0</v>
      </c>
      <c r="AO32" s="99">
        <f>AO$48/1000*'Horizon Thicknesses'!$J32</f>
        <v>0.007046765091115311</v>
      </c>
      <c r="AP32" s="72">
        <f>AO$48/1000*'Horizon Thicknesses'!$L32</f>
        <v>0.0022735242104668326</v>
      </c>
      <c r="AQ32" s="113">
        <v>1</v>
      </c>
      <c r="AR32" s="176">
        <f>'HNO3 Cold Leach'!S32/1000*'Horizon Thicknesses'!$J32</f>
        <v>0.7656223562721902</v>
      </c>
      <c r="AS32" s="183">
        <f>'HNO3 Cold Leach'!S32/1000*'Horizon Thicknesses'!$L32</f>
        <v>0.24701560794954613</v>
      </c>
    </row>
    <row r="33" spans="1:45" ht="12.75">
      <c r="A33" s="101" t="s">
        <v>123</v>
      </c>
      <c r="B33" s="104">
        <v>38247</v>
      </c>
      <c r="C33" s="105" t="s">
        <v>20</v>
      </c>
      <c r="D33" s="101" t="s">
        <v>18</v>
      </c>
      <c r="E33" s="101" t="s">
        <v>7</v>
      </c>
      <c r="F33" s="89">
        <v>4041</v>
      </c>
      <c r="G33" s="110">
        <v>1</v>
      </c>
      <c r="H33" s="91">
        <f>'HNO3 Cold Leach'!G33/1000*'Horizon Thicknesses'!$J33</f>
        <v>670.0683847052891</v>
      </c>
      <c r="I33" s="82">
        <f>'HNO3 Cold Leach'!G33/1000*'Horizon Thicknesses'!$L33</f>
        <v>188.66003064517847</v>
      </c>
      <c r="J33" s="112">
        <v>0</v>
      </c>
      <c r="K33" s="115">
        <f>K$48/1000*'Horizon Thicknesses'!$J33</f>
        <v>0.438715935094859</v>
      </c>
      <c r="L33" s="116">
        <f>K$48/1000*'Horizon Thicknesses'!$L33</f>
        <v>0.12352196230826128</v>
      </c>
      <c r="M33" s="110">
        <v>1</v>
      </c>
      <c r="N33" s="91">
        <f>'HNO3 Cold Leach'!I33/1000*'Horizon Thicknesses'!$J33</f>
        <v>2.7773490931978615</v>
      </c>
      <c r="O33" s="82">
        <f>'HNO3 Cold Leach'!I33/1000*'Horizon Thicknesses'!$L33</f>
        <v>0.7819720747838639</v>
      </c>
      <c r="P33" s="110">
        <v>1</v>
      </c>
      <c r="Q33" s="98">
        <f>'HNO3 Cold Leach'!J33/1000*'Horizon Thicknesses'!$J33</f>
        <v>455.5117059273954</v>
      </c>
      <c r="R33" s="77">
        <f>'HNO3 Cold Leach'!J33/1000*'Horizon Thicknesses'!$L33</f>
        <v>128.25086865916958</v>
      </c>
      <c r="S33" s="110">
        <v>1</v>
      </c>
      <c r="T33" s="98">
        <f>'HNO3 Cold Leach'!K33/1000*'Horizon Thicknesses'!$J33</f>
        <v>2.3052626446534155</v>
      </c>
      <c r="U33" s="77">
        <f>'HNO3 Cold Leach'!K33/1000*'Horizon Thicknesses'!$L33</f>
        <v>0.6490545310189227</v>
      </c>
      <c r="V33" s="110">
        <v>1</v>
      </c>
      <c r="W33" s="98">
        <f>'HNO3 Cold Leach'!L33/1000*'Horizon Thicknesses'!$J33</f>
        <v>5.345768359533137</v>
      </c>
      <c r="X33" s="77">
        <f>'HNO3 Cold Leach'!L33/1000*'Horizon Thicknesses'!$L33</f>
        <v>1.5051192468588446</v>
      </c>
      <c r="Y33" s="110">
        <v>1</v>
      </c>
      <c r="Z33" s="98">
        <f>'HNO3 Cold Leach'!M33/1000*'Horizon Thicknesses'!$J33</f>
        <v>0.25048308738378494</v>
      </c>
      <c r="AA33" s="77">
        <f>'HNO3 Cold Leach'!M33/1000*'Horizon Thicknesses'!$L33</f>
        <v>0.07052436440902683</v>
      </c>
      <c r="AB33" s="110">
        <v>1</v>
      </c>
      <c r="AC33" s="98">
        <f>'HNO3 Cold Leach'!N33/1000*'Horizon Thicknesses'!$J33</f>
        <v>0.8935699747723332</v>
      </c>
      <c r="AD33" s="77">
        <f>'HNO3 Cold Leach'!N33/1000*'Horizon Thicknesses'!$L33</f>
        <v>0.2515876627999773</v>
      </c>
      <c r="AE33" s="112">
        <v>0</v>
      </c>
      <c r="AF33" s="99">
        <f>AF$48/1000*'Horizon Thicknesses'!$J33</f>
        <v>0.7311932251580984</v>
      </c>
      <c r="AG33" s="72">
        <f>AF$48/1000*'Horizon Thicknesses'!$L33</f>
        <v>0.20586993718043545</v>
      </c>
      <c r="AH33" s="110">
        <v>1</v>
      </c>
      <c r="AI33" s="98">
        <f>'HNO3 Cold Leach'!P33/1000*'Horizon Thicknesses'!$J33</f>
        <v>1.129870958267961</v>
      </c>
      <c r="AJ33" s="77">
        <f>'HNO3 Cold Leach'!P33/1000*'Horizon Thicknesses'!$L33</f>
        <v>0.3181190076676783</v>
      </c>
      <c r="AK33" s="110">
        <v>1</v>
      </c>
      <c r="AL33" s="98">
        <f>'HNO3 Cold Leach'!Q33/1000*'Horizon Thicknesses'!$J33</f>
        <v>42.930441094095684</v>
      </c>
      <c r="AM33" s="77">
        <f>'HNO3 Cold Leach'!Q33/1000*'Horizon Thicknesses'!$L33</f>
        <v>12.08721157018228</v>
      </c>
      <c r="AN33" s="112">
        <v>0</v>
      </c>
      <c r="AO33" s="99">
        <f>AO$48/1000*'Horizon Thicknesses'!$J33</f>
        <v>0.007311932251580983</v>
      </c>
      <c r="AP33" s="72">
        <f>AO$48/1000*'Horizon Thicknesses'!$L33</f>
        <v>0.0020586993718043544</v>
      </c>
      <c r="AQ33" s="113">
        <v>1</v>
      </c>
      <c r="AR33" s="176">
        <f>'HNO3 Cold Leach'!S33/1000*'Horizon Thicknesses'!$J33</f>
        <v>3.2744894320935702</v>
      </c>
      <c r="AS33" s="183">
        <f>'HNO3 Cold Leach'!S33/1000*'Horizon Thicknesses'!$L33</f>
        <v>0.921943626511782</v>
      </c>
    </row>
    <row r="34" spans="1:45" ht="12.75">
      <c r="A34" s="101" t="s">
        <v>124</v>
      </c>
      <c r="B34" s="104">
        <v>38247</v>
      </c>
      <c r="C34" s="105" t="s">
        <v>20</v>
      </c>
      <c r="D34" s="101" t="s">
        <v>6</v>
      </c>
      <c r="E34" s="101" t="s">
        <v>7</v>
      </c>
      <c r="F34" s="89">
        <v>4043</v>
      </c>
      <c r="G34" s="110">
        <v>1</v>
      </c>
      <c r="H34" s="91">
        <f>'HNO3 Cold Leach'!G34/1000*'Horizon Thicknesses'!$J34</f>
        <v>1288.2415319004429</v>
      </c>
      <c r="I34" s="82">
        <f>'HNO3 Cold Leach'!G34/1000*'Horizon Thicknesses'!$L34</f>
        <v>362.7087808263383</v>
      </c>
      <c r="J34" s="110">
        <v>1</v>
      </c>
      <c r="K34" s="100">
        <f>'HNO3 Cold Leach'!H34/1000*'Horizon Thicknesses'!$J34</f>
        <v>0.5383406778766631</v>
      </c>
      <c r="L34" s="80">
        <f>'HNO3 Cold Leach'!H34/1000*'Horizon Thicknesses'!$L34</f>
        <v>0.15157164716915758</v>
      </c>
      <c r="M34" s="110">
        <v>1</v>
      </c>
      <c r="N34" s="91">
        <f>'HNO3 Cold Leach'!I34/1000*'Horizon Thicknesses'!$J34</f>
        <v>10.725019294480287</v>
      </c>
      <c r="O34" s="82">
        <f>'HNO3 Cold Leach'!I34/1000*'Horizon Thicknesses'!$L34</f>
        <v>3.019665626601246</v>
      </c>
      <c r="P34" s="110">
        <v>1</v>
      </c>
      <c r="Q34" s="98">
        <f>'HNO3 Cold Leach'!J34/1000*'Horizon Thicknesses'!$J34</f>
        <v>849.0212061112226</v>
      </c>
      <c r="R34" s="77">
        <f>'HNO3 Cold Leach'!J34/1000*'Horizon Thicknesses'!$L34</f>
        <v>239.04480560413063</v>
      </c>
      <c r="S34" s="110">
        <v>1</v>
      </c>
      <c r="T34" s="98">
        <f>'HNO3 Cold Leach'!K34/1000*'Horizon Thicknesses'!$J34</f>
        <v>3.2075122023426696</v>
      </c>
      <c r="U34" s="77">
        <f>'HNO3 Cold Leach'!K34/1000*'Horizon Thicknesses'!$L34</f>
        <v>0.9030859598828875</v>
      </c>
      <c r="V34" s="110">
        <v>1</v>
      </c>
      <c r="W34" s="98">
        <f>'HNO3 Cold Leach'!L34/1000*'Horizon Thicknesses'!$J34</f>
        <v>7.481124820287277</v>
      </c>
      <c r="X34" s="77">
        <f>'HNO3 Cold Leach'!L34/1000*'Horizon Thicknesses'!$L34</f>
        <v>2.106336114449816</v>
      </c>
      <c r="Y34" s="110">
        <v>1</v>
      </c>
      <c r="Z34" s="98">
        <f>'HNO3 Cold Leach'!M34/1000*'Horizon Thicknesses'!$J34</f>
        <v>2.1714816371743764</v>
      </c>
      <c r="AA34" s="77">
        <f>'HNO3 Cold Leach'!M34/1000*'Horizon Thicknesses'!$L34</f>
        <v>0.6113880337675428</v>
      </c>
      <c r="AB34" s="110">
        <v>1</v>
      </c>
      <c r="AC34" s="98">
        <f>'HNO3 Cold Leach'!N34/1000*'Horizon Thicknesses'!$J34</f>
        <v>1.1064569850438093</v>
      </c>
      <c r="AD34" s="77">
        <f>'HNO3 Cold Leach'!N34/1000*'Horizon Thicknesses'!$L34</f>
        <v>0.3115267239443735</v>
      </c>
      <c r="AE34" s="177">
        <v>1</v>
      </c>
      <c r="AF34" s="176">
        <f>'HNO3 Cold Leach'!Q34/1000*'Horizon Thicknesses'!$J34</f>
        <v>140.3895580708754</v>
      </c>
      <c r="AG34" s="178">
        <f>'HNO3 Cold Leach'!Q34/1000*'Horizon Thicknesses'!$L34</f>
        <v>39.52715712675133</v>
      </c>
      <c r="AH34" s="110">
        <v>1</v>
      </c>
      <c r="AI34" s="98">
        <f>'HNO3 Cold Leach'!P34/1000*'Horizon Thicknesses'!$J34</f>
        <v>1.1749464111976584</v>
      </c>
      <c r="AJ34" s="77">
        <f>'HNO3 Cold Leach'!P34/1000*'Horizon Thicknesses'!$L34</f>
        <v>0.33081015460904944</v>
      </c>
      <c r="AK34" s="110">
        <v>1</v>
      </c>
      <c r="AL34" s="98">
        <f>'HNO3 Cold Leach'!Q34/1000*'Horizon Thicknesses'!$J34</f>
        <v>140.3895580708754</v>
      </c>
      <c r="AM34" s="77">
        <f>'HNO3 Cold Leach'!Q34/1000*'Horizon Thicknesses'!$L34</f>
        <v>39.52715712675133</v>
      </c>
      <c r="AN34" s="110">
        <v>1</v>
      </c>
      <c r="AO34" s="98">
        <f>'HNO3 Cold Leach'!R34/1000*'Horizon Thicknesses'!$J34</f>
        <v>0.017401357633589024</v>
      </c>
      <c r="AP34" s="98">
        <f>'HNO3 Cold Leach'!R34/1000*'Horizon Thicknesses'!$L34</f>
        <v>0.0048994113725639</v>
      </c>
      <c r="AQ34" s="113">
        <v>1</v>
      </c>
      <c r="AR34" s="176">
        <f>'HNO3 Cold Leach'!S34/1000*'Horizon Thicknesses'!$J34</f>
        <v>6.551242514930575</v>
      </c>
      <c r="AS34" s="183">
        <f>'HNO3 Cold Leach'!S34/1000*'Horizon Thicknesses'!$L34</f>
        <v>1.844524591582395</v>
      </c>
    </row>
    <row r="35" spans="1:45" ht="12.75">
      <c r="A35" s="101" t="s">
        <v>125</v>
      </c>
      <c r="B35" s="104">
        <v>38237</v>
      </c>
      <c r="C35" s="105" t="s">
        <v>20</v>
      </c>
      <c r="D35" s="101" t="s">
        <v>8</v>
      </c>
      <c r="E35" s="101" t="s">
        <v>7</v>
      </c>
      <c r="F35" s="89">
        <v>4045</v>
      </c>
      <c r="G35" s="111"/>
      <c r="H35" s="92"/>
      <c r="I35" s="83"/>
      <c r="J35" s="111"/>
      <c r="K35" s="114"/>
      <c r="L35" s="81"/>
      <c r="M35" s="111"/>
      <c r="N35" s="92"/>
      <c r="O35" s="83"/>
      <c r="P35" s="111"/>
      <c r="Q35" s="97"/>
      <c r="R35" s="71"/>
      <c r="S35" s="111"/>
      <c r="T35" s="97"/>
      <c r="U35" s="71"/>
      <c r="V35" s="111"/>
      <c r="W35" s="97"/>
      <c r="X35" s="71"/>
      <c r="Y35" s="111"/>
      <c r="Z35" s="97"/>
      <c r="AA35" s="71"/>
      <c r="AB35" s="111"/>
      <c r="AC35" s="97"/>
      <c r="AD35" s="71"/>
      <c r="AE35" s="118"/>
      <c r="AF35" s="97"/>
      <c r="AG35" s="71"/>
      <c r="AH35" s="111"/>
      <c r="AI35" s="97"/>
      <c r="AJ35" s="71"/>
      <c r="AK35" s="111"/>
      <c r="AL35" s="97"/>
      <c r="AM35" s="71"/>
      <c r="AN35" s="111"/>
      <c r="AO35" s="97"/>
      <c r="AP35" s="97"/>
      <c r="AQ35" s="111"/>
      <c r="AR35" s="97"/>
      <c r="AS35" s="71"/>
    </row>
    <row r="36" spans="1:45" ht="12.75">
      <c r="A36" s="101" t="s">
        <v>126</v>
      </c>
      <c r="B36" s="104">
        <v>38244</v>
      </c>
      <c r="C36" s="105" t="s">
        <v>17</v>
      </c>
      <c r="D36" s="24" t="s">
        <v>43</v>
      </c>
      <c r="E36" s="103"/>
      <c r="F36" s="90"/>
      <c r="G36" s="111"/>
      <c r="H36" s="92"/>
      <c r="I36" s="83"/>
      <c r="J36" s="111"/>
      <c r="K36" s="114"/>
      <c r="L36" s="81"/>
      <c r="M36" s="111"/>
      <c r="N36" s="92"/>
      <c r="O36" s="83"/>
      <c r="P36" s="111"/>
      <c r="Q36" s="97"/>
      <c r="R36" s="71"/>
      <c r="S36" s="111"/>
      <c r="T36" s="97"/>
      <c r="U36" s="71"/>
      <c r="V36" s="111"/>
      <c r="W36" s="97"/>
      <c r="X36" s="71"/>
      <c r="Y36" s="111"/>
      <c r="Z36" s="97"/>
      <c r="AA36" s="71"/>
      <c r="AB36" s="111"/>
      <c r="AC36" s="97"/>
      <c r="AD36" s="71"/>
      <c r="AE36" s="118"/>
      <c r="AF36" s="97"/>
      <c r="AG36" s="71"/>
      <c r="AH36" s="111"/>
      <c r="AI36" s="97"/>
      <c r="AJ36" s="71"/>
      <c r="AK36" s="111"/>
      <c r="AL36" s="97"/>
      <c r="AM36" s="71"/>
      <c r="AN36" s="111"/>
      <c r="AO36" s="97"/>
      <c r="AP36" s="97"/>
      <c r="AQ36" s="111"/>
      <c r="AR36" s="97"/>
      <c r="AS36" s="71"/>
    </row>
    <row r="37" spans="1:45" ht="12.75">
      <c r="A37" s="101" t="s">
        <v>127</v>
      </c>
      <c r="B37" s="104">
        <v>38244</v>
      </c>
      <c r="C37" s="105" t="s">
        <v>17</v>
      </c>
      <c r="D37" s="101" t="s">
        <v>10</v>
      </c>
      <c r="E37" s="101" t="s">
        <v>11</v>
      </c>
      <c r="F37" s="89">
        <v>4037</v>
      </c>
      <c r="G37" s="111"/>
      <c r="H37" s="92"/>
      <c r="I37" s="83"/>
      <c r="J37" s="111"/>
      <c r="K37" s="114"/>
      <c r="L37" s="81"/>
      <c r="M37" s="111"/>
      <c r="N37" s="92"/>
      <c r="O37" s="83"/>
      <c r="P37" s="111"/>
      <c r="Q37" s="97"/>
      <c r="R37" s="71"/>
      <c r="S37" s="111"/>
      <c r="T37" s="97"/>
      <c r="U37" s="71"/>
      <c r="V37" s="111"/>
      <c r="W37" s="97"/>
      <c r="X37" s="71"/>
      <c r="Y37" s="111"/>
      <c r="Z37" s="97"/>
      <c r="AA37" s="71"/>
      <c r="AB37" s="111"/>
      <c r="AC37" s="97"/>
      <c r="AD37" s="71"/>
      <c r="AE37" s="118"/>
      <c r="AF37" s="97"/>
      <c r="AG37" s="71"/>
      <c r="AH37" s="111"/>
      <c r="AI37" s="97"/>
      <c r="AJ37" s="71"/>
      <c r="AK37" s="111"/>
      <c r="AL37" s="97"/>
      <c r="AM37" s="71"/>
      <c r="AN37" s="111"/>
      <c r="AO37" s="97"/>
      <c r="AP37" s="97"/>
      <c r="AQ37" s="111"/>
      <c r="AR37" s="97"/>
      <c r="AS37" s="71"/>
    </row>
    <row r="38" spans="1:45" ht="12.75">
      <c r="A38" s="101" t="s">
        <v>128</v>
      </c>
      <c r="B38" s="104">
        <v>38244</v>
      </c>
      <c r="C38" s="105" t="s">
        <v>17</v>
      </c>
      <c r="D38" s="101" t="s">
        <v>9</v>
      </c>
      <c r="E38" s="101" t="s">
        <v>7</v>
      </c>
      <c r="F38" s="89">
        <v>4035</v>
      </c>
      <c r="G38" s="110">
        <v>1</v>
      </c>
      <c r="H38" s="91">
        <f>'HNO3 Cold Leach'!G38/1000*'Horizon Thicknesses'!$J38</f>
        <v>38.12435024102054</v>
      </c>
      <c r="I38" s="82">
        <f>'HNO3 Cold Leach'!G38/1000*'Horizon Thicknesses'!$L38</f>
        <v>13.359725117575858</v>
      </c>
      <c r="J38" s="112">
        <v>0</v>
      </c>
      <c r="K38" s="115">
        <f>K$48/1000*'Horizon Thicknesses'!$J38</f>
        <v>0.25219415293002906</v>
      </c>
      <c r="L38" s="116">
        <f>K$48/1000*'Horizon Thicknesses'!$L38</f>
        <v>0.08837513395257503</v>
      </c>
      <c r="M38" s="110">
        <v>1</v>
      </c>
      <c r="N38" s="91">
        <f>'HNO3 Cold Leach'!I38/1000*'Horizon Thicknesses'!$J38</f>
        <v>0.9569487334549477</v>
      </c>
      <c r="O38" s="82">
        <f>'HNO3 Cold Leach'!I38/1000*'Horizon Thicknesses'!$L38</f>
        <v>0.33533875199831453</v>
      </c>
      <c r="P38" s="110">
        <v>1</v>
      </c>
      <c r="Q38" s="98">
        <f>'HNO3 Cold Leach'!J38/1000*'Horizon Thicknesses'!$J38</f>
        <v>66.50814021275089</v>
      </c>
      <c r="R38" s="77">
        <f>'HNO3 Cold Leach'!J38/1000*'Horizon Thicknesses'!$L38</f>
        <v>23.30611448342838</v>
      </c>
      <c r="S38" s="110">
        <v>1</v>
      </c>
      <c r="T38" s="98">
        <f>'HNO3 Cold Leach'!K38/1000*'Horizon Thicknesses'!$J38</f>
        <v>0.9713343540183345</v>
      </c>
      <c r="U38" s="77">
        <f>'HNO3 Cold Leach'!K38/1000*'Horizon Thicknesses'!$L38</f>
        <v>0.34037983296513996</v>
      </c>
      <c r="V38" s="112">
        <v>0</v>
      </c>
      <c r="W38" s="99">
        <f>W$48/1000*'Horizon Thicknesses'!$J38</f>
        <v>0.04203235882167151</v>
      </c>
      <c r="X38" s="72">
        <f>W$48/1000*'Horizon Thicknesses'!$L38</f>
        <v>0.014729188992095838</v>
      </c>
      <c r="Y38" s="112">
        <v>0</v>
      </c>
      <c r="Z38" s="99">
        <f>Z$48/1000*'Horizon Thicknesses'!$J38</f>
        <v>0.04203235882167151</v>
      </c>
      <c r="AA38" s="72">
        <f>Z$48/1000*'Horizon Thicknesses'!$L38</f>
        <v>0.014729188992095838</v>
      </c>
      <c r="AB38" s="110">
        <v>1</v>
      </c>
      <c r="AC38" s="98">
        <f>'HNO3 Cold Leach'!N38/1000*'Horizon Thicknesses'!$J38</f>
        <v>0.4042313830921426</v>
      </c>
      <c r="AD38" s="77">
        <f>'HNO3 Cold Leach'!N38/1000*'Horizon Thicknesses'!$L38</f>
        <v>0.14165277907340842</v>
      </c>
      <c r="AE38" s="112">
        <v>0</v>
      </c>
      <c r="AF38" s="99">
        <f>AF$48/1000*'Horizon Thicknesses'!$J38</f>
        <v>0.42032358821671506</v>
      </c>
      <c r="AG38" s="72">
        <f>AF$48/1000*'Horizon Thicknesses'!$L38</f>
        <v>0.14729188992095837</v>
      </c>
      <c r="AH38" s="110">
        <v>1</v>
      </c>
      <c r="AI38" s="98">
        <f>'HNO3 Cold Leach'!P38/1000*'Horizon Thicknesses'!$J38</f>
        <v>0.5087824255423522</v>
      </c>
      <c r="AJ38" s="77">
        <f>'HNO3 Cold Leach'!P38/1000*'Horizon Thicknesses'!$L38</f>
        <v>0.17829007725843882</v>
      </c>
      <c r="AK38" s="110">
        <v>1</v>
      </c>
      <c r="AL38" s="98">
        <f>'HNO3 Cold Leach'!Q38/1000*'Horizon Thicknesses'!$J38</f>
        <v>2.575108964900065</v>
      </c>
      <c r="AM38" s="77">
        <f>'HNO3 Cold Leach'!Q38/1000*'Horizon Thicknesses'!$L38</f>
        <v>0.9023825377056249</v>
      </c>
      <c r="AN38" s="110">
        <v>1</v>
      </c>
      <c r="AO38" s="98">
        <f>'HNO3 Cold Leach'!R38/1000*'Horizon Thicknesses'!$J38</f>
        <v>0.004274806545939887</v>
      </c>
      <c r="AP38" s="98">
        <f>'HNO3 Cold Leach'!R38/1000*'Horizon Thicknesses'!$L38</f>
        <v>0.001497999048469607</v>
      </c>
      <c r="AQ38" s="113">
        <v>1</v>
      </c>
      <c r="AR38" s="176">
        <f>'HNO3 Cold Leach'!S38/1000*'Horizon Thicknesses'!$J38</f>
        <v>1.4883728063806163</v>
      </c>
      <c r="AS38" s="183">
        <f>'HNO3 Cold Leach'!S38/1000*'Horizon Thicknesses'!$L38</f>
        <v>0.5215630283536005</v>
      </c>
    </row>
    <row r="39" spans="1:45" ht="12.75">
      <c r="A39" s="101" t="s">
        <v>129</v>
      </c>
      <c r="B39" s="104">
        <v>38244</v>
      </c>
      <c r="C39" s="105" t="s">
        <v>17</v>
      </c>
      <c r="D39" s="101" t="s">
        <v>18</v>
      </c>
      <c r="E39" s="101" t="s">
        <v>7</v>
      </c>
      <c r="F39" s="89">
        <v>4029</v>
      </c>
      <c r="G39" s="110">
        <v>1</v>
      </c>
      <c r="H39" s="91">
        <f>'HNO3 Cold Leach'!G39/1000*'Horizon Thicknesses'!$J39</f>
        <v>1889.8427321610377</v>
      </c>
      <c r="I39" s="82">
        <f>'HNO3 Cold Leach'!G39/1000*'Horizon Thicknesses'!$L39</f>
        <v>532.091643035632</v>
      </c>
      <c r="J39" s="110">
        <v>1</v>
      </c>
      <c r="K39" s="100">
        <f>'HNO3 Cold Leach'!H39/1000*'Horizon Thicknesses'!$J39</f>
        <v>0.5506476869426109</v>
      </c>
      <c r="L39" s="80">
        <f>'HNO3 Cold Leach'!H39/1000*'Horizon Thicknesses'!$L39</f>
        <v>0.1550367273916089</v>
      </c>
      <c r="M39" s="110">
        <v>1</v>
      </c>
      <c r="N39" s="91">
        <f>'HNO3 Cold Leach'!I39/1000*'Horizon Thicknesses'!$J39</f>
        <v>20.92058032285694</v>
      </c>
      <c r="O39" s="82">
        <f>'HNO3 Cold Leach'!I39/1000*'Horizon Thicknesses'!$L39</f>
        <v>5.890260479250983</v>
      </c>
      <c r="P39" s="110">
        <v>1</v>
      </c>
      <c r="Q39" s="98">
        <f>'HNO3 Cold Leach'!J39/1000*'Horizon Thicknesses'!$J39</f>
        <v>528.174889071061</v>
      </c>
      <c r="R39" s="77">
        <f>'HNO3 Cold Leach'!J39/1000*'Horizon Thicknesses'!$L39</f>
        <v>148.70943478699775</v>
      </c>
      <c r="S39" s="110">
        <v>1</v>
      </c>
      <c r="T39" s="98">
        <f>'HNO3 Cold Leach'!K39/1000*'Horizon Thicknesses'!$J39</f>
        <v>2.478573313024369</v>
      </c>
      <c r="U39" s="77">
        <f>'HNO3 Cold Leach'!K39/1000*'Horizon Thicknesses'!$L39</f>
        <v>0.6978507386185117</v>
      </c>
      <c r="V39" s="110">
        <v>1</v>
      </c>
      <c r="W39" s="98">
        <f>'HNO3 Cold Leach'!L39/1000*'Horizon Thicknesses'!$J39</f>
        <v>1.6762944317194965</v>
      </c>
      <c r="X39" s="77">
        <f>'HNO3 Cold Leach'!L39/1000*'Horizon Thicknesses'!$L39</f>
        <v>0.47196639339675145</v>
      </c>
      <c r="Y39" s="110">
        <v>1</v>
      </c>
      <c r="Z39" s="98">
        <f>'HNO3 Cold Leach'!M39/1000*'Horizon Thicknesses'!$J39</f>
        <v>0.787059883128147</v>
      </c>
      <c r="AA39" s="77">
        <f>'HNO3 Cold Leach'!M39/1000*'Horizon Thicknesses'!$L39</f>
        <v>0.22159938457006081</v>
      </c>
      <c r="AB39" s="110">
        <v>1</v>
      </c>
      <c r="AC39" s="98">
        <f>'HNO3 Cold Leach'!N39/1000*'Horizon Thicknesses'!$J39</f>
        <v>0.8607817648462739</v>
      </c>
      <c r="AD39" s="77">
        <f>'HNO3 Cold Leach'!N39/1000*'Horizon Thicknesses'!$L39</f>
        <v>0.24235603087904797</v>
      </c>
      <c r="AE39" s="112">
        <v>0</v>
      </c>
      <c r="AF39" s="99">
        <f>AF$48/1000*'Horizon Thicknesses'!$J39</f>
        <v>0.7718150710002148</v>
      </c>
      <c r="AG39" s="72">
        <f>AF$48/1000*'Horizon Thicknesses'!$L39</f>
        <v>0.21730715591268188</v>
      </c>
      <c r="AH39" s="110">
        <v>1</v>
      </c>
      <c r="AI39" s="98">
        <f>'HNO3 Cold Leach'!P39/1000*'Horizon Thicknesses'!$J39</f>
        <v>1.0562995886855011</v>
      </c>
      <c r="AJ39" s="77">
        <f>'HNO3 Cold Leach'!P39/1000*'Horizon Thicknesses'!$L39</f>
        <v>0.2974047385619372</v>
      </c>
      <c r="AK39" s="110">
        <v>1</v>
      </c>
      <c r="AL39" s="98">
        <f>'HNO3 Cold Leach'!Q39/1000*'Horizon Thicknesses'!$J39</f>
        <v>163.65293194875625</v>
      </c>
      <c r="AM39" s="77">
        <f>'HNO3 Cold Leach'!Q39/1000*'Horizon Thicknesses'!$L39</f>
        <v>46.07703909236827</v>
      </c>
      <c r="AN39" s="110">
        <v>1</v>
      </c>
      <c r="AO39" s="98">
        <f>'HNO3 Cold Leach'!R39/1000*'Horizon Thicknesses'!$J39</f>
        <v>0.1320338526038241</v>
      </c>
      <c r="AP39" s="98">
        <f>'HNO3 Cold Leach'!R39/1000*'Horizon Thicknesses'!$L39</f>
        <v>0.03717457985932912</v>
      </c>
      <c r="AQ39" s="113">
        <v>1</v>
      </c>
      <c r="AR39" s="176">
        <f>'HNO3 Cold Leach'!S39/1000*'Horizon Thicknesses'!$J39</f>
        <v>6.481942888569449</v>
      </c>
      <c r="AS39" s="183">
        <f>'HNO3 Cold Leach'!S39/1000*'Horizon Thicknesses'!$L39</f>
        <v>1.8250130462962528</v>
      </c>
    </row>
    <row r="40" spans="1:45" ht="12.75">
      <c r="A40" s="101" t="s">
        <v>130</v>
      </c>
      <c r="B40" s="104">
        <v>38244</v>
      </c>
      <c r="C40" s="105" t="s">
        <v>17</v>
      </c>
      <c r="D40" s="101" t="s">
        <v>6</v>
      </c>
      <c r="E40" s="101" t="s">
        <v>7</v>
      </c>
      <c r="F40" s="89">
        <v>4031</v>
      </c>
      <c r="G40" s="110">
        <v>1</v>
      </c>
      <c r="H40" s="91">
        <f>'HNO3 Cold Leach'!G40/1000*'Horizon Thicknesses'!$J40</f>
        <v>2518.0005216129757</v>
      </c>
      <c r="I40" s="82">
        <f>'HNO3 Cold Leach'!G40/1000*'Horizon Thicknesses'!$L40</f>
        <v>708.9516031725854</v>
      </c>
      <c r="J40" s="110">
        <v>1</v>
      </c>
      <c r="K40" s="100">
        <f>'HNO3 Cold Leach'!H40/1000*'Horizon Thicknesses'!$J40</f>
        <v>0.8108249114631191</v>
      </c>
      <c r="L40" s="80">
        <f>'HNO3 Cold Leach'!H40/1000*'Horizon Thicknesses'!$L40</f>
        <v>0.22829050905272286</v>
      </c>
      <c r="M40" s="110">
        <v>1</v>
      </c>
      <c r="N40" s="91">
        <f>'HNO3 Cold Leach'!I40/1000*'Horizon Thicknesses'!$J40</f>
        <v>19.956336870225865</v>
      </c>
      <c r="O40" s="82">
        <f>'HNO3 Cold Leach'!I40/1000*'Horizon Thicknesses'!$L40</f>
        <v>5.618774458607283</v>
      </c>
      <c r="P40" s="110">
        <v>1</v>
      </c>
      <c r="Q40" s="98">
        <f>'HNO3 Cold Leach'!J40/1000*'Horizon Thicknesses'!$J40</f>
        <v>536.6299284203336</v>
      </c>
      <c r="R40" s="77">
        <f>'HNO3 Cold Leach'!J40/1000*'Horizon Thicknesses'!$L40</f>
        <v>151.0899798465017</v>
      </c>
      <c r="S40" s="110">
        <v>1</v>
      </c>
      <c r="T40" s="98">
        <f>'HNO3 Cold Leach'!K40/1000*'Horizon Thicknesses'!$J40</f>
        <v>3.891042230888936</v>
      </c>
      <c r="U40" s="77">
        <f>'HNO3 Cold Leach'!K40/1000*'Horizon Thicknesses'!$L40</f>
        <v>1.095536162094943</v>
      </c>
      <c r="V40" s="110">
        <v>1</v>
      </c>
      <c r="W40" s="98">
        <f>'HNO3 Cold Leach'!L40/1000*'Horizon Thicknesses'!$J40</f>
        <v>8.878638040887264</v>
      </c>
      <c r="X40" s="77">
        <f>'HNO3 Cold Leach'!L40/1000*'Horizon Thicknesses'!$L40</f>
        <v>2.4998107105410745</v>
      </c>
      <c r="Y40" s="110">
        <v>2</v>
      </c>
      <c r="Z40" s="98">
        <f>'HNO3 Cold Leach'!M40/1000*'Horizon Thicknesses'!$J40</f>
        <v>0.39432102499799127</v>
      </c>
      <c r="AA40" s="77">
        <f>'HNO3 Cold Leach'!M40/1000*'Horizon Thicknesses'!$L40</f>
        <v>0.11102242451399753</v>
      </c>
      <c r="AB40" s="110">
        <v>1</v>
      </c>
      <c r="AC40" s="98">
        <f>'HNO3 Cold Leach'!N40/1000*'Horizon Thicknesses'!$J40</f>
        <v>1.485026567499468</v>
      </c>
      <c r="AD40" s="77">
        <f>'HNO3 Cold Leach'!N40/1000*'Horizon Thicknesses'!$L40</f>
        <v>0.41811427628625797</v>
      </c>
      <c r="AE40" s="177">
        <v>1</v>
      </c>
      <c r="AF40" s="176">
        <f>'HNO3 Cold Leach'!Q40/1000*'Horizon Thicknesses'!$J40</f>
        <v>270.09286040398354</v>
      </c>
      <c r="AG40" s="178">
        <f>'HNO3 Cold Leach'!Q40/1000*'Horizon Thicknesses'!$L40</f>
        <v>76.04556263801479</v>
      </c>
      <c r="AH40" s="110">
        <v>1</v>
      </c>
      <c r="AI40" s="98">
        <f>'HNO3 Cold Leach'!P40/1000*'Horizon Thicknesses'!$J40</f>
        <v>1.724442341077609</v>
      </c>
      <c r="AJ40" s="77">
        <f>'HNO3 Cold Leach'!P40/1000*'Horizon Thicknesses'!$L40</f>
        <v>0.4855226008859288</v>
      </c>
      <c r="AK40" s="110">
        <v>1</v>
      </c>
      <c r="AL40" s="98">
        <f>'HNO3 Cold Leach'!Q40/1000*'Horizon Thicknesses'!$J40</f>
        <v>270.09286040398354</v>
      </c>
      <c r="AM40" s="77">
        <f>'HNO3 Cold Leach'!Q40/1000*'Horizon Thicknesses'!$L40</f>
        <v>76.04556263801479</v>
      </c>
      <c r="AN40" s="110">
        <v>1</v>
      </c>
      <c r="AO40" s="98">
        <f>'HNO3 Cold Leach'!R40/1000*'Horizon Thicknesses'!$J40</f>
        <v>0.05475727745827214</v>
      </c>
      <c r="AP40" s="98">
        <f>'HNO3 Cold Leach'!R40/1000*'Horizon Thicknesses'!$L40</f>
        <v>0.015417097536795068</v>
      </c>
      <c r="AQ40" s="113">
        <v>1</v>
      </c>
      <c r="AR40" s="176">
        <f>'HNO3 Cold Leach'!S40/1000*'Horizon Thicknesses'!$J40</f>
        <v>7.812764834176606</v>
      </c>
      <c r="AS40" s="183">
        <f>'HNO3 Cold Leach'!S40/1000*'Horizon Thicknesses'!$L40</f>
        <v>2.1997104872924425</v>
      </c>
    </row>
    <row r="41" spans="1:45" ht="12.75">
      <c r="A41" s="101" t="s">
        <v>131</v>
      </c>
      <c r="B41" s="104">
        <v>38244</v>
      </c>
      <c r="C41" s="105" t="s">
        <v>17</v>
      </c>
      <c r="D41" s="101" t="s">
        <v>8</v>
      </c>
      <c r="E41" s="101" t="s">
        <v>7</v>
      </c>
      <c r="F41" s="89">
        <v>4033</v>
      </c>
      <c r="G41" s="111"/>
      <c r="H41" s="92"/>
      <c r="I41" s="83"/>
      <c r="J41" s="111"/>
      <c r="K41" s="114"/>
      <c r="L41" s="81"/>
      <c r="M41" s="111"/>
      <c r="N41" s="92"/>
      <c r="O41" s="83"/>
      <c r="P41" s="111"/>
      <c r="Q41" s="97"/>
      <c r="R41" s="71"/>
      <c r="S41" s="111"/>
      <c r="T41" s="97"/>
      <c r="U41" s="71"/>
      <c r="V41" s="111"/>
      <c r="W41" s="97"/>
      <c r="X41" s="71"/>
      <c r="Y41" s="111"/>
      <c r="Z41" s="97"/>
      <c r="AA41" s="71"/>
      <c r="AB41" s="111"/>
      <c r="AC41" s="97"/>
      <c r="AD41" s="71"/>
      <c r="AE41" s="118"/>
      <c r="AF41" s="97"/>
      <c r="AG41" s="71"/>
      <c r="AH41" s="111"/>
      <c r="AI41" s="97"/>
      <c r="AJ41" s="71"/>
      <c r="AK41" s="111"/>
      <c r="AL41" s="97"/>
      <c r="AM41" s="71"/>
      <c r="AN41" s="111"/>
      <c r="AO41" s="97"/>
      <c r="AP41" s="97"/>
      <c r="AQ41" s="111"/>
      <c r="AR41" s="97"/>
      <c r="AS41" s="71"/>
    </row>
    <row r="42" spans="1:45" ht="12.75">
      <c r="A42" s="101" t="s">
        <v>132</v>
      </c>
      <c r="B42" s="104">
        <v>38237</v>
      </c>
      <c r="C42" s="105" t="s">
        <v>22</v>
      </c>
      <c r="D42" s="24" t="s">
        <v>43</v>
      </c>
      <c r="E42" s="103"/>
      <c r="F42" s="90"/>
      <c r="G42" s="111"/>
      <c r="H42" s="92"/>
      <c r="I42" s="83"/>
      <c r="J42" s="111"/>
      <c r="K42" s="114"/>
      <c r="L42" s="81"/>
      <c r="M42" s="111"/>
      <c r="N42" s="92"/>
      <c r="O42" s="83"/>
      <c r="P42" s="111"/>
      <c r="Q42" s="97"/>
      <c r="R42" s="71"/>
      <c r="S42" s="111"/>
      <c r="T42" s="97"/>
      <c r="U42" s="71"/>
      <c r="V42" s="111"/>
      <c r="W42" s="97"/>
      <c r="X42" s="71"/>
      <c r="Y42" s="111"/>
      <c r="Z42" s="97"/>
      <c r="AA42" s="71"/>
      <c r="AB42" s="111"/>
      <c r="AC42" s="97"/>
      <c r="AD42" s="71"/>
      <c r="AE42" s="118"/>
      <c r="AF42" s="97"/>
      <c r="AG42" s="71"/>
      <c r="AH42" s="111"/>
      <c r="AI42" s="97"/>
      <c r="AJ42" s="71"/>
      <c r="AK42" s="111"/>
      <c r="AL42" s="97"/>
      <c r="AM42" s="71"/>
      <c r="AN42" s="111"/>
      <c r="AO42" s="97"/>
      <c r="AP42" s="97"/>
      <c r="AQ42" s="111"/>
      <c r="AR42" s="97"/>
      <c r="AS42" s="71"/>
    </row>
    <row r="43" spans="1:45" ht="12.75">
      <c r="A43" s="101" t="s">
        <v>133</v>
      </c>
      <c r="B43" s="104">
        <v>38237</v>
      </c>
      <c r="C43" s="105" t="s">
        <v>22</v>
      </c>
      <c r="D43" s="101" t="s">
        <v>10</v>
      </c>
      <c r="E43" s="101" t="s">
        <v>11</v>
      </c>
      <c r="F43" s="89">
        <v>4025</v>
      </c>
      <c r="G43" s="111"/>
      <c r="H43" s="92"/>
      <c r="I43" s="83"/>
      <c r="J43" s="111"/>
      <c r="K43" s="114"/>
      <c r="L43" s="81"/>
      <c r="M43" s="111"/>
      <c r="N43" s="92"/>
      <c r="O43" s="83"/>
      <c r="P43" s="111"/>
      <c r="Q43" s="97"/>
      <c r="R43" s="71"/>
      <c r="S43" s="111"/>
      <c r="T43" s="97"/>
      <c r="U43" s="71"/>
      <c r="V43" s="111"/>
      <c r="W43" s="97"/>
      <c r="X43" s="71"/>
      <c r="Y43" s="111"/>
      <c r="Z43" s="97"/>
      <c r="AA43" s="71"/>
      <c r="AB43" s="111"/>
      <c r="AC43" s="97"/>
      <c r="AD43" s="71"/>
      <c r="AE43" s="118"/>
      <c r="AF43" s="97"/>
      <c r="AG43" s="71"/>
      <c r="AH43" s="111"/>
      <c r="AI43" s="97"/>
      <c r="AJ43" s="71"/>
      <c r="AK43" s="111"/>
      <c r="AL43" s="97"/>
      <c r="AM43" s="71"/>
      <c r="AN43" s="111"/>
      <c r="AO43" s="97"/>
      <c r="AP43" s="97"/>
      <c r="AQ43" s="111"/>
      <c r="AR43" s="97"/>
      <c r="AS43" s="71"/>
    </row>
    <row r="44" spans="1:45" ht="12.75">
      <c r="A44" s="101" t="s">
        <v>134</v>
      </c>
      <c r="B44" s="104">
        <v>38237</v>
      </c>
      <c r="C44" s="105" t="s">
        <v>22</v>
      </c>
      <c r="D44" s="101" t="s">
        <v>18</v>
      </c>
      <c r="E44" s="101" t="s">
        <v>7</v>
      </c>
      <c r="F44" s="89">
        <v>4019</v>
      </c>
      <c r="G44" s="110">
        <v>1</v>
      </c>
      <c r="H44" s="91">
        <f>'HNO3 Cold Leach'!G44/1000*'Horizon Thicknesses'!$J44</f>
        <v>481.9006896070526</v>
      </c>
      <c r="I44" s="82">
        <f>'HNO3 Cold Leach'!G44/1000*'Horizon Thicknesses'!$L44</f>
        <v>182.42179233473345</v>
      </c>
      <c r="J44" s="112">
        <v>0</v>
      </c>
      <c r="K44" s="115">
        <f>K$48/1000*'Horizon Thicknesses'!$J44</f>
        <v>0.16116734737279728</v>
      </c>
      <c r="L44" s="116">
        <f>K$48/1000*'Horizon Thicknesses'!$L44</f>
        <v>0.06100932621107834</v>
      </c>
      <c r="M44" s="110">
        <v>1</v>
      </c>
      <c r="N44" s="91">
        <f>'HNO3 Cold Leach'!I44/1000*'Horizon Thicknesses'!$J44</f>
        <v>2.2440473774076346</v>
      </c>
      <c r="O44" s="82">
        <f>'HNO3 Cold Leach'!I44/1000*'Horizon Thicknesses'!$L44</f>
        <v>0.8494761545258593</v>
      </c>
      <c r="P44" s="110">
        <v>1</v>
      </c>
      <c r="Q44" s="98">
        <f>'HNO3 Cold Leach'!J44/1000*'Horizon Thicknesses'!$J44</f>
        <v>176.1756171136939</v>
      </c>
      <c r="R44" s="77">
        <f>'HNO3 Cold Leach'!J44/1000*'Horizon Thicknesses'!$L44</f>
        <v>66.69065334968437</v>
      </c>
      <c r="S44" s="110">
        <v>1</v>
      </c>
      <c r="T44" s="98">
        <f>'HNO3 Cold Leach'!K44/1000*'Horizon Thicknesses'!$J44</f>
        <v>1.1368000869213803</v>
      </c>
      <c r="U44" s="77">
        <f>'HNO3 Cold Leach'!K44/1000*'Horizon Thicknesses'!$L44</f>
        <v>0.43033163026095006</v>
      </c>
      <c r="V44" s="110">
        <v>1</v>
      </c>
      <c r="W44" s="98">
        <f>'HNO3 Cold Leach'!L44/1000*'Horizon Thicknesses'!$J44</f>
        <v>0.2144433526955812</v>
      </c>
      <c r="X44" s="77">
        <f>'HNO3 Cold Leach'!L44/1000*'Horizon Thicknesses'!$L44</f>
        <v>0.08117676856801247</v>
      </c>
      <c r="Y44" s="110">
        <v>1</v>
      </c>
      <c r="Z44" s="98">
        <f>'HNO3 Cold Leach'!M44/1000*'Horizon Thicknesses'!$J44</f>
        <v>1.8792814772446131</v>
      </c>
      <c r="AA44" s="77">
        <f>'HNO3 Cold Leach'!M44/1000*'Horizon Thicknesses'!$L44</f>
        <v>0.7113953201850964</v>
      </c>
      <c r="AB44" s="110">
        <v>1</v>
      </c>
      <c r="AC44" s="98">
        <f>'HNO3 Cold Leach'!N44/1000*'Horizon Thicknesses'!$J44</f>
        <v>0.4253109092176226</v>
      </c>
      <c r="AD44" s="77">
        <f>'HNO3 Cold Leach'!N44/1000*'Horizon Thicknesses'!$L44</f>
        <v>0.16099993221063522</v>
      </c>
      <c r="AE44" s="177">
        <v>1</v>
      </c>
      <c r="AF44" s="176">
        <f>'HNO3 Cold Leach'!Q44/1000*'Horizon Thicknesses'!$J44</f>
        <v>29.767185402393697</v>
      </c>
      <c r="AG44" s="178">
        <f>'HNO3 Cold Leach'!Q44/1000*'Horizon Thicknesses'!$L44</f>
        <v>11.268262177198391</v>
      </c>
      <c r="AH44" s="110">
        <v>1</v>
      </c>
      <c r="AI44" s="98">
        <f>'HNO3 Cold Leach'!P44/1000*'Horizon Thicknesses'!$J44</f>
        <v>0.4374702734789147</v>
      </c>
      <c r="AJ44" s="77">
        <f>'HNO3 Cold Leach'!P44/1000*'Horizon Thicknesses'!$L44</f>
        <v>0.16560281631110102</v>
      </c>
      <c r="AK44" s="110">
        <v>1</v>
      </c>
      <c r="AL44" s="98">
        <f>'HNO3 Cold Leach'!Q44/1000*'Horizon Thicknesses'!$J44</f>
        <v>29.767185402393697</v>
      </c>
      <c r="AM44" s="77">
        <f>'HNO3 Cold Leach'!Q44/1000*'Horizon Thicknesses'!$L44</f>
        <v>11.268262177198391</v>
      </c>
      <c r="AN44" s="112">
        <v>0</v>
      </c>
      <c r="AO44" s="99">
        <f>AO$48/1000*'Horizon Thicknesses'!$J44</f>
        <v>0.002686122456213288</v>
      </c>
      <c r="AP44" s="72">
        <f>AO$48/1000*'Horizon Thicknesses'!$L44</f>
        <v>0.0010168221035179723</v>
      </c>
      <c r="AQ44" s="113">
        <v>1</v>
      </c>
      <c r="AR44" s="176">
        <f>'HNO3 Cold Leach'!S44/1000*'Horizon Thicknesses'!$J44</f>
        <v>1.3140945775681054</v>
      </c>
      <c r="AS44" s="183">
        <f>'HNO3 Cold Leach'!S44/1000*'Horizon Thicknesses'!$L44</f>
        <v>0.4974458292076699</v>
      </c>
    </row>
    <row r="45" spans="1:45" ht="12.75">
      <c r="A45" s="101" t="s">
        <v>135</v>
      </c>
      <c r="B45" s="104">
        <v>38237</v>
      </c>
      <c r="C45" s="105" t="s">
        <v>22</v>
      </c>
      <c r="D45" s="101" t="s">
        <v>6</v>
      </c>
      <c r="E45" s="101" t="s">
        <v>7</v>
      </c>
      <c r="F45" s="89">
        <v>4021</v>
      </c>
      <c r="G45" s="110">
        <v>1</v>
      </c>
      <c r="H45" s="91">
        <f>'HNO3 Cold Leach'!G45/1000*'Horizon Thicknesses'!$J45</f>
        <v>1319.2197221422014</v>
      </c>
      <c r="I45" s="82">
        <f>'HNO3 Cold Leach'!G45/1000*'Horizon Thicknesses'!$L45</f>
        <v>373.63068311351526</v>
      </c>
      <c r="J45" s="112">
        <v>0</v>
      </c>
      <c r="K45" s="115">
        <f>K$48/1000*'Horizon Thicknesses'!$J45</f>
        <v>1.0415779982627595</v>
      </c>
      <c r="L45" s="116">
        <f>K$48/1000*'Horizon Thicknesses'!$L45</f>
        <v>0.2949967260760628</v>
      </c>
      <c r="M45" s="113">
        <v>1</v>
      </c>
      <c r="N45" s="91">
        <f>'HNO3 Cold Leach'!I45/1000*'Horizon Thicknesses'!$J45</f>
        <v>135.0535159783606</v>
      </c>
      <c r="O45" s="82">
        <f>'HNO3 Cold Leach'!I45/1000*'Horizon Thicknesses'!$L45</f>
        <v>38.249987159028926</v>
      </c>
      <c r="P45" s="110">
        <v>1</v>
      </c>
      <c r="Q45" s="98">
        <f>'HNO3 Cold Leach'!J45/1000*'Horizon Thicknesses'!$J45</f>
        <v>367.68949056200603</v>
      </c>
      <c r="R45" s="77">
        <f>'HNO3 Cold Leach'!J45/1000*'Horizon Thicknesses'!$L45</f>
        <v>104.13737243804958</v>
      </c>
      <c r="S45" s="113">
        <v>1</v>
      </c>
      <c r="T45" s="98">
        <f>'HNO3 Cold Leach'!K45/1000*'Horizon Thicknesses'!$J45</f>
        <v>9.159339825594156</v>
      </c>
      <c r="U45" s="77">
        <f>'HNO3 Cold Leach'!K45/1000*'Horizon Thicknesses'!$L45</f>
        <v>2.5941170666766933</v>
      </c>
      <c r="V45" s="110">
        <v>1</v>
      </c>
      <c r="W45" s="98">
        <f>'HNO3 Cold Leach'!L45/1000*'Horizon Thicknesses'!$J45</f>
        <v>6.958412609145791</v>
      </c>
      <c r="X45" s="77">
        <f>'HNO3 Cold Leach'!L45/1000*'Horizon Thicknesses'!$L45</f>
        <v>1.9707683359365313</v>
      </c>
      <c r="Y45" s="113">
        <v>1</v>
      </c>
      <c r="Z45" s="98">
        <f>'HNO3 Cold Leach'!M45/1000*'Horizon Thicknesses'!$J45</f>
        <v>29.6832444204489</v>
      </c>
      <c r="AA45" s="77">
        <f>'HNO3 Cold Leach'!M45/1000*'Horizon Thicknesses'!$L45</f>
        <v>8.406917137221427</v>
      </c>
      <c r="AB45" s="113">
        <v>1</v>
      </c>
      <c r="AC45" s="98">
        <f>'HNO3 Cold Leach'!N45/1000*'Horizon Thicknesses'!$J45</f>
        <v>2.576586642272324</v>
      </c>
      <c r="AD45" s="77">
        <f>'HNO3 Cold Leach'!N45/1000*'Horizon Thicknesses'!$L45</f>
        <v>0.7297433559362725</v>
      </c>
      <c r="AE45" s="177">
        <v>1</v>
      </c>
      <c r="AF45" s="176">
        <f>'HNO3 Cold Leach'!Q45/1000*'Horizon Thicknesses'!$J45</f>
        <v>284.44949502856065</v>
      </c>
      <c r="AG45" s="178">
        <f>'HNO3 Cold Leach'!Q45/1000*'Horizon Thicknesses'!$L45</f>
        <v>80.56206055366987</v>
      </c>
      <c r="AH45" s="113">
        <v>1</v>
      </c>
      <c r="AI45" s="98">
        <f>'HNO3 Cold Leach'!P45/1000*'Horizon Thicknesses'!$J45</f>
        <v>2.611855964415126</v>
      </c>
      <c r="AJ45" s="77">
        <f>'HNO3 Cold Leach'!P45/1000*'Horizon Thicknesses'!$L45</f>
        <v>0.7397323673981138</v>
      </c>
      <c r="AK45" s="113">
        <v>1</v>
      </c>
      <c r="AL45" s="98">
        <f>'HNO3 Cold Leach'!Q45/1000*'Horizon Thicknesses'!$J45</f>
        <v>284.44949502856065</v>
      </c>
      <c r="AM45" s="77">
        <f>'HNO3 Cold Leach'!Q45/1000*'Horizon Thicknesses'!$L45</f>
        <v>80.56206055366987</v>
      </c>
      <c r="AN45" s="113">
        <v>1</v>
      </c>
      <c r="AO45" s="98">
        <f>'HNO3 Cold Leach'!R45/1000*'Horizon Thicknesses'!$J45</f>
        <v>0.07056340083196874</v>
      </c>
      <c r="AP45" s="98">
        <f>'HNO3 Cold Leach'!R45/1000*'Horizon Thicknesses'!$L45</f>
        <v>0.019985034496641168</v>
      </c>
      <c r="AQ45" s="113">
        <v>1</v>
      </c>
      <c r="AR45" s="176">
        <f>'HNO3 Cold Leach'!S45/1000*'Horizon Thicknesses'!$J45</f>
        <v>11.442036785807758</v>
      </c>
      <c r="AS45" s="183">
        <f>'HNO3 Cold Leach'!S45/1000*'Horizon Thicknesses'!$L45</f>
        <v>3.2406247031762474</v>
      </c>
    </row>
    <row r="46" spans="1:45" ht="12.75">
      <c r="A46" s="101" t="s">
        <v>136</v>
      </c>
      <c r="B46" s="104">
        <v>38237</v>
      </c>
      <c r="C46" s="105" t="s">
        <v>22</v>
      </c>
      <c r="D46" s="101" t="s">
        <v>8</v>
      </c>
      <c r="E46" s="101" t="s">
        <v>7</v>
      </c>
      <c r="F46" s="89">
        <v>4023</v>
      </c>
      <c r="G46" s="111"/>
      <c r="H46" s="92"/>
      <c r="I46" s="83"/>
      <c r="J46" s="111"/>
      <c r="K46" s="97"/>
      <c r="L46" s="71"/>
      <c r="M46" s="70"/>
      <c r="N46" s="97"/>
      <c r="O46" s="71"/>
      <c r="P46" s="70"/>
      <c r="Q46" s="97"/>
      <c r="R46" s="71"/>
      <c r="S46" s="70"/>
      <c r="T46" s="97"/>
      <c r="U46" s="71"/>
      <c r="V46" s="70"/>
      <c r="W46" s="97"/>
      <c r="X46" s="71"/>
      <c r="Y46" s="70"/>
      <c r="Z46" s="97"/>
      <c r="AA46" s="71"/>
      <c r="AB46" s="70"/>
      <c r="AC46" s="97"/>
      <c r="AD46" s="71"/>
      <c r="AE46" s="111"/>
      <c r="AF46" s="97"/>
      <c r="AG46" s="71"/>
      <c r="AH46" s="70"/>
      <c r="AI46" s="97"/>
      <c r="AJ46" s="71"/>
      <c r="AK46" s="70"/>
      <c r="AL46" s="97"/>
      <c r="AM46" s="71"/>
      <c r="AN46" s="70"/>
      <c r="AO46" s="97"/>
      <c r="AP46" s="97"/>
      <c r="AQ46" s="111"/>
      <c r="AR46" s="97"/>
      <c r="AS46" s="71"/>
    </row>
    <row r="47" spans="8:45" ht="12.75">
      <c r="H47" s="93"/>
      <c r="I47" s="74"/>
      <c r="J47" s="73"/>
      <c r="K47" s="93"/>
      <c r="L47" s="74"/>
      <c r="M47" s="73"/>
      <c r="N47" s="93"/>
      <c r="O47" s="74"/>
      <c r="P47" s="73"/>
      <c r="Q47" s="93"/>
      <c r="R47" s="74"/>
      <c r="S47" s="73"/>
      <c r="T47" s="93"/>
      <c r="U47" s="74"/>
      <c r="V47" s="73"/>
      <c r="W47" s="93"/>
      <c r="X47" s="74"/>
      <c r="Y47" s="73"/>
      <c r="Z47" s="93"/>
      <c r="AA47" s="74"/>
      <c r="AB47" s="73"/>
      <c r="AC47" s="93"/>
      <c r="AD47" s="74"/>
      <c r="AE47" s="73"/>
      <c r="AF47" s="93"/>
      <c r="AG47" s="74"/>
      <c r="AH47" s="73"/>
      <c r="AI47" s="93"/>
      <c r="AJ47" s="74"/>
      <c r="AK47" s="73"/>
      <c r="AL47" s="93"/>
      <c r="AM47" s="74"/>
      <c r="AN47" s="73"/>
      <c r="AO47" s="93"/>
      <c r="AP47" s="93"/>
      <c r="AQ47" s="73"/>
      <c r="AR47" s="93"/>
      <c r="AS47" s="74"/>
    </row>
    <row r="48" spans="3:44" ht="12.75">
      <c r="C48" s="95" t="s">
        <v>181</v>
      </c>
      <c r="E48" s="2"/>
      <c r="H48" s="107">
        <v>0.005799806659354165</v>
      </c>
      <c r="K48" s="107">
        <v>0.003479883995612499</v>
      </c>
      <c r="N48" s="107">
        <v>0.0028999033296770826</v>
      </c>
      <c r="Q48" s="107">
        <v>0.02899903329677083</v>
      </c>
      <c r="T48" s="107">
        <v>0.005799806659354165</v>
      </c>
      <c r="W48" s="107">
        <v>0.0005799806659354165</v>
      </c>
      <c r="Z48" s="107">
        <v>0.0005799806659354165</v>
      </c>
      <c r="AC48" s="107">
        <v>0.0028999033296770826</v>
      </c>
      <c r="AF48" s="107">
        <v>0.005799806659354165</v>
      </c>
      <c r="AI48" s="107">
        <v>0.005799806659354165</v>
      </c>
      <c r="AL48" s="107">
        <v>0.003479883995612499</v>
      </c>
      <c r="AO48" s="108">
        <v>5.799806659354165E-05</v>
      </c>
      <c r="AR48" s="107">
        <v>0.0028999033296770826</v>
      </c>
    </row>
    <row r="49" spans="4:45" ht="12.75">
      <c r="D49" s="96"/>
      <c r="H49" s="93"/>
      <c r="I49" s="74"/>
      <c r="J49" s="73"/>
      <c r="K49" s="93"/>
      <c r="L49" s="74"/>
      <c r="M49" s="73"/>
      <c r="N49" s="93"/>
      <c r="O49" s="74"/>
      <c r="P49" s="73"/>
      <c r="Q49" s="93"/>
      <c r="R49" s="74"/>
      <c r="S49" s="73"/>
      <c r="T49" s="93"/>
      <c r="U49" s="74"/>
      <c r="V49" s="73"/>
      <c r="W49" s="93"/>
      <c r="X49" s="74"/>
      <c r="Y49" s="73"/>
      <c r="Z49" s="93"/>
      <c r="AA49" s="74"/>
      <c r="AB49" s="73"/>
      <c r="AC49" s="93"/>
      <c r="AD49" s="74"/>
      <c r="AE49" s="73"/>
      <c r="AF49" s="93"/>
      <c r="AG49" s="74"/>
      <c r="AH49" s="73"/>
      <c r="AI49" s="93"/>
      <c r="AJ49" s="74"/>
      <c r="AK49" s="73"/>
      <c r="AL49" s="93"/>
      <c r="AM49" s="74"/>
      <c r="AN49" s="73"/>
      <c r="AO49" s="93"/>
      <c r="AP49" s="93"/>
      <c r="AQ49" s="73"/>
      <c r="AR49" s="93"/>
      <c r="AS49" s="74"/>
    </row>
    <row r="50" spans="1:45" s="146" customFormat="1" ht="12.75">
      <c r="A50" s="137"/>
      <c r="B50" s="137"/>
      <c r="C50" s="138"/>
      <c r="D50" s="137"/>
      <c r="E50" s="137"/>
      <c r="F50" s="137"/>
      <c r="G50" s="139"/>
      <c r="H50" s="140" t="s">
        <v>189</v>
      </c>
      <c r="I50" s="141"/>
      <c r="J50" s="142"/>
      <c r="K50" s="143"/>
      <c r="L50" s="144"/>
      <c r="M50" s="145"/>
      <c r="N50" s="143"/>
      <c r="O50" s="144"/>
      <c r="P50" s="145"/>
      <c r="Q50" s="143"/>
      <c r="R50" s="144"/>
      <c r="S50" s="145"/>
      <c r="T50" s="143"/>
      <c r="U50" s="144"/>
      <c r="V50" s="145"/>
      <c r="W50" s="143"/>
      <c r="X50" s="144"/>
      <c r="Y50" s="145"/>
      <c r="Z50" s="143"/>
      <c r="AA50" s="144"/>
      <c r="AB50" s="145"/>
      <c r="AC50" s="143"/>
      <c r="AD50" s="144"/>
      <c r="AE50" s="145"/>
      <c r="AF50" s="143"/>
      <c r="AG50" s="144"/>
      <c r="AH50" s="145"/>
      <c r="AI50" s="143"/>
      <c r="AJ50" s="144"/>
      <c r="AK50" s="145"/>
      <c r="AL50" s="143"/>
      <c r="AM50" s="144"/>
      <c r="AN50" s="145"/>
      <c r="AO50" s="143"/>
      <c r="AP50" s="143"/>
      <c r="AQ50" s="145"/>
      <c r="AR50" s="143"/>
      <c r="AS50" s="144"/>
    </row>
    <row r="51" spans="8:45" ht="13.5" thickBot="1">
      <c r="H51" s="89" t="s">
        <v>75</v>
      </c>
      <c r="I51" s="76" t="s">
        <v>167</v>
      </c>
      <c r="K51" s="89" t="s">
        <v>76</v>
      </c>
      <c r="L51" s="76" t="s">
        <v>168</v>
      </c>
      <c r="N51" s="89" t="s">
        <v>77</v>
      </c>
      <c r="O51" s="76" t="s">
        <v>169</v>
      </c>
      <c r="Q51" s="89" t="s">
        <v>78</v>
      </c>
      <c r="R51" s="76" t="s">
        <v>170</v>
      </c>
      <c r="T51" s="89" t="s">
        <v>79</v>
      </c>
      <c r="U51" s="76" t="s">
        <v>171</v>
      </c>
      <c r="W51" s="89" t="s">
        <v>80</v>
      </c>
      <c r="X51" s="76" t="s">
        <v>172</v>
      </c>
      <c r="Z51" s="89" t="s">
        <v>81</v>
      </c>
      <c r="AA51" s="76" t="s">
        <v>173</v>
      </c>
      <c r="AC51" s="89" t="s">
        <v>82</v>
      </c>
      <c r="AD51" s="76" t="s">
        <v>174</v>
      </c>
      <c r="AF51" s="89" t="s">
        <v>83</v>
      </c>
      <c r="AG51" s="76" t="s">
        <v>179</v>
      </c>
      <c r="AI51" s="89" t="s">
        <v>84</v>
      </c>
      <c r="AJ51" s="76" t="s">
        <v>178</v>
      </c>
      <c r="AL51" s="89" t="s">
        <v>85</v>
      </c>
      <c r="AM51" s="76" t="s">
        <v>177</v>
      </c>
      <c r="AO51" s="89" t="s">
        <v>86</v>
      </c>
      <c r="AP51" s="89" t="s">
        <v>176</v>
      </c>
      <c r="AQ51" s="73"/>
      <c r="AR51" s="89" t="s">
        <v>87</v>
      </c>
      <c r="AS51" s="76" t="s">
        <v>175</v>
      </c>
    </row>
    <row r="52" spans="1:45" ht="12.75">
      <c r="A52" s="66" t="s">
        <v>183</v>
      </c>
      <c r="B52" s="67"/>
      <c r="C52" s="105">
        <v>101</v>
      </c>
      <c r="D52" s="89" t="s">
        <v>137</v>
      </c>
      <c r="H52" s="127">
        <f>SUMIF(G4,"1",H4)</f>
        <v>2755.1545414795346</v>
      </c>
      <c r="I52" s="88">
        <f>SUMIF(G4,"1",I4)</f>
        <v>810.5678958437368</v>
      </c>
      <c r="J52" s="85"/>
      <c r="K52" s="161">
        <f>SUMIF(J4,"1",K4)</f>
        <v>0</v>
      </c>
      <c r="L52" s="162">
        <f>SUMIF(J4,"1",L4)</f>
        <v>0</v>
      </c>
      <c r="M52" s="85"/>
      <c r="N52" s="94">
        <f>SUMIF(M4,"1",N4)</f>
        <v>48.97975880461428</v>
      </c>
      <c r="O52" s="86">
        <f>SUMIF(M4,"1",O4)</f>
        <v>14.40987045752796</v>
      </c>
      <c r="P52" s="85"/>
      <c r="Q52" s="129">
        <f>SUMIF(P4,"1",Q4)</f>
        <v>914.6683898470955</v>
      </c>
      <c r="R52" s="130">
        <f>SUMIF(P4,"1",R4)</f>
        <v>269.09591494457595</v>
      </c>
      <c r="S52" s="85"/>
      <c r="T52" s="94">
        <f>SUMIF(S4,"1",T4)</f>
        <v>7.454576898405875</v>
      </c>
      <c r="U52" s="86">
        <f>SUMIF(S4,"1",U4)</f>
        <v>2.1931403919365455</v>
      </c>
      <c r="V52" s="85"/>
      <c r="W52" s="94">
        <f>SUMIF(V4,"1",W4)</f>
        <v>17.943396004672103</v>
      </c>
      <c r="X52" s="86">
        <f>SUMIF(V4,"1",X4)</f>
        <v>5.278956415993849</v>
      </c>
      <c r="Y52" s="180"/>
      <c r="Z52" s="94">
        <f>SUMIF(Y4,"1",Z4)</f>
        <v>4.924704629807918</v>
      </c>
      <c r="AA52" s="86">
        <f>SUMIF(Y4,"1",AA4)</f>
        <v>1.4488506576809619</v>
      </c>
      <c r="AB52" s="85"/>
      <c r="AC52" s="94">
        <f>SUMIF(AB4,"1",AC4)</f>
        <v>2.331170031701557</v>
      </c>
      <c r="AD52" s="86">
        <f>SUMIF(AB4,"1",AD4)</f>
        <v>0.6858314330475259</v>
      </c>
      <c r="AE52" s="85"/>
      <c r="AF52" s="163">
        <f>SUMIF(AE4,"1",AF4)</f>
        <v>0</v>
      </c>
      <c r="AG52" s="164">
        <f>SUMIF(AE4,"1",AG4)</f>
        <v>0</v>
      </c>
      <c r="AH52" s="85"/>
      <c r="AI52" s="94">
        <f>SUMIF(AH4,"1",AI4)</f>
        <v>2.9758851387211904</v>
      </c>
      <c r="AJ52" s="86">
        <f>SUMIF(AH4,"1",AJ4)</f>
        <v>0.8755069520966107</v>
      </c>
      <c r="AK52" s="85"/>
      <c r="AL52" s="94">
        <f>SUMIF(AK4,"1",AL4)</f>
        <v>429.9654728185593</v>
      </c>
      <c r="AM52" s="86">
        <f>SUMIF(AK4,"1",AM4)</f>
        <v>126.49606522646883</v>
      </c>
      <c r="AN52" s="85"/>
      <c r="AO52" s="123">
        <f>SUMIF(AN4,"1",AO4)</f>
        <v>0.03066315048952789</v>
      </c>
      <c r="AP52" s="123">
        <f>SUMIF(AN4,"1",AP4)</f>
        <v>0.009021114786138066</v>
      </c>
      <c r="AQ52" s="73"/>
      <c r="AR52" s="94">
        <f>SUMIF(AQ4,"1",AR4)</f>
        <v>19.8980249332421</v>
      </c>
      <c r="AS52" s="86">
        <f>SUMIF(AQ4,"1",AS4)</f>
        <v>5.8540092611004875</v>
      </c>
    </row>
    <row r="53" spans="1:45" ht="12.75">
      <c r="A53" s="75" t="s">
        <v>184</v>
      </c>
      <c r="B53" s="76"/>
      <c r="C53" s="105" t="s">
        <v>19</v>
      </c>
      <c r="D53" s="89" t="s">
        <v>137</v>
      </c>
      <c r="H53" s="127">
        <f>SUMIF(G8:G10,"1",H8:H10)</f>
        <v>3714.461361994079</v>
      </c>
      <c r="I53" s="88">
        <f>SUMIF(G8:G10,"1",I8:I10)</f>
        <v>1047.4163419683541</v>
      </c>
      <c r="J53" s="85"/>
      <c r="K53" s="159">
        <f>SUMIF(J8:J10,"1",K8:K10)</f>
        <v>0.14256193230147615</v>
      </c>
      <c r="L53" s="179">
        <f>SUMIF(J8:J10,"1",L8:L10)</f>
        <v>0.04013879647323115</v>
      </c>
      <c r="M53" s="85"/>
      <c r="N53" s="94">
        <f>SUMIF(M8:M10,"1",N8:N10)</f>
        <v>10.171563149377615</v>
      </c>
      <c r="O53" s="86">
        <f>SUMIF(M8:M10,"1",O8:O10)</f>
        <v>2.903475921196285</v>
      </c>
      <c r="P53" s="85"/>
      <c r="Q53" s="129">
        <f>SUMIF(P8:P10,"1",Q8:Q10)</f>
        <v>843.1507635400629</v>
      </c>
      <c r="R53" s="130">
        <f>SUMIF(P8:P10,"1",R8:R10)</f>
        <v>238.3828157531674</v>
      </c>
      <c r="S53" s="85"/>
      <c r="T53" s="94">
        <f>SUMIF(S8:S10,"1",T8:T10)</f>
        <v>10.954860207213514</v>
      </c>
      <c r="U53" s="86">
        <f>SUMIF(S8:S10,"1",U8:U10)</f>
        <v>3.1689946837092915</v>
      </c>
      <c r="V53" s="85"/>
      <c r="W53" s="133">
        <f>SUMIF(V8:V10,"1",W8:W10)</f>
        <v>1.9529123308484673</v>
      </c>
      <c r="X53" s="134">
        <f>SUMIF(V8:V10,"1",X8:X10)</f>
        <v>0.5498491028602481</v>
      </c>
      <c r="Y53" s="180"/>
      <c r="Z53" s="133">
        <f>SUMIF(Y8:Y10,"1",Z8:Z10)</f>
        <v>20.457806232358436</v>
      </c>
      <c r="AA53" s="134">
        <f>SUMIF(Y8:Y10,"1",AA8:AA10)</f>
        <v>5.759964861537813</v>
      </c>
      <c r="AB53" s="85"/>
      <c r="AC53" s="94">
        <f>SUMIF(AB8:AB10,"1",AC8:AC10)</f>
        <v>4.1259879305269775</v>
      </c>
      <c r="AD53" s="86">
        <f>SUMIF(AB8:AB10,"1",AD8:AD10)</f>
        <v>1.1985647360412977</v>
      </c>
      <c r="AE53" s="85"/>
      <c r="AF53" s="163">
        <f>SUMIF(AE8:AE10,"1",AF8:AF10)</f>
        <v>0</v>
      </c>
      <c r="AG53" s="164">
        <f>SUMIF(AE8:AE10,"1",AG8:AG10)</f>
        <v>0</v>
      </c>
      <c r="AH53" s="85"/>
      <c r="AI53" s="94">
        <f>SUMIF(AH8:AH10,"1",AI8:AI10)</f>
        <v>3.974688094246921</v>
      </c>
      <c r="AJ53" s="86">
        <f>SUMIF(AH8:AH10,"1",AJ8:AJ10)</f>
        <v>1.1520218194208343</v>
      </c>
      <c r="AK53" s="85"/>
      <c r="AL53" s="94">
        <f>SUMIF(AK8:AK10,"1",AL8:AL10)</f>
        <v>528.1326349748952</v>
      </c>
      <c r="AM53" s="86">
        <f>SUMIF(AK8:AK10,"1",AM8:AM10)</f>
        <v>148.99850592010347</v>
      </c>
      <c r="AN53" s="85"/>
      <c r="AO53" s="136">
        <f>SUMIF(AN8:AN10,"1",AO8:AO10)</f>
        <v>0.017022960901007956</v>
      </c>
      <c r="AP53" s="136">
        <f>SUMIF(AN8:AN10,"1",AP8:AP10)</f>
        <v>0.00479287248669156</v>
      </c>
      <c r="AQ53" s="73"/>
      <c r="AR53" s="94">
        <f>SUMIF(AQ8:AQ10,"1",AR8:AR10)</f>
        <v>11.645680761582835</v>
      </c>
      <c r="AS53" s="86">
        <f>SUMIF(AQ8:AQ10,"1",AS8:AS10)</f>
        <v>3.2980481638855275</v>
      </c>
    </row>
    <row r="54" spans="1:45" ht="12.75">
      <c r="A54" s="75"/>
      <c r="B54" s="76"/>
      <c r="C54" s="105" t="s">
        <v>5</v>
      </c>
      <c r="D54" s="89" t="s">
        <v>137</v>
      </c>
      <c r="H54" s="127">
        <f>SUMIF(G14:G15,"1",H14:H15)</f>
        <v>4137.237925857428</v>
      </c>
      <c r="I54" s="88">
        <f>SUMIF(G14:G15,"1",I14:I15)</f>
        <v>1196.5668039405887</v>
      </c>
      <c r="J54" s="85"/>
      <c r="K54" s="161">
        <f>SUMIF(J14:J15,"1",K14:K15)</f>
        <v>0</v>
      </c>
      <c r="L54" s="162">
        <f>SUMIF(J14:J15,"1",L14:L15)</f>
        <v>0</v>
      </c>
      <c r="M54" s="85"/>
      <c r="N54" s="94">
        <f>SUMIF(M14:M15,"1",N14:N15)</f>
        <v>8.570596770921474</v>
      </c>
      <c r="O54" s="86">
        <f>SUMIF(M14:M15,"1",O14:O15)</f>
        <v>2.488961486726545</v>
      </c>
      <c r="P54" s="85"/>
      <c r="Q54" s="129">
        <f>SUMIF(P14:P15,"1",Q14:Q15)</f>
        <v>679.8117934042533</v>
      </c>
      <c r="R54" s="130">
        <f>SUMIF(P14:P15,"1",R14:R15)</f>
        <v>196.88320578730085</v>
      </c>
      <c r="S54" s="85"/>
      <c r="T54" s="94">
        <f>SUMIF(S14:S15,"1",T14:T15)</f>
        <v>9.42576545293911</v>
      </c>
      <c r="U54" s="86">
        <f>SUMIF(S14:S15,"1",U14:U15)</f>
        <v>2.758538214654753</v>
      </c>
      <c r="V54" s="85"/>
      <c r="W54" s="133">
        <f>SUMIF(V14:V15,"1",W14:W15)</f>
        <v>0.8470415843561239</v>
      </c>
      <c r="X54" s="134">
        <f>SUMIF(V14:V15,"1",X14:X15)</f>
        <v>0.24490805566453905</v>
      </c>
      <c r="Y54" s="180"/>
      <c r="Z54" s="133">
        <f>SUMIF(Y14:Y15,"1",Z14:Z15)</f>
        <v>6.990084549347236</v>
      </c>
      <c r="AA54" s="134">
        <f>SUMIF(Y14:Y15,"1",AA14:AA15)</f>
        <v>2.021067262255706</v>
      </c>
      <c r="AB54" s="85"/>
      <c r="AC54" s="94">
        <f>SUMIF(AB14:AB15,"1",AC14:AC15)</f>
        <v>3.005407549886595</v>
      </c>
      <c r="AD54" s="86">
        <f>SUMIF(AB14:AB15,"1",AD14:AD15)</f>
        <v>0.8809285132591853</v>
      </c>
      <c r="AE54" s="85"/>
      <c r="AF54" s="163">
        <f>SUMIF(AE14:AE15,"1",AF14:AF15)</f>
        <v>0</v>
      </c>
      <c r="AG54" s="164">
        <f>SUMIF(AE14:AE15,"1",AG14:AG15)</f>
        <v>0</v>
      </c>
      <c r="AH54" s="85"/>
      <c r="AI54" s="94">
        <f>SUMIF(AH14:AH15,"1",AI14:AI15)</f>
        <v>3.321812723289832</v>
      </c>
      <c r="AJ54" s="86">
        <f>SUMIF(AH14:AH15,"1",AJ14:AJ15)</f>
        <v>0.9737462369406862</v>
      </c>
      <c r="AK54" s="85"/>
      <c r="AL54" s="94">
        <f>SUMIF(AK14:AK15,"1",AL14:AL15)</f>
        <v>499.13480713773635</v>
      </c>
      <c r="AM54" s="86">
        <f>SUMIF(AK14:AK15,"1",AM14:AM15)</f>
        <v>144.3729881015214</v>
      </c>
      <c r="AN54" s="85"/>
      <c r="AO54" s="167">
        <f>SUMIF(AN14:AN15,"1",AO14:AO15)</f>
        <v>0</v>
      </c>
      <c r="AP54" s="167">
        <f>SUMIF(AN14:AN15,"1",AP14:AP15)</f>
        <v>0</v>
      </c>
      <c r="AQ54" s="73"/>
      <c r="AR54" s="133">
        <f>SUMIF(AQ14:AQ15,"1",AR14:AR15)</f>
        <v>6.651633520829283</v>
      </c>
      <c r="AS54" s="134">
        <f>SUMIF(AQ14:AQ15,"1",AS14:AS15)</f>
        <v>1.9232097486898247</v>
      </c>
    </row>
    <row r="55" spans="1:45" ht="12.75">
      <c r="A55" s="151" t="s">
        <v>187</v>
      </c>
      <c r="B55" s="152"/>
      <c r="C55" s="105" t="s">
        <v>21</v>
      </c>
      <c r="D55" s="89" t="s">
        <v>137</v>
      </c>
      <c r="H55" s="127">
        <f>SUMIF(G19:G21,"1",H19:H21)</f>
        <v>2915.2093533239367</v>
      </c>
      <c r="I55" s="88">
        <f>SUMIF(G19:G21,"1",I19:I21)</f>
        <v>846.6200696285658</v>
      </c>
      <c r="J55" s="85"/>
      <c r="K55" s="161">
        <f>SUMIF(J19:J21,"1",K19:K21)</f>
        <v>0</v>
      </c>
      <c r="L55" s="162">
        <f>SUMIF(J19:J21,"1",L19:L21)</f>
        <v>0</v>
      </c>
      <c r="M55" s="85"/>
      <c r="N55" s="94">
        <f>SUMIF(M19:M21,"1",N19:N21)</f>
        <v>14.819602320934413</v>
      </c>
      <c r="O55" s="86">
        <f>SUMIF(M19:M21,"1",O19:O21)</f>
        <v>4.696100716282003</v>
      </c>
      <c r="P55" s="85"/>
      <c r="Q55" s="129">
        <f>SUMIF(P19:P21,"1",Q19:Q21)</f>
        <v>616.0621443729443</v>
      </c>
      <c r="R55" s="130">
        <f>SUMIF(P19:P21,"1",R19:R21)</f>
        <v>180.64421188714442</v>
      </c>
      <c r="S55" s="85"/>
      <c r="T55" s="94">
        <f>SUMIF(S19:S21,"1",T19:T21)</f>
        <v>13.167565136411572</v>
      </c>
      <c r="U55" s="86">
        <f>SUMIF(S19:S21,"1",U19:U21)</f>
        <v>3.8173463115219777</v>
      </c>
      <c r="V55" s="85"/>
      <c r="W55" s="121">
        <f>SUMIF(V19:V21,"1",W19:W21)</f>
        <v>6.816034674772243</v>
      </c>
      <c r="X55" s="122">
        <f>SUMIF(V19:V21,"1",X19:X21)</f>
        <v>1.9825751092671877</v>
      </c>
      <c r="Y55" s="180"/>
      <c r="Z55" s="181">
        <f>SUMIF(Y19:Y21,"1",Z19:Z21)</f>
        <v>1.9666792771991477</v>
      </c>
      <c r="AA55" s="122">
        <f>SUMIF(Y19:Y21,"1",AA19:AA21)</f>
        <v>0.6591705838966211</v>
      </c>
      <c r="AB55" s="85"/>
      <c r="AC55" s="94">
        <f>SUMIF(AB19:AB21,"1",AC19:AC21)</f>
        <v>5.262196069173765</v>
      </c>
      <c r="AD55" s="86">
        <f>SUMIF(AB19:AB21,"1",AD19:AD21)</f>
        <v>1.525911513705338</v>
      </c>
      <c r="AE55" s="85"/>
      <c r="AF55" s="133">
        <f>SUMIF(AE19:AE21,"1",AF19:AF21)</f>
        <v>212.8825143992431</v>
      </c>
      <c r="AG55" s="134">
        <f>SUMIF(AE19:AE21,"1",AG19:AG21)</f>
        <v>60.35450836025716</v>
      </c>
      <c r="AH55" s="85"/>
      <c r="AI55" s="94">
        <f>SUMIF(AH19:AH21,"1",AI19:AI21)</f>
        <v>4.528516961806887</v>
      </c>
      <c r="AJ55" s="86">
        <f>SUMIF(AH19:AH21,"1",AJ19:AJ21)</f>
        <v>1.3135569259794835</v>
      </c>
      <c r="AK55" s="85"/>
      <c r="AL55" s="94">
        <f>SUMIF(AK19:AK21,"1",AL19:AL21)</f>
        <v>552.7365474228544</v>
      </c>
      <c r="AM55" s="86">
        <f>SUMIF(AK19:AK21,"1",AM19:AM21)</f>
        <v>159.77634804815702</v>
      </c>
      <c r="AN55" s="85"/>
      <c r="AO55" s="136">
        <f>SUMIF(AN19:AN21,"1",AO19:AO21)</f>
        <v>0.00487417964360824</v>
      </c>
      <c r="AP55" s="136">
        <f>SUMIF(AN19:AN21,"1",AP19:AP21)</f>
        <v>0.0018451033707246114</v>
      </c>
      <c r="AQ55" s="85"/>
      <c r="AR55" s="94">
        <f>SUMIF(AQ19:AQ21,"1",AR19:AR21)</f>
        <v>17.370463428383587</v>
      </c>
      <c r="AS55" s="86">
        <f>SUMIF(AQ19:AQ21,"1",AS19:AS21)</f>
        <v>5.023884731492673</v>
      </c>
    </row>
    <row r="56" spans="1:45" ht="12.75">
      <c r="A56" s="151" t="s">
        <v>188</v>
      </c>
      <c r="B56" s="152"/>
      <c r="C56" s="105" t="s">
        <v>12</v>
      </c>
      <c r="D56" s="89" t="s">
        <v>137</v>
      </c>
      <c r="H56" s="127">
        <f>SUMIF(G25:G28,"1",H25:H28)</f>
        <v>478.8429648960054</v>
      </c>
      <c r="I56" s="88">
        <f>SUMIF(G25:G28,"1",I25:I28)</f>
        <v>140.94815705468238</v>
      </c>
      <c r="J56" s="85"/>
      <c r="K56" s="161">
        <f>SUMIF(J25:J28,"1",K25:K28)</f>
        <v>0</v>
      </c>
      <c r="L56" s="162">
        <f>SUMIF(J25:J28,"1",L25:L28)</f>
        <v>0</v>
      </c>
      <c r="M56" s="85"/>
      <c r="N56" s="94">
        <f>SUMIF(M25:M28,"1",N25:N28)</f>
        <v>4.753537317110163</v>
      </c>
      <c r="O56" s="86">
        <f>SUMIF(M25:M28,"1",O25:O28)</f>
        <v>1.3872869370434828</v>
      </c>
      <c r="P56" s="85"/>
      <c r="Q56" s="129">
        <f>SUMIF(P25:P28,"1",Q25:Q28)</f>
        <v>366.95436706022485</v>
      </c>
      <c r="R56" s="130">
        <f>SUMIF(P25:P28,"1",R25:R28)</f>
        <v>108.9816784200659</v>
      </c>
      <c r="S56" s="85"/>
      <c r="T56" s="94">
        <f>SUMIF(S25:S28,"1",T25:T28)</f>
        <v>12.282135902430749</v>
      </c>
      <c r="U56" s="86">
        <f>SUMIF(S25:S28,"1",U25:U28)</f>
        <v>3.5660981429069185</v>
      </c>
      <c r="V56" s="85"/>
      <c r="W56" s="133">
        <f>SUMIF(V25:V28,"1",W25:W28)</f>
        <v>0.24267381557545975</v>
      </c>
      <c r="X56" s="134">
        <f>SUMIF(V25:V28,"1",X25:X28)</f>
        <v>0.06832563739503235</v>
      </c>
      <c r="Y56" s="180"/>
      <c r="Z56" s="133">
        <f>SUMIF(Y25:Y28,"1",Z25:Z28)</f>
        <v>2.836793366324838</v>
      </c>
      <c r="AA56" s="134">
        <f>SUMIF(Y25:Y28,"1",AA25:AA28)</f>
        <v>0.8874519766033702</v>
      </c>
      <c r="AB56" s="85"/>
      <c r="AC56" s="94">
        <f>SUMIF(AB25:AB28,"1",AC25:AC28)</f>
        <v>5.103985911734445</v>
      </c>
      <c r="AD56" s="86">
        <f>SUMIF(AB25:AB28,"1",AD25:AD28)</f>
        <v>1.4842215551704567</v>
      </c>
      <c r="AE56" s="85"/>
      <c r="AF56" s="163">
        <f>SUMIF(AE25:AE28,"1",AF25:AF28)</f>
        <v>0</v>
      </c>
      <c r="AG56" s="164">
        <f>SUMIF(AE25:AE28,"1",AG25:AG28)</f>
        <v>0</v>
      </c>
      <c r="AH56" s="85"/>
      <c r="AI56" s="94">
        <f>SUMIF(AH25:AH28,"1",AI25:AI28)</f>
        <v>4.339585349216948</v>
      </c>
      <c r="AJ56" s="86">
        <f>SUMIF(AH25:AH28,"1",AJ25:AJ28)</f>
        <v>1.2575462446724204</v>
      </c>
      <c r="AK56" s="85"/>
      <c r="AL56" s="94">
        <f>SUMIF(AK25:AK28,"1",AL25:AL28)</f>
        <v>75.05714830680753</v>
      </c>
      <c r="AM56" s="86">
        <f>SUMIF(AK25:AK28,"1",AM25:AM28)</f>
        <v>21.734698159205802</v>
      </c>
      <c r="AN56" s="85"/>
      <c r="AO56" s="167">
        <f>SUMIF(AN25:AN28,"1",AO25:AO28)</f>
        <v>0</v>
      </c>
      <c r="AP56" s="167">
        <f>SUMIF(AN25:AN28,"1",AP25:AP28)</f>
        <v>0</v>
      </c>
      <c r="AQ56" s="85"/>
      <c r="AR56" s="133">
        <f>SUMIF(AQ25:AQ28,"1",AR25:AR28)</f>
        <v>4.2331786415002215</v>
      </c>
      <c r="AS56" s="134">
        <f>SUMIF(AQ25:AQ28,"1",AS25:AS28)</f>
        <v>1.2508600766183404</v>
      </c>
    </row>
    <row r="57" spans="1:45" ht="12.75">
      <c r="A57" s="75"/>
      <c r="B57" s="76"/>
      <c r="C57" s="105" t="s">
        <v>20</v>
      </c>
      <c r="D57" s="89" t="s">
        <v>137</v>
      </c>
      <c r="H57" s="127">
        <f>SUMIF(G32:G34,"1",H32:H34)</f>
        <v>2020.528401626521</v>
      </c>
      <c r="I57" s="88">
        <f>SUMIF(G32:G34,"1",I32:I34)</f>
        <v>571.4425942930387</v>
      </c>
      <c r="J57" s="85"/>
      <c r="K57" s="119">
        <f>SUMIF(J32:J34,"1",K32:K34)</f>
        <v>0.5383406778766631</v>
      </c>
      <c r="L57" s="84">
        <f>SUMIF(J32:J34,"1",L32:L34)</f>
        <v>0.15157164716915758</v>
      </c>
      <c r="M57" s="85"/>
      <c r="N57" s="94">
        <f>SUMIF(M32:M34,"1",N32:N34)</f>
        <v>13.851037987495454</v>
      </c>
      <c r="O57" s="86">
        <f>SUMIF(M32:M34,"1",O32:O34)</f>
        <v>3.914130280091598</v>
      </c>
      <c r="P57" s="85"/>
      <c r="Q57" s="129">
        <f>SUMIF(P32:P34,"1",Q32:Q34)</f>
        <v>1333.3157331565535</v>
      </c>
      <c r="R57" s="130">
        <f>SUMIF(P32:P34,"1",R32:R34)</f>
        <v>376.5819836280992</v>
      </c>
      <c r="S57" s="85"/>
      <c r="T57" s="94">
        <f>SUMIF(S32:S34,"1",T32:T34)</f>
        <v>6.7327053085477795</v>
      </c>
      <c r="U57" s="86">
        <f>SUMIF(S32:S34,"1",U32:U34)</f>
        <v>1.9457312241761018</v>
      </c>
      <c r="V57" s="85"/>
      <c r="W57" s="133">
        <f>SUMIF(V32:V34,"1",W32:W34)</f>
        <v>12.826893179820413</v>
      </c>
      <c r="X57" s="134">
        <f>SUMIF(V32:V34,"1",X32:X34)</f>
        <v>3.6114553613086606</v>
      </c>
      <c r="Y57" s="180"/>
      <c r="Z57" s="133">
        <f>SUMIF(Y32:Y34,"1",Z32:Z34)</f>
        <v>2.4219647245581615</v>
      </c>
      <c r="AA57" s="134">
        <f>SUMIF(Y32:Y34,"1",AA32:AA34)</f>
        <v>0.6819123981765697</v>
      </c>
      <c r="AB57" s="85"/>
      <c r="AC57" s="94">
        <f>SUMIF(AB32:AB34,"1",AC32:AC34)</f>
        <v>2.517983344394916</v>
      </c>
      <c r="AD57" s="86">
        <f>SUMIF(AB32:AB34,"1",AD32:AD34)</f>
        <v>0.7302245947730579</v>
      </c>
      <c r="AE57" s="85"/>
      <c r="AF57" s="133">
        <f>SUMIF(AE32:AE34,"1",AF32:AF34)</f>
        <v>140.3895580708754</v>
      </c>
      <c r="AG57" s="134">
        <f>SUMIF(AE32:AE34,"1",AG32:AG34)</f>
        <v>39.52715712675133</v>
      </c>
      <c r="AH57" s="85"/>
      <c r="AI57" s="94">
        <f>SUMIF(AH32:AH34,"1",AI32:AI34)</f>
        <v>3.022390740089479</v>
      </c>
      <c r="AJ57" s="86">
        <f>SUMIF(AH32:AH34,"1",AJ32:AJ34)</f>
        <v>0.8804425460500225</v>
      </c>
      <c r="AK57" s="85"/>
      <c r="AL57" s="94">
        <f>SUMIF(AK32:AK34,"1",AL32:AL34)</f>
        <v>185.54538724110782</v>
      </c>
      <c r="AM57" s="86">
        <f>SUMIF(AK32:AK34,"1",AM32:AM34)</f>
        <v>52.33235398569541</v>
      </c>
      <c r="AN57" s="85"/>
      <c r="AO57" s="136">
        <f>SUMIF(AN32:AN34,"1",AO32:AO34)</f>
        <v>0.017401357633589024</v>
      </c>
      <c r="AP57" s="136">
        <f>SUMIF(AN32:AN34,"1",AP32:AP34)</f>
        <v>0.0048994113725639</v>
      </c>
      <c r="AQ57" s="85"/>
      <c r="AR57" s="94">
        <f>SUMIF(AQ32:AQ34,"1",AR32:AR34)</f>
        <v>10.591354303296335</v>
      </c>
      <c r="AS57" s="86">
        <f>SUMIF(AQ32:AQ34,"1",AS32:AS34)</f>
        <v>3.013483826043723</v>
      </c>
    </row>
    <row r="58" spans="1:45" ht="12.75">
      <c r="A58" s="153" t="s">
        <v>185</v>
      </c>
      <c r="B58" s="154"/>
      <c r="C58" s="105" t="s">
        <v>17</v>
      </c>
      <c r="D58" s="89" t="s">
        <v>137</v>
      </c>
      <c r="H58" s="127">
        <f>SUMIF(G38:G40,"1",H38:H40)</f>
        <v>4445.967604015033</v>
      </c>
      <c r="I58" s="88">
        <f>SUMIF(G38:G40,"1",I38:I40)</f>
        <v>1254.4029713257933</v>
      </c>
      <c r="J58" s="85"/>
      <c r="K58" s="119">
        <f>SUMIF(J38:J40,"1",K38:K40)</f>
        <v>1.3614725984057299</v>
      </c>
      <c r="L58" s="84">
        <f>SUMIF(J38:J40,"1",L38:L40)</f>
        <v>0.38332723644433175</v>
      </c>
      <c r="M58" s="85"/>
      <c r="N58" s="94">
        <f>SUMIF(M38:M40,"1",N38:N40)</f>
        <v>41.833865926537754</v>
      </c>
      <c r="O58" s="86">
        <f>SUMIF(M38:M40,"1",O38:O40)</f>
        <v>11.844373689856582</v>
      </c>
      <c r="P58" s="85"/>
      <c r="Q58" s="129">
        <f>SUMIF(P38:P40,"1",Q38:Q40)</f>
        <v>1131.3129577041454</v>
      </c>
      <c r="R58" s="130">
        <f>SUMIF(P38:P40,"1",R38:R40)</f>
        <v>323.10552911692787</v>
      </c>
      <c r="S58" s="85"/>
      <c r="T58" s="94">
        <f>SUMIF(S38:S40,"1",T38:T40)</f>
        <v>7.340949897931639</v>
      </c>
      <c r="U58" s="86">
        <f>SUMIF(S38:S40,"1",U38:U40)</f>
        <v>2.133766733678595</v>
      </c>
      <c r="V58" s="85"/>
      <c r="W58" s="133">
        <f>SUMIF(V38:V40,"1",W38:W40)</f>
        <v>10.55493247260676</v>
      </c>
      <c r="X58" s="134">
        <f>SUMIF(V38:V40,"1",X38:X40)</f>
        <v>2.971777103937826</v>
      </c>
      <c r="Y58" s="180"/>
      <c r="Z58" s="133">
        <f>SUMIF(Y38:Y40,"1",Z38:Z40)</f>
        <v>0.787059883128147</v>
      </c>
      <c r="AA58" s="134">
        <f>SUMIF(Y38:Y40,"1",AA38:AA40)</f>
        <v>0.22159938457006081</v>
      </c>
      <c r="AB58" s="85"/>
      <c r="AC58" s="94">
        <f>SUMIF(AB38:AB40,"1",AC38:AC40)</f>
        <v>2.7500397154378846</v>
      </c>
      <c r="AD58" s="86">
        <f>SUMIF(AB38:AB40,"1",AD38:AD40)</f>
        <v>0.8021230862387143</v>
      </c>
      <c r="AE58" s="85"/>
      <c r="AF58" s="133">
        <f>SUMIF(AE38:AE40,"1",AF38:AF40)</f>
        <v>270.09286040398354</v>
      </c>
      <c r="AG58" s="134">
        <f>SUMIF(AE38:AE40,"1",AG38:AG40)</f>
        <v>76.04556263801479</v>
      </c>
      <c r="AH58" s="85"/>
      <c r="AI58" s="94">
        <f>SUMIF(AH38:AH40,"1",AI38:AI40)</f>
        <v>3.2895243553054625</v>
      </c>
      <c r="AJ58" s="86">
        <f>SUMIF(AH38:AH40,"1",AJ38:AJ40)</f>
        <v>0.9612174167063048</v>
      </c>
      <c r="AK58" s="85"/>
      <c r="AL58" s="94">
        <f>SUMIF(AK38:AK40,"1",AL38:AL40)</f>
        <v>436.3209013176398</v>
      </c>
      <c r="AM58" s="86">
        <f>SUMIF(AK38:AK40,"1",AM38:AM40)</f>
        <v>123.02498426808867</v>
      </c>
      <c r="AN58" s="85"/>
      <c r="AO58" s="96">
        <f>SUMIF(AN38:AN40,"1",AO38:AO40)</f>
        <v>0.19106593660803614</v>
      </c>
      <c r="AP58" s="96">
        <f>SUMIF(AN38:AN40,"1",AP38:AP40)</f>
        <v>0.054089676444593796</v>
      </c>
      <c r="AQ58" s="85"/>
      <c r="AR58" s="94">
        <f>SUMIF(AQ38:AQ40,"1",AR38:AR40)</f>
        <v>15.783080529126671</v>
      </c>
      <c r="AS58" s="86">
        <f>SUMIF(AQ38:AQ40,"1",AS38:AS40)</f>
        <v>4.546286561942296</v>
      </c>
    </row>
    <row r="59" spans="1:45" ht="13.5" thickBot="1">
      <c r="A59" s="155" t="s">
        <v>186</v>
      </c>
      <c r="B59" s="156"/>
      <c r="C59" s="105" t="s">
        <v>22</v>
      </c>
      <c r="D59" s="89" t="s">
        <v>137</v>
      </c>
      <c r="H59" s="127">
        <f>SUMIF(G44:G45,"1",H44:H45)</f>
        <v>1801.120411749254</v>
      </c>
      <c r="I59" s="88">
        <f>SUMIF(G44:G45,"1",I44:I45)</f>
        <v>556.0524754482487</v>
      </c>
      <c r="J59" s="85"/>
      <c r="K59" s="161">
        <f>SUMIF(J44:J45,"1",K44:K45)</f>
        <v>0</v>
      </c>
      <c r="L59" s="162">
        <f>SUMIF(J44:J45,"1",L44:L45)</f>
        <v>0</v>
      </c>
      <c r="M59" s="85"/>
      <c r="N59" s="94">
        <f>SUMIF(M44:M45,"1",N44:N45)</f>
        <v>137.29756335576823</v>
      </c>
      <c r="O59" s="86">
        <f>SUMIF(M44:M45,"1",O44:O45)</f>
        <v>39.099463313554786</v>
      </c>
      <c r="P59" s="85"/>
      <c r="Q59" s="129">
        <f>SUMIF(P44:P45,"1",Q44:Q45)</f>
        <v>543.8651076757</v>
      </c>
      <c r="R59" s="130">
        <f>SUMIF(P44:P45,"1",R44:R45)</f>
        <v>170.82802578773396</v>
      </c>
      <c r="S59" s="85"/>
      <c r="T59" s="94">
        <f>SUMIF(S44:S45,"1",T44:T45)</f>
        <v>10.296139912515535</v>
      </c>
      <c r="U59" s="86">
        <f>SUMIF(S44:S45,"1",U44:U45)</f>
        <v>3.024448696937643</v>
      </c>
      <c r="V59" s="85"/>
      <c r="W59" s="121">
        <f>SUMIF(V44:V45,"1",W44:W45)</f>
        <v>7.172855961841372</v>
      </c>
      <c r="X59" s="122">
        <f>SUMIF(V44:V45,"1",X44:X45)</f>
        <v>2.0519451045045436</v>
      </c>
      <c r="Y59" s="180"/>
      <c r="Z59" s="121">
        <f>SUMIF(Y44:Y45,"1",Z44:Z45)</f>
        <v>31.562525897693515</v>
      </c>
      <c r="AA59" s="122">
        <f>SUMIF(Y44:Y45,"1",AA44:AA45)</f>
        <v>9.118312457406523</v>
      </c>
      <c r="AB59" s="85"/>
      <c r="AC59" s="94">
        <f>SUMIF(AB44:AB45,"1",AC44:AC45)</f>
        <v>3.0018975514899466</v>
      </c>
      <c r="AD59" s="86">
        <f>SUMIF(AB44:AB45,"1",AD44:AD45)</f>
        <v>0.8907432881469077</v>
      </c>
      <c r="AE59" s="85"/>
      <c r="AF59" s="94">
        <f>SUMIF(AE44:AE45,"1",AF44:AF45)</f>
        <v>314.21668043095434</v>
      </c>
      <c r="AG59" s="86">
        <f>SUMIF(AE44:AE45,"1",AG44:AG45)</f>
        <v>91.83032273086826</v>
      </c>
      <c r="AH59" s="85"/>
      <c r="AI59" s="94">
        <f>SUMIF(AH44:AH45,"1",AI44:AI45)</f>
        <v>3.0493262378940407</v>
      </c>
      <c r="AJ59" s="86">
        <f>SUMIF(AH44:AH45,"1",AJ44:AJ45)</f>
        <v>0.9053351837092147</v>
      </c>
      <c r="AK59" s="85"/>
      <c r="AL59" s="94">
        <f>SUMIF(AK44:AK45,"1",AL44:AL45)</f>
        <v>314.21668043095434</v>
      </c>
      <c r="AM59" s="86">
        <f>SUMIF(AK44:AK45,"1",AM44:AM45)</f>
        <v>91.83032273086826</v>
      </c>
      <c r="AN59" s="85"/>
      <c r="AO59" s="136">
        <f>SUMIF(AN44:AN45,"1",AO44:AO45)</f>
        <v>0.07056340083196874</v>
      </c>
      <c r="AP59" s="136">
        <f>SUMIF(AN44:AN45,"1",AP44:AP45)</f>
        <v>0.019985034496641168</v>
      </c>
      <c r="AQ59" s="85"/>
      <c r="AR59" s="94">
        <f>SUMIF(AQ44:AQ45,"1",AR44:AR45)</f>
        <v>12.756131363375864</v>
      </c>
      <c r="AS59" s="86">
        <f>SUMIF(AQ44:AQ45,"1",AS44:AS45)</f>
        <v>3.7380705323839174</v>
      </c>
    </row>
    <row r="60" ht="12.75">
      <c r="K60" s="120"/>
    </row>
    <row r="62" spans="1:45" s="146" customFormat="1" ht="12.75">
      <c r="A62" s="128"/>
      <c r="B62" s="137"/>
      <c r="C62" s="138"/>
      <c r="D62" s="137"/>
      <c r="E62" s="137"/>
      <c r="F62" s="137"/>
      <c r="G62" s="139"/>
      <c r="H62" s="140" t="s">
        <v>182</v>
      </c>
      <c r="I62" s="141"/>
      <c r="J62" s="142"/>
      <c r="K62" s="143"/>
      <c r="L62" s="144"/>
      <c r="M62" s="145"/>
      <c r="N62" s="143"/>
      <c r="O62" s="144"/>
      <c r="P62" s="145"/>
      <c r="Q62" s="143"/>
      <c r="R62" s="144"/>
      <c r="S62" s="145"/>
      <c r="T62" s="143"/>
      <c r="U62" s="144"/>
      <c r="V62" s="145"/>
      <c r="W62" s="143"/>
      <c r="X62" s="144"/>
      <c r="Y62" s="145"/>
      <c r="Z62" s="143"/>
      <c r="AA62" s="144"/>
      <c r="AB62" s="145"/>
      <c r="AC62" s="143"/>
      <c r="AD62" s="144"/>
      <c r="AE62" s="145"/>
      <c r="AF62" s="143"/>
      <c r="AG62" s="144"/>
      <c r="AH62" s="145"/>
      <c r="AI62" s="143"/>
      <c r="AJ62" s="144"/>
      <c r="AK62" s="145"/>
      <c r="AL62" s="143"/>
      <c r="AM62" s="144"/>
      <c r="AN62" s="145"/>
      <c r="AO62" s="143"/>
      <c r="AP62" s="143"/>
      <c r="AQ62" s="145"/>
      <c r="AR62" s="143"/>
      <c r="AS62" s="144"/>
    </row>
    <row r="63" spans="8:45" ht="12.75">
      <c r="H63" s="89" t="s">
        <v>75</v>
      </c>
      <c r="I63" s="76" t="s">
        <v>167</v>
      </c>
      <c r="K63" s="89" t="s">
        <v>76</v>
      </c>
      <c r="L63" s="76" t="s">
        <v>168</v>
      </c>
      <c r="N63" s="89" t="s">
        <v>77</v>
      </c>
      <c r="O63" s="76" t="s">
        <v>169</v>
      </c>
      <c r="Q63" s="89" t="s">
        <v>78</v>
      </c>
      <c r="R63" s="76" t="s">
        <v>170</v>
      </c>
      <c r="T63" s="89" t="s">
        <v>79</v>
      </c>
      <c r="U63" s="76" t="s">
        <v>171</v>
      </c>
      <c r="W63" s="89" t="s">
        <v>80</v>
      </c>
      <c r="X63" s="76" t="s">
        <v>172</v>
      </c>
      <c r="Z63" s="89" t="s">
        <v>81</v>
      </c>
      <c r="AA63" s="76" t="s">
        <v>173</v>
      </c>
      <c r="AC63" s="89" t="s">
        <v>82</v>
      </c>
      <c r="AD63" s="76" t="s">
        <v>174</v>
      </c>
      <c r="AF63" s="89" t="s">
        <v>83</v>
      </c>
      <c r="AG63" s="76" t="s">
        <v>179</v>
      </c>
      <c r="AI63" s="89" t="s">
        <v>84</v>
      </c>
      <c r="AJ63" s="76" t="s">
        <v>178</v>
      </c>
      <c r="AL63" s="89" t="s">
        <v>85</v>
      </c>
      <c r="AM63" s="76" t="s">
        <v>177</v>
      </c>
      <c r="AO63" s="89" t="s">
        <v>86</v>
      </c>
      <c r="AP63" s="89" t="s">
        <v>176</v>
      </c>
      <c r="AR63" s="89" t="s">
        <v>87</v>
      </c>
      <c r="AS63" s="76" t="s">
        <v>175</v>
      </c>
    </row>
    <row r="64" spans="3:45" ht="12.75">
      <c r="C64" s="105">
        <v>101</v>
      </c>
      <c r="D64" s="89" t="s">
        <v>137</v>
      </c>
      <c r="G64" s="87">
        <f>COUNTIF(G4,0)</f>
        <v>0</v>
      </c>
      <c r="H64" s="127">
        <f>SUMIF(G4,"0",H4)</f>
        <v>0</v>
      </c>
      <c r="I64" s="88">
        <f>SUMIF(G4,"0",I4)</f>
        <v>0</v>
      </c>
      <c r="J64" s="87">
        <f>COUNTIF(J4,0)</f>
        <v>1</v>
      </c>
      <c r="K64" s="127">
        <f>SUMIF(J4,"0",K4)</f>
        <v>1.3733570981724466</v>
      </c>
      <c r="L64" s="88">
        <f>SUMIF(J4,"0",L4)</f>
        <v>0.40404237096257606</v>
      </c>
      <c r="M64" s="87">
        <f>COUNTIF(M4,0)</f>
        <v>0</v>
      </c>
      <c r="N64" s="127">
        <f>SUMIF(M4,"0",N4)</f>
        <v>0</v>
      </c>
      <c r="O64" s="88">
        <f>SUMIF(M4,"0",O4)</f>
        <v>0</v>
      </c>
      <c r="P64" s="87">
        <f>COUNTIF(P4,0)</f>
        <v>0</v>
      </c>
      <c r="Q64" s="94">
        <f>SUMIF(P4,"0",Q4)</f>
        <v>0</v>
      </c>
      <c r="R64" s="86">
        <f>SUMIF(P4,"0",R4)</f>
        <v>0</v>
      </c>
      <c r="S64" s="87">
        <f>COUNTIF(S4,0)</f>
        <v>0</v>
      </c>
      <c r="T64" s="127">
        <f>SUMIF(S4,"0",T4)</f>
        <v>0</v>
      </c>
      <c r="U64" s="88">
        <f>SUMIF(S4,"0",U4)</f>
        <v>0</v>
      </c>
      <c r="V64" s="87">
        <f>COUNTIF(V4,0)</f>
        <v>0</v>
      </c>
      <c r="W64" s="127">
        <f>SUMIF(V4,"0",W4)</f>
        <v>0</v>
      </c>
      <c r="X64" s="88">
        <f>SUMIF(V4,"0",X4)</f>
        <v>0</v>
      </c>
      <c r="Y64" s="87">
        <f>COUNTIF(Y4,0)</f>
        <v>0</v>
      </c>
      <c r="Z64" s="127">
        <f>SUMIF(Y4,"0",Z4)</f>
        <v>0</v>
      </c>
      <c r="AA64" s="88">
        <f>SUMIF(Y4,"0",AA4)</f>
        <v>0</v>
      </c>
      <c r="AB64" s="87">
        <f>COUNTIF(AB4,0)</f>
        <v>0</v>
      </c>
      <c r="AC64" s="127">
        <f>SUMIF(AB4,"0",AC4)</f>
        <v>0</v>
      </c>
      <c r="AD64" s="88">
        <f>SUMIF(AB4,"0",AD4)</f>
        <v>0</v>
      </c>
      <c r="AE64" s="87">
        <f>COUNTIF(AE4,0)</f>
        <v>1</v>
      </c>
      <c r="AF64" s="94">
        <f>SUMIF(AE4,"0",AF4)</f>
        <v>2.2889284969540773</v>
      </c>
      <c r="AG64" s="86">
        <f>SUMIF(AE4,"0",AG4)</f>
        <v>0.6734039516042934</v>
      </c>
      <c r="AH64" s="87">
        <f>COUNTIF(AH4,0)</f>
        <v>0</v>
      </c>
      <c r="AI64" s="129">
        <f>SUMIF(AH4,"0",AI4)</f>
        <v>0</v>
      </c>
      <c r="AJ64" s="130">
        <f>SUMIF(AH4,"0",AJ4)</f>
        <v>0</v>
      </c>
      <c r="AK64" s="87">
        <f>COUNTIF(AK4,0)</f>
        <v>0</v>
      </c>
      <c r="AL64" s="129">
        <f>SUMIF(AK4,"0",AL4)</f>
        <v>0</v>
      </c>
      <c r="AM64" s="130">
        <f>SUMIF(AK4,"0",AM4)</f>
        <v>0</v>
      </c>
      <c r="AN64" s="87">
        <f>COUNTIF(AN4,0)</f>
        <v>0</v>
      </c>
      <c r="AO64" s="123">
        <f>SUMIF(AN4,"0",AO4)</f>
        <v>0</v>
      </c>
      <c r="AP64" s="123">
        <f>SUMIF(AN4,"0",AP4)</f>
        <v>0</v>
      </c>
      <c r="AQ64" s="87">
        <f>COUNTIF(AQ4,0)</f>
        <v>0</v>
      </c>
      <c r="AR64" s="94">
        <f>SUMIF(AQ4,"0",AR4)</f>
        <v>0</v>
      </c>
      <c r="AS64" s="86">
        <f>SUMIF(AQ4,"0",AS4)</f>
        <v>0</v>
      </c>
    </row>
    <row r="65" spans="3:45" ht="12.75">
      <c r="C65" s="105" t="s">
        <v>19</v>
      </c>
      <c r="D65" s="89" t="s">
        <v>137</v>
      </c>
      <c r="G65" s="87">
        <f>COUNTIF(G8:G10,0)</f>
        <v>0</v>
      </c>
      <c r="H65" s="127">
        <f>SUMIF(G8:G10,"0",H8:H10)</f>
        <v>0</v>
      </c>
      <c r="I65" s="88">
        <f>SUMIF(G8:G10,"0",I8:I10)</f>
        <v>0</v>
      </c>
      <c r="J65" s="87">
        <f>COUNTIF(J8:J10,0)</f>
        <v>2</v>
      </c>
      <c r="K65" s="119">
        <f>SUMIF(J8:J10,"0",K8:K10)</f>
        <v>1.6902074957409559</v>
      </c>
      <c r="L65" s="84">
        <f>SUMIF(J8:J10,"0",L8:L10)</f>
        <v>0.4932526770740981</v>
      </c>
      <c r="M65" s="87">
        <f>COUNTIF(M8:M10,0)</f>
        <v>0</v>
      </c>
      <c r="N65" s="127">
        <f>SUMIF(M8:M10,"0",N8:N10)</f>
        <v>0</v>
      </c>
      <c r="O65" s="88">
        <f>SUMIF(M8:M10,"0",O8:O10)</f>
        <v>0</v>
      </c>
      <c r="P65" s="87">
        <f>COUNTIF(P8:P10,0)</f>
        <v>0</v>
      </c>
      <c r="Q65" s="94">
        <f>SUMIF(P8:P10,"0",Q8:Q10)</f>
        <v>0</v>
      </c>
      <c r="R65" s="86">
        <f>SUMIF(P8:P10,"0",R8:R10)</f>
        <v>0</v>
      </c>
      <c r="S65" s="87">
        <f>COUNTIF(S8:S10,0)</f>
        <v>0</v>
      </c>
      <c r="T65" s="127">
        <f>SUMIF(S8:S10,"0",T8:T10)</f>
        <v>0</v>
      </c>
      <c r="U65" s="88">
        <f>SUMIF(S8:S10,"0",U8:U10)</f>
        <v>0</v>
      </c>
      <c r="V65" s="87">
        <f>COUNTIF(V8:V10,0)</f>
        <v>1</v>
      </c>
      <c r="W65" s="127">
        <f>SUMIF(V8:V10,"0",W8:W10)</f>
        <v>0.04203235882167151</v>
      </c>
      <c r="X65" s="88">
        <f>SUMIF(V8:V10,"0",X8:X10)</f>
        <v>0.014729188992095838</v>
      </c>
      <c r="Y65" s="87">
        <f>COUNTIF(Y8:Y10,0)</f>
        <v>1</v>
      </c>
      <c r="Z65" s="127">
        <f>SUMIF(Y8:Y10,"0",Z8:Z10)</f>
        <v>0.04203235882167151</v>
      </c>
      <c r="AA65" s="88">
        <f>SUMIF(Y8:Y10,"0",AA8:AA10)</f>
        <v>0.014729188992095838</v>
      </c>
      <c r="AB65" s="87">
        <f>COUNTIF(AB8:AB10,0)</f>
        <v>0</v>
      </c>
      <c r="AC65" s="127">
        <f>SUMIF(AB8:AB10,"0",AC8:AC10)</f>
        <v>0</v>
      </c>
      <c r="AD65" s="88">
        <f>SUMIF(AB8:AB10,"0",AD8:AD10)</f>
        <v>0</v>
      </c>
      <c r="AE65" s="87">
        <f>COUNTIF(AE8:AE10,0)</f>
        <v>3</v>
      </c>
      <c r="AF65" s="94">
        <f>SUMIF(AE8:AE10,"0",AF8:AF10)</f>
        <v>2.9794998762700593</v>
      </c>
      <c r="AG65" s="86">
        <f>SUMIF(AE8:AE10,"0",AG8:AG10)</f>
        <v>0.8678366700524824</v>
      </c>
      <c r="AH65" s="87">
        <f>COUNTIF(AH8:AH10,0)</f>
        <v>0</v>
      </c>
      <c r="AI65" s="129">
        <f>SUMIF(AH8:AH10,"0",AI8:AI10)</f>
        <v>0</v>
      </c>
      <c r="AJ65" s="130">
        <f>SUMIF(AH8:AH10,"0",AJ8:AJ10)</f>
        <v>0</v>
      </c>
      <c r="AK65" s="87">
        <f>COUNTIF(AK8:AK10,0)</f>
        <v>0</v>
      </c>
      <c r="AL65" s="129">
        <f>SUMIF(AK8:AK10,"0",AL8:AL10)</f>
        <v>0</v>
      </c>
      <c r="AM65" s="130">
        <f>SUMIF(AK8:AK10,"0",AM8:AM10)</f>
        <v>0</v>
      </c>
      <c r="AN65" s="87">
        <f>COUNTIF(AN8:AN10,0)</f>
        <v>2</v>
      </c>
      <c r="AO65" s="123">
        <f>SUMIF(AN8:AN10,"0",AO8:AO10)</f>
        <v>0.028170124929015928</v>
      </c>
      <c r="AP65" s="123">
        <f>SUMIF(AN8:AN10,"0",AP8:AP10)</f>
        <v>0.008220877951234967</v>
      </c>
      <c r="AQ65" s="87">
        <f>COUNTIF(AQ8:AQ10,0)</f>
        <v>0</v>
      </c>
      <c r="AR65" s="94">
        <f>SUMIF(AQ8:AQ10,"0",AR8:AR10)</f>
        <v>0</v>
      </c>
      <c r="AS65" s="86">
        <f>SUMIF(AQ8:AQ10,"0",AS8:AS10)</f>
        <v>0</v>
      </c>
    </row>
    <row r="66" spans="3:45" ht="12.75">
      <c r="C66" s="105" t="s">
        <v>5</v>
      </c>
      <c r="D66" s="89" t="s">
        <v>137</v>
      </c>
      <c r="G66" s="87">
        <f>COUNTIF(G14:G15,0)</f>
        <v>0</v>
      </c>
      <c r="H66" s="127">
        <f>SUMIF(G14:G15,"0",H14:H15)</f>
        <v>0</v>
      </c>
      <c r="I66" s="88">
        <f>SUMIF(G14:G15,"0",I14:I15)</f>
        <v>0</v>
      </c>
      <c r="J66" s="87">
        <f>COUNTIF(J14:J15,0)</f>
        <v>2</v>
      </c>
      <c r="K66" s="127">
        <f>SUMIF(J14:J15,"0",K14:K15)</f>
        <v>1.4464764206882563</v>
      </c>
      <c r="L66" s="88">
        <f>SUMIF(J14:J15,"0",L14:L15)</f>
        <v>0.4246293646806196</v>
      </c>
      <c r="M66" s="87">
        <f>COUNTIF(M14:M15,0)</f>
        <v>0</v>
      </c>
      <c r="N66" s="127">
        <f>SUMIF(M14:M15,"0",N14:N15)</f>
        <v>0</v>
      </c>
      <c r="O66" s="88">
        <f>SUMIF(M14:M15,"0",O14:O15)</f>
        <v>0</v>
      </c>
      <c r="P66" s="87">
        <f>COUNTIF(P14:P15,0)</f>
        <v>0</v>
      </c>
      <c r="Q66" s="94">
        <f>SUMIF(P14:P15,"0",Q14:Q15)</f>
        <v>0</v>
      </c>
      <c r="R66" s="86">
        <f>SUMIF(P14:P15,"0",R14:R15)</f>
        <v>0</v>
      </c>
      <c r="S66" s="87">
        <f>COUNTIF(S14:S15,0)</f>
        <v>0</v>
      </c>
      <c r="T66" s="127">
        <f>SUMIF(S14:S15,"0",T14:T15)</f>
        <v>0</v>
      </c>
      <c r="U66" s="88">
        <f>SUMIF(S14:S15,"0",U14:U15)</f>
        <v>0</v>
      </c>
      <c r="V66" s="87">
        <f>COUNTIF(V14:V15,0)</f>
        <v>1</v>
      </c>
      <c r="W66" s="127">
        <f>SUMIF(V14:V15,"0",W14:W15)</f>
        <v>0.011938322027614613</v>
      </c>
      <c r="X66" s="88">
        <f>SUMIF(V14:V15,"0",X14:X15)</f>
        <v>0.004519209348968765</v>
      </c>
      <c r="Y66" s="87">
        <f>COUNTIF(Y14:Y15,0)</f>
        <v>1</v>
      </c>
      <c r="Z66" s="127">
        <f>SUMIF(Y14:Y15,"0",Z14:Z15)</f>
        <v>0.011938322027614613</v>
      </c>
      <c r="AA66" s="88">
        <f>SUMIF(Y14:Y15,"0",AA14:AA15)</f>
        <v>0.004519209348968765</v>
      </c>
      <c r="AB66" s="87">
        <f>COUNTIF(AB14:AB15,0)</f>
        <v>0</v>
      </c>
      <c r="AC66" s="127">
        <f>SUMIF(AB14:AB15,"0",AC14:AC15)</f>
        <v>0</v>
      </c>
      <c r="AD66" s="88">
        <f>SUMIF(AB14:AB15,"0",AD14:AD15)</f>
        <v>0</v>
      </c>
      <c r="AE66" s="87">
        <f>COUNTIF(AE14:AE15,0)</f>
        <v>2</v>
      </c>
      <c r="AF66" s="94">
        <f>SUMIF(AE14:AE15,"0",AF14:AF15)</f>
        <v>2.410794034480427</v>
      </c>
      <c r="AG66" s="86">
        <f>SUMIF(AE14:AE15,"0",AG14:AG15)</f>
        <v>0.7077156078010327</v>
      </c>
      <c r="AH66" s="87">
        <f>COUNTIF(AH14:AH15,0)</f>
        <v>0</v>
      </c>
      <c r="AI66" s="129">
        <f>SUMIF(AH14:AH15,"0",AI14:AI15)</f>
        <v>0</v>
      </c>
      <c r="AJ66" s="130">
        <f>SUMIF(AH14:AH15,"0",AJ14:AJ15)</f>
        <v>0</v>
      </c>
      <c r="AK66" s="87">
        <f>COUNTIF(AK14:AK15,0)</f>
        <v>0</v>
      </c>
      <c r="AL66" s="129">
        <f>SUMIF(AK14:AK15,"0",AL14:AL15)</f>
        <v>0</v>
      </c>
      <c r="AM66" s="130">
        <f>SUMIF(AK14:AK15,"0",AM14:AM15)</f>
        <v>0</v>
      </c>
      <c r="AN66" s="87">
        <f>COUNTIF(AN14:AN15,0)</f>
        <v>2</v>
      </c>
      <c r="AO66" s="129">
        <f>SUMIF(AN14:AN15,"0",AO14:AO15)</f>
        <v>0.024107940344804273</v>
      </c>
      <c r="AP66" s="129">
        <f>SUMIF(AN14:AN15,"0",AP14:AP15)</f>
        <v>0.007077156078010327</v>
      </c>
      <c r="AQ66" s="87">
        <f>COUNTIF(AQ14:AQ15,0)</f>
        <v>1</v>
      </c>
      <c r="AR66" s="94">
        <f>SUMIF(AQ14:AQ15,"0",AR14:AR15)</f>
        <v>0.059691610138073066</v>
      </c>
      <c r="AS66" s="86">
        <f>SUMIF(AQ14:AQ15,"0",AS14:AS15)</f>
        <v>0.022596046744843827</v>
      </c>
    </row>
    <row r="67" spans="3:45" ht="12.75">
      <c r="C67" s="105" t="s">
        <v>21</v>
      </c>
      <c r="D67" s="89" t="s">
        <v>137</v>
      </c>
      <c r="G67" s="87">
        <f>COUNTIF(G19:G21,0)</f>
        <v>0</v>
      </c>
      <c r="H67" s="127">
        <f>SUMIF(G19:G21,"0",H19:H21)</f>
        <v>0</v>
      </c>
      <c r="I67" s="88">
        <f>SUMIF(G19:G21,"0",I19:I21)</f>
        <v>0</v>
      </c>
      <c r="J67" s="87">
        <f>COUNTIF(J19:J21,0)</f>
        <v>3</v>
      </c>
      <c r="K67" s="127">
        <f>SUMIF(J19:J21,"0",K19:K21)</f>
        <v>1.9826847858041952</v>
      </c>
      <c r="L67" s="88">
        <f>SUMIF(J19:J21,"0",L19:L21)</f>
        <v>0.5756006519462723</v>
      </c>
      <c r="M67" s="87">
        <f>COUNTIF(M19:M21,0)</f>
        <v>0</v>
      </c>
      <c r="N67" s="127">
        <f>SUMIF(M19:M21,"0",N19:N21)</f>
        <v>0</v>
      </c>
      <c r="O67" s="88">
        <f>SUMIF(M19:M21,"0",O19:O21)</f>
        <v>0</v>
      </c>
      <c r="P67" s="87">
        <f>COUNTIF(P19:P21,0)</f>
        <v>0</v>
      </c>
      <c r="Q67" s="94">
        <f>SUMIF(P19:P21,"0",Q19:Q21)</f>
        <v>0</v>
      </c>
      <c r="R67" s="86">
        <f>SUMIF(P19:P21,"0",R19:R21)</f>
        <v>0</v>
      </c>
      <c r="S67" s="87">
        <f>COUNTIF(S19:S21,0)</f>
        <v>0</v>
      </c>
      <c r="T67" s="127">
        <f>SUMIF(S19:S21,"0",T19:T21)</f>
        <v>0</v>
      </c>
      <c r="U67" s="88">
        <f>SUMIF(S19:S21,"0",U19:U21)</f>
        <v>0</v>
      </c>
      <c r="V67" s="87">
        <f>COUNTIF(V19:V21,0)</f>
        <v>0</v>
      </c>
      <c r="W67" s="119">
        <f>SUMIF(V19:V21,"0",W19:W21)</f>
        <v>0</v>
      </c>
      <c r="X67" s="84">
        <f>SUMIF(V19:V21,"0",X19:X21)</f>
        <v>0</v>
      </c>
      <c r="Y67" s="87">
        <f>COUNTIF(Y19:Y21,0)</f>
        <v>0</v>
      </c>
      <c r="Z67" s="119">
        <f>SUMIF(Y19:Y21,"0",Z19:Z21)</f>
        <v>0</v>
      </c>
      <c r="AA67" s="84">
        <f>SUMIF(Y19:Y21,"0",AA19:AA21)</f>
        <v>0</v>
      </c>
      <c r="AB67" s="87">
        <f>COUNTIF(AB19:AB21,0)</f>
        <v>0</v>
      </c>
      <c r="AC67" s="127">
        <f>SUMIF(AB19:AB21,"0",AC19:AC21)</f>
        <v>0</v>
      </c>
      <c r="AD67" s="88">
        <f>SUMIF(AB19:AB21,"0",AD19:AD21)</f>
        <v>0</v>
      </c>
      <c r="AE67" s="87">
        <f>COUNTIF(AE19:AE21,0)</f>
        <v>1</v>
      </c>
      <c r="AF67" s="94">
        <f>SUMIF(AE19:AE21,"0",AF19:AF21)</f>
        <v>1.580528511967241</v>
      </c>
      <c r="AG67" s="86">
        <f>SUMIF(AE19:AE21,"0",AG19:AG21)</f>
        <v>0.46237218649703277</v>
      </c>
      <c r="AH67" s="87">
        <f>COUNTIF(AH19:AH21,0)</f>
        <v>0</v>
      </c>
      <c r="AI67" s="129">
        <f>SUMIF(AH19:AH21,"0",AI19:AI21)</f>
        <v>0</v>
      </c>
      <c r="AJ67" s="130">
        <f>SUMIF(AH19:AH21,"0",AJ19:AJ21)</f>
        <v>0</v>
      </c>
      <c r="AK67" s="87">
        <f>COUNTIF(AK19:AK21,0)</f>
        <v>0</v>
      </c>
      <c r="AL67" s="129">
        <f>SUMIF(AK19:AK21,"0",AL19:AL21)</f>
        <v>0</v>
      </c>
      <c r="AM67" s="130">
        <f>SUMIF(AK19:AK21,"0",AM19:AM21)</f>
        <v>0</v>
      </c>
      <c r="AN67" s="87">
        <f>COUNTIF(AN19:AN21,0)</f>
        <v>2</v>
      </c>
      <c r="AO67" s="129">
        <f>SUMIF(AN19:AN21,"0",AO19:AO21)</f>
        <v>0.03185091422730846</v>
      </c>
      <c r="AP67" s="129">
        <f>SUMIF(AN19:AN21,"0",AP19:AP21)</f>
        <v>0.009141423264207662</v>
      </c>
      <c r="AQ67" s="87">
        <f>COUNTIF(AQ19:AQ21,0)</f>
        <v>0</v>
      </c>
      <c r="AR67" s="94">
        <f>SUMIF(AQ19:AQ21,"0",AR19:AR21)</f>
        <v>0</v>
      </c>
      <c r="AS67" s="86">
        <f>SUMIF(AQ19:AQ21,"0",AS19:AS21)</f>
        <v>0</v>
      </c>
    </row>
    <row r="68" spans="3:45" ht="12.75">
      <c r="C68" s="105" t="s">
        <v>12</v>
      </c>
      <c r="D68" s="89" t="s">
        <v>137</v>
      </c>
      <c r="G68" s="87">
        <f>COUNTIF(G25:G28,0)</f>
        <v>0</v>
      </c>
      <c r="H68" s="127">
        <f>SUMIF(G25:G28,"0",H25:H28)</f>
        <v>0</v>
      </c>
      <c r="I68" s="88">
        <f>SUMIF(G25:G28,"0",I25:I28)</f>
        <v>0</v>
      </c>
      <c r="J68" s="87">
        <f>COUNTIF(J25:J28,0)</f>
        <v>4</v>
      </c>
      <c r="K68" s="119">
        <f>SUMIF(J25:J28,"0",K25:K28)</f>
        <v>2.055804108320005</v>
      </c>
      <c r="L68" s="84">
        <f>SUMIF(J25:J28,"0",L25:L28)</f>
        <v>0.5961876456643158</v>
      </c>
      <c r="M68" s="87">
        <f>COUNTIF(M25:M28,0)</f>
        <v>0</v>
      </c>
      <c r="N68" s="127">
        <f>SUMIF(M25:M28,"0",N25:N28)</f>
        <v>0</v>
      </c>
      <c r="O68" s="88">
        <f>SUMIF(M25:M28,"0",O25:O28)</f>
        <v>0</v>
      </c>
      <c r="P68" s="87">
        <f>COUNTIF(P25:P28,0)</f>
        <v>0</v>
      </c>
      <c r="Q68" s="94">
        <f>SUMIF(P25:P28,"0",Q25:Q28)</f>
        <v>0</v>
      </c>
      <c r="R68" s="86">
        <f>SUMIF(P25:P28,"0",R25:R28)</f>
        <v>0</v>
      </c>
      <c r="S68" s="87">
        <f>COUNTIF(S25:S28,0)</f>
        <v>0</v>
      </c>
      <c r="T68" s="127">
        <f>SUMIF(S25:S28,"0",T25:T28)</f>
        <v>0</v>
      </c>
      <c r="U68" s="88">
        <f>SUMIF(S25:S28,"0",U25:U28)</f>
        <v>0</v>
      </c>
      <c r="V68" s="87">
        <f>COUNTIF(V25:V28,0)</f>
        <v>3</v>
      </c>
      <c r="W68" s="119">
        <f>SUMIF(V25:V28,"0",W25:W28)</f>
        <v>0.273576880121736</v>
      </c>
      <c r="X68" s="84">
        <f>SUMIF(V25:V28,"0",X25:X28)</f>
        <v>0.0799213357659004</v>
      </c>
      <c r="Y68" s="87">
        <f>COUNTIF(Y25:Y28,0)</f>
        <v>1</v>
      </c>
      <c r="Z68" s="119">
        <f>SUMIF(Y25:Y28,"0",Z25:Z28)</f>
        <v>0.16654956795267795</v>
      </c>
      <c r="AA68" s="84">
        <f>SUMIF(Y25:Y28,"0",AA25:AA28)</f>
        <v>0.04689259680221029</v>
      </c>
      <c r="AB68" s="87">
        <f>COUNTIF(AB25:AB28,0)</f>
        <v>0</v>
      </c>
      <c r="AC68" s="127">
        <f>SUMIF(AB25:AB28,"0",AC25:AC28)</f>
        <v>0</v>
      </c>
      <c r="AD68" s="88">
        <f>SUMIF(AB25:AB28,"0",AD25:AD28)</f>
        <v>0</v>
      </c>
      <c r="AE68" s="87">
        <f>COUNTIF(AE25:AE28,0)</f>
        <v>4</v>
      </c>
      <c r="AF68" s="94">
        <f>SUMIF(AE25:AE28,"0",AF25:AF28)</f>
        <v>3.4263401805333413</v>
      </c>
      <c r="AG68" s="86">
        <f>SUMIF(AE25:AE28,"0",AG25:AG28)</f>
        <v>0.993646076107193</v>
      </c>
      <c r="AH68" s="87">
        <f>COUNTIF(AH25:AH28,0)</f>
        <v>0</v>
      </c>
      <c r="AI68" s="129">
        <f>SUMIF(AH25:AH28,"0",AI25:AI28)</f>
        <v>0</v>
      </c>
      <c r="AJ68" s="130">
        <f>SUMIF(AH25:AH28,"0",AJ25:AJ28)</f>
        <v>0</v>
      </c>
      <c r="AK68" s="87">
        <f>COUNTIF(AK25:AK28,0)</f>
        <v>0</v>
      </c>
      <c r="AL68" s="129">
        <f>SUMIF(AK25:AK28,"0",AL25:AL28)</f>
        <v>0</v>
      </c>
      <c r="AM68" s="130">
        <f>SUMIF(AK25:AK28,"0",AM25:AM28)</f>
        <v>0</v>
      </c>
      <c r="AN68" s="87">
        <f>COUNTIF(AN25:AN28,0)</f>
        <v>4</v>
      </c>
      <c r="AO68" s="123">
        <f>SUMIF(AN25:AN28,"0",AO25:AO28)</f>
        <v>0.03426340180533341</v>
      </c>
      <c r="AP68" s="123">
        <f>SUMIF(AN25:AN28,"0",AP25:AP28)</f>
        <v>0.009936460761071929</v>
      </c>
      <c r="AQ68" s="87">
        <f>COUNTIF(AQ25:AQ28,0)</f>
        <v>1</v>
      </c>
      <c r="AR68" s="94">
        <f>SUMIF(AQ25:AQ28,"0",AR25:AR28)</f>
        <v>0.3859075355001074</v>
      </c>
      <c r="AS68" s="86">
        <f>SUMIF(AQ25:AQ28,"0",AS25:AS28)</f>
        <v>0.10865357795634094</v>
      </c>
    </row>
    <row r="69" spans="3:45" ht="12.75">
      <c r="C69" s="105" t="s">
        <v>20</v>
      </c>
      <c r="D69" s="89" t="s">
        <v>137</v>
      </c>
      <c r="G69" s="87">
        <f>COUNTIF(G32:G34,0)</f>
        <v>0</v>
      </c>
      <c r="H69" s="127">
        <f>SUMIF(G32:G34,"0",H32:H34)</f>
        <v>0</v>
      </c>
      <c r="I69" s="88">
        <f>SUMIF(G32:G34,"0",I32:I34)</f>
        <v>0</v>
      </c>
      <c r="J69" s="87">
        <f>COUNTIF(J32:J34,0)</f>
        <v>2</v>
      </c>
      <c r="K69" s="127">
        <f>SUMIF(J32:J34,"0",K32:K34)</f>
        <v>0.8615218405617777</v>
      </c>
      <c r="L69" s="88">
        <f>SUMIF(J32:J34,"0",L32:L34)</f>
        <v>0.25993341493627126</v>
      </c>
      <c r="M69" s="87">
        <f>COUNTIF(M32:M34,0)</f>
        <v>0</v>
      </c>
      <c r="N69" s="127">
        <f>SUMIF(M32:M34,"0",N32:N34)</f>
        <v>0</v>
      </c>
      <c r="O69" s="88">
        <f>SUMIF(M32:M34,"0",O32:O34)</f>
        <v>0</v>
      </c>
      <c r="P69" s="87">
        <f>COUNTIF(P32:P34,0)</f>
        <v>0</v>
      </c>
      <c r="Q69" s="94">
        <f>SUMIF(P32:P34,"0",Q32:Q34)</f>
        <v>0</v>
      </c>
      <c r="R69" s="86">
        <f>SUMIF(P32:P34,"0",R32:R34)</f>
        <v>0</v>
      </c>
      <c r="S69" s="87">
        <f>COUNTIF(S32:S34,0)</f>
        <v>0</v>
      </c>
      <c r="T69" s="127">
        <f>SUMIF(S32:S34,"0",T32:T34)</f>
        <v>0</v>
      </c>
      <c r="U69" s="88">
        <f>SUMIF(S32:S34,"0",U32:U34)</f>
        <v>0</v>
      </c>
      <c r="V69" s="87">
        <f>COUNTIF(V32:V34,0)</f>
        <v>1</v>
      </c>
      <c r="W69" s="127">
        <f>SUMIF(V32:V34,"0",W32:W34)</f>
        <v>0.0704676509111531</v>
      </c>
      <c r="X69" s="88">
        <f>SUMIF(V32:V34,"0",X32:X34)</f>
        <v>0.022735242104668325</v>
      </c>
      <c r="Y69" s="87">
        <f>COUNTIF(Y32:Y34,0)</f>
        <v>1</v>
      </c>
      <c r="Z69" s="127">
        <f>SUMIF(Y32:Y34,"0",Z32:Z34)</f>
        <v>0.0704676509111531</v>
      </c>
      <c r="AA69" s="88">
        <f>SUMIF(Y32:Y34,"0",AA32:AA34)</f>
        <v>0.022735242104668325</v>
      </c>
      <c r="AB69" s="87">
        <f>COUNTIF(AB32:AB34,0)</f>
        <v>0</v>
      </c>
      <c r="AC69" s="127">
        <f>SUMIF(AB32:AB34,"0",AC32:AC34)</f>
        <v>0</v>
      </c>
      <c r="AD69" s="88">
        <f>SUMIF(AB32:AB34,"0",AD32:AD34)</f>
        <v>0</v>
      </c>
      <c r="AE69" s="87">
        <f>COUNTIF(AE32:AE34,0)</f>
        <v>2</v>
      </c>
      <c r="AF69" s="94">
        <f>SUMIF(AE32:AE34,"0",AF32:AF34)</f>
        <v>1.4358697342696294</v>
      </c>
      <c r="AG69" s="86">
        <f>SUMIF(AE32:AE34,"0",AG32:AG34)</f>
        <v>0.43322235822711874</v>
      </c>
      <c r="AH69" s="87">
        <f>COUNTIF(AH32:AH34,0)</f>
        <v>0</v>
      </c>
      <c r="AI69" s="129">
        <f>SUMIF(AH32:AH34,"0",AI32:AI34)</f>
        <v>0</v>
      </c>
      <c r="AJ69" s="130">
        <f>SUMIF(AH32:AH34,"0",AJ32:AJ34)</f>
        <v>0</v>
      </c>
      <c r="AK69" s="87">
        <f>COUNTIF(AK32:AK34,0)</f>
        <v>0</v>
      </c>
      <c r="AL69" s="129">
        <f>SUMIF(AK32:AK34,"0",AL32:AL34)</f>
        <v>0</v>
      </c>
      <c r="AM69" s="130">
        <f>SUMIF(AK32:AK34,"0",AM32:AM34)</f>
        <v>0</v>
      </c>
      <c r="AN69" s="87">
        <f>COUNTIF(AN32:AN34,0)</f>
        <v>2</v>
      </c>
      <c r="AO69" s="129">
        <f>SUMIF(AN32:AN34,"0",AO32:AO34)</f>
        <v>0.014358697342696293</v>
      </c>
      <c r="AP69" s="129">
        <f>SUMIF(AN32:AN34,"0",AP32:AP34)</f>
        <v>0.0043322235822711875</v>
      </c>
      <c r="AQ69" s="87">
        <f>COUNTIF(AQ32:AQ34,0)</f>
        <v>0</v>
      </c>
      <c r="AR69" s="94">
        <f>SUMIF(AQ32:AQ34,"0",AR32:AR34)</f>
        <v>0</v>
      </c>
      <c r="AS69" s="86">
        <f>SUMIF(AQ32:AQ34,"0",AS32:AS34)</f>
        <v>0</v>
      </c>
    </row>
    <row r="70" spans="3:45" ht="12.75">
      <c r="C70" s="105" t="s">
        <v>17</v>
      </c>
      <c r="D70" s="89" t="s">
        <v>137</v>
      </c>
      <c r="G70" s="87">
        <f>COUNTIF(G38:G40,0)</f>
        <v>0</v>
      </c>
      <c r="H70" s="127">
        <f>SUMIF(G38:G40,"0",H38:H40)</f>
        <v>0</v>
      </c>
      <c r="I70" s="88">
        <f>SUMIF(G38:G40,"0",I38:I40)</f>
        <v>0</v>
      </c>
      <c r="J70" s="87">
        <f>COUNTIF(J38:J40,0)</f>
        <v>1</v>
      </c>
      <c r="K70" s="127">
        <f>SUMIF(J38:J40,"0",K38:K40)</f>
        <v>0.25219415293002906</v>
      </c>
      <c r="L70" s="88">
        <f>SUMIF(J38:J40,"0",L38:L40)</f>
        <v>0.08837513395257503</v>
      </c>
      <c r="M70" s="87">
        <f>COUNTIF(M38:M40,0)</f>
        <v>0</v>
      </c>
      <c r="N70" s="127">
        <f>SUMIF(M38:M40,"0",N38:N40)</f>
        <v>0</v>
      </c>
      <c r="O70" s="88">
        <f>SUMIF(M38:M40,"0",O38:O40)</f>
        <v>0</v>
      </c>
      <c r="P70" s="87">
        <f>COUNTIF(P38:P40,0)</f>
        <v>0</v>
      </c>
      <c r="Q70" s="94">
        <f>SUMIF(P38:P40,"0",Q38:Q40)</f>
        <v>0</v>
      </c>
      <c r="R70" s="86">
        <f>SUMIF(P38:P40,"0",R38:R40)</f>
        <v>0</v>
      </c>
      <c r="S70" s="87">
        <f>COUNTIF(S38:S40,0)</f>
        <v>0</v>
      </c>
      <c r="T70" s="127">
        <f>SUMIF(S38:S40,"0",T38:T40)</f>
        <v>0</v>
      </c>
      <c r="U70" s="88">
        <f>SUMIF(S38:S40,"0",U38:U40)</f>
        <v>0</v>
      </c>
      <c r="V70" s="87">
        <f>COUNTIF(V38:V40,0)</f>
        <v>1</v>
      </c>
      <c r="W70" s="127">
        <f>SUMIF(V38:V40,"0",W38:W40)</f>
        <v>0.04203235882167151</v>
      </c>
      <c r="X70" s="88">
        <f>SUMIF(V38:V40,"0",X38:X40)</f>
        <v>0.014729188992095838</v>
      </c>
      <c r="Y70" s="87">
        <f>COUNTIF(Y38:Y40,0)</f>
        <v>1</v>
      </c>
      <c r="Z70" s="119">
        <f>SUMIF(Y38:Y40,"0",Z38:Z40)</f>
        <v>0.04203235882167151</v>
      </c>
      <c r="AA70" s="84">
        <f>SUMIF(Y38:Y40,"0",AA38:AA40)</f>
        <v>0.014729188992095838</v>
      </c>
      <c r="AB70" s="87">
        <f>COUNTIF(AB38:AB40,0)</f>
        <v>0</v>
      </c>
      <c r="AC70" s="127">
        <f>SUMIF(AB38:AB40,"0",AC38:AC40)</f>
        <v>0</v>
      </c>
      <c r="AD70" s="88">
        <f>SUMIF(AB38:AB40,"0",AD38:AD40)</f>
        <v>0</v>
      </c>
      <c r="AE70" s="87">
        <f>COUNTIF(AE38:AE40,0)</f>
        <v>2</v>
      </c>
      <c r="AF70" s="94">
        <f>SUMIF(AE38:AE40,"0",AF38:AF40)</f>
        <v>1.1921386592169299</v>
      </c>
      <c r="AG70" s="86">
        <f>SUMIF(AE38:AE40,"0",AG38:AG40)</f>
        <v>0.3645990458336402</v>
      </c>
      <c r="AH70" s="87">
        <f>COUNTIF(AH38:AH40,0)</f>
        <v>0</v>
      </c>
      <c r="AI70" s="129">
        <f>SUMIF(AH38:AH40,"0",AI38:AI40)</f>
        <v>0</v>
      </c>
      <c r="AJ70" s="130">
        <f>SUMIF(AH38:AH40,"0",AJ38:AJ40)</f>
        <v>0</v>
      </c>
      <c r="AK70" s="87">
        <f>COUNTIF(AK38:AK40,0)</f>
        <v>0</v>
      </c>
      <c r="AL70" s="129">
        <f>SUMIF(AK38:AK40,"0",AL38:AL40)</f>
        <v>0</v>
      </c>
      <c r="AM70" s="130">
        <f>SUMIF(AK38:AK40,"0",AM38:AM40)</f>
        <v>0</v>
      </c>
      <c r="AN70" s="87">
        <f>COUNTIF(AN38:AN40,0)</f>
        <v>0</v>
      </c>
      <c r="AO70" s="129">
        <f>SUMIF(AN38:AN40,"0",AO38:AO40)</f>
        <v>0</v>
      </c>
      <c r="AP70" s="129">
        <f>SUMIF(AN38:AN40,"0",AP38:AP40)</f>
        <v>0</v>
      </c>
      <c r="AQ70" s="87">
        <f>COUNTIF(AQ38:AQ40,0)</f>
        <v>0</v>
      </c>
      <c r="AR70" s="94">
        <f>SUMIF(AQ38:AQ40,"0",AR38:AR40)</f>
        <v>0</v>
      </c>
      <c r="AS70" s="86">
        <f>SUMIF(AQ38:AQ40,"0",AS38:AS40)</f>
        <v>0</v>
      </c>
    </row>
    <row r="71" spans="3:45" ht="12.75">
      <c r="C71" s="105" t="s">
        <v>22</v>
      </c>
      <c r="D71" s="89" t="s">
        <v>137</v>
      </c>
      <c r="G71" s="87">
        <f>COUNTIF(G44:G45,0)</f>
        <v>0</v>
      </c>
      <c r="H71" s="127">
        <f>SUMIF(G44:G45,"0",H44:H45)</f>
        <v>0</v>
      </c>
      <c r="I71" s="88">
        <f>SUMIF(G44:G45,"0",I44:I45)</f>
        <v>0</v>
      </c>
      <c r="J71" s="87">
        <f>COUNTIF(J44:J45,0)</f>
        <v>2</v>
      </c>
      <c r="K71" s="119">
        <f>SUMIF(J44:J45,"0",K44:K45)</f>
        <v>1.2027453456355568</v>
      </c>
      <c r="L71" s="84">
        <f>SUMIF(J44:J45,"0",L44:L45)</f>
        <v>0.35600605228714116</v>
      </c>
      <c r="M71" s="87">
        <f>COUNTIF(M44:M45,0)</f>
        <v>0</v>
      </c>
      <c r="N71" s="127">
        <f>SUMIF(M44:M45,"0",N44:N45)</f>
        <v>0</v>
      </c>
      <c r="O71" s="88">
        <f>SUMIF(M44:M45,"0",O44:O45)</f>
        <v>0</v>
      </c>
      <c r="P71" s="87">
        <f>COUNTIF(P44:P45,0)</f>
        <v>0</v>
      </c>
      <c r="Q71" s="94">
        <f>SUMIF(P44:P45,"0",Q44:Q45)</f>
        <v>0</v>
      </c>
      <c r="R71" s="86">
        <f>SUMIF(P44:P45,"0",R44:R45)</f>
        <v>0</v>
      </c>
      <c r="S71" s="87">
        <f>COUNTIF(S44:S45,0)</f>
        <v>0</v>
      </c>
      <c r="T71" s="127">
        <f>SUMIF(S44:S45,"0",T44:T45)</f>
        <v>0</v>
      </c>
      <c r="U71" s="88">
        <f>SUMIF(S44:S45,"0",U44:U45)</f>
        <v>0</v>
      </c>
      <c r="V71" s="87">
        <f>COUNTIF(V44:V45,0)</f>
        <v>0</v>
      </c>
      <c r="W71" s="119">
        <f>SUMIF(V44:V45,"0",W44:W45)</f>
        <v>0</v>
      </c>
      <c r="X71" s="84">
        <f>SUMIF(V44:V45,"0",X44:X45)</f>
        <v>0</v>
      </c>
      <c r="Y71" s="87">
        <f>COUNTIF(Y44:Y45,0)</f>
        <v>0</v>
      </c>
      <c r="Z71" s="127">
        <f>SUMIF(Y44:Y45,"0",Z44:Z45)</f>
        <v>0</v>
      </c>
      <c r="AA71" s="88">
        <f>SUMIF(Y44:Y45,"0",AA44:AA45)</f>
        <v>0</v>
      </c>
      <c r="AB71" s="87">
        <f>COUNTIF(AB44:AB45,0)</f>
        <v>0</v>
      </c>
      <c r="AC71" s="127">
        <f>SUMIF(AB44:AB45,"0",AC44:AC45)</f>
        <v>0</v>
      </c>
      <c r="AD71" s="88">
        <f>SUMIF(AB44:AB45,"0",AD44:AD45)</f>
        <v>0</v>
      </c>
      <c r="AE71" s="87">
        <f>COUNTIF(AE44:AE45,0)</f>
        <v>0</v>
      </c>
      <c r="AF71" s="94">
        <f>SUMIF(AE44:AE45,"0",AF44:AF45)</f>
        <v>0</v>
      </c>
      <c r="AG71" s="86">
        <f>SUMIF(AE44:AE45,"0",AG44:AG45)</f>
        <v>0</v>
      </c>
      <c r="AH71" s="87">
        <f>COUNTIF(AH44:AH45,0)</f>
        <v>0</v>
      </c>
      <c r="AI71" s="129">
        <f>SUMIF(AH44:AH45,"0",AI44:AI45)</f>
        <v>0</v>
      </c>
      <c r="AJ71" s="130">
        <f>SUMIF(AH44:AH45,"0",AJ44:AJ45)</f>
        <v>0</v>
      </c>
      <c r="AK71" s="87">
        <f>COUNTIF(AK44:AK45,0)</f>
        <v>0</v>
      </c>
      <c r="AL71" s="129">
        <f>SUMIF(AK44:AK45,"0",AL44:AL45)</f>
        <v>0</v>
      </c>
      <c r="AM71" s="130">
        <f>SUMIF(AK44:AK45,"0",AM44:AM45)</f>
        <v>0</v>
      </c>
      <c r="AN71" s="87">
        <f>COUNTIF(AN44:AN45,0)</f>
        <v>1</v>
      </c>
      <c r="AO71" s="123">
        <f>SUMIF(AN44:AN45,"0",AO44:AO45)</f>
        <v>0.002686122456213288</v>
      </c>
      <c r="AP71" s="123">
        <f>SUMIF(AN44:AN45,"0",AP44:AP45)</f>
        <v>0.0010168221035179723</v>
      </c>
      <c r="AQ71" s="87">
        <f>COUNTIF(AQ44:AQ45,0)</f>
        <v>0</v>
      </c>
      <c r="AR71" s="94">
        <f>SUMIF(AQ44:AQ45,"0",AR44:AR45)</f>
        <v>0</v>
      </c>
      <c r="AS71" s="86">
        <f>SUMIF(AQ44:AQ45,"0",AS44:AS45)</f>
        <v>0</v>
      </c>
    </row>
    <row r="72" spans="3:45" ht="12.75">
      <c r="C72" s="105"/>
      <c r="G72" s="87"/>
      <c r="H72" s="127"/>
      <c r="I72" s="88"/>
      <c r="J72" s="87"/>
      <c r="K72" s="119"/>
      <c r="L72" s="84"/>
      <c r="M72" s="87"/>
      <c r="N72" s="127"/>
      <c r="O72" s="88"/>
      <c r="P72" s="87"/>
      <c r="Q72" s="94"/>
      <c r="R72" s="86"/>
      <c r="S72" s="87"/>
      <c r="T72" s="127"/>
      <c r="U72" s="88"/>
      <c r="V72" s="87"/>
      <c r="W72" s="119"/>
      <c r="X72" s="84"/>
      <c r="Y72" s="87"/>
      <c r="Z72" s="127"/>
      <c r="AA72" s="88"/>
      <c r="AB72" s="87"/>
      <c r="AC72" s="127"/>
      <c r="AD72" s="88"/>
      <c r="AE72" s="87"/>
      <c r="AF72" s="121"/>
      <c r="AG72" s="122"/>
      <c r="AH72" s="87"/>
      <c r="AI72" s="129"/>
      <c r="AJ72" s="130"/>
      <c r="AK72" s="87"/>
      <c r="AL72" s="129"/>
      <c r="AM72" s="130"/>
      <c r="AN72" s="87"/>
      <c r="AO72" s="123"/>
      <c r="AP72" s="123"/>
      <c r="AQ72" s="87"/>
      <c r="AR72" s="125"/>
      <c r="AS72" s="126"/>
    </row>
    <row r="74" spans="1:45" s="146" customFormat="1" ht="12.75">
      <c r="A74" s="128"/>
      <c r="B74" s="137"/>
      <c r="C74" s="138"/>
      <c r="D74" s="137"/>
      <c r="E74" s="137"/>
      <c r="F74" s="137"/>
      <c r="G74" s="139"/>
      <c r="H74" s="140" t="s">
        <v>190</v>
      </c>
      <c r="I74" s="141"/>
      <c r="J74" s="142"/>
      <c r="K74" s="143"/>
      <c r="L74" s="144"/>
      <c r="M74" s="145"/>
      <c r="N74" s="143"/>
      <c r="O74" s="144"/>
      <c r="P74" s="145"/>
      <c r="Q74" s="143"/>
      <c r="R74" s="144"/>
      <c r="S74" s="145"/>
      <c r="T74" s="143"/>
      <c r="U74" s="144"/>
      <c r="V74" s="145"/>
      <c r="W74" s="143"/>
      <c r="X74" s="144"/>
      <c r="Y74" s="145"/>
      <c r="Z74" s="143"/>
      <c r="AA74" s="144"/>
      <c r="AB74" s="145"/>
      <c r="AC74" s="143"/>
      <c r="AD74" s="144"/>
      <c r="AE74" s="145"/>
      <c r="AF74" s="143"/>
      <c r="AG74" s="144"/>
      <c r="AH74" s="145"/>
      <c r="AI74" s="143"/>
      <c r="AJ74" s="144"/>
      <c r="AK74" s="145"/>
      <c r="AL74" s="143"/>
      <c r="AM74" s="144"/>
      <c r="AN74" s="145"/>
      <c r="AO74" s="143"/>
      <c r="AP74" s="143"/>
      <c r="AQ74" s="145"/>
      <c r="AR74" s="143"/>
      <c r="AS74" s="144"/>
    </row>
    <row r="75" spans="1:45" ht="12.75">
      <c r="A75" s="2"/>
      <c r="B75" s="2"/>
      <c r="H75" s="89" t="s">
        <v>75</v>
      </c>
      <c r="I75" s="76" t="s">
        <v>167</v>
      </c>
      <c r="K75" s="89" t="s">
        <v>76</v>
      </c>
      <c r="L75" s="76" t="s">
        <v>168</v>
      </c>
      <c r="N75" s="89" t="s">
        <v>77</v>
      </c>
      <c r="O75" s="76" t="s">
        <v>169</v>
      </c>
      <c r="Q75" s="89" t="s">
        <v>78</v>
      </c>
      <c r="R75" s="76" t="s">
        <v>170</v>
      </c>
      <c r="T75" s="89" t="s">
        <v>79</v>
      </c>
      <c r="U75" s="76" t="s">
        <v>171</v>
      </c>
      <c r="W75" s="89" t="s">
        <v>80</v>
      </c>
      <c r="X75" s="76" t="s">
        <v>172</v>
      </c>
      <c r="Z75" s="89" t="s">
        <v>81</v>
      </c>
      <c r="AA75" s="76" t="s">
        <v>173</v>
      </c>
      <c r="AC75" s="89" t="s">
        <v>82</v>
      </c>
      <c r="AD75" s="76" t="s">
        <v>174</v>
      </c>
      <c r="AF75" s="89" t="s">
        <v>83</v>
      </c>
      <c r="AG75" s="76" t="s">
        <v>179</v>
      </c>
      <c r="AI75" s="89" t="s">
        <v>84</v>
      </c>
      <c r="AJ75" s="76" t="s">
        <v>178</v>
      </c>
      <c r="AL75" s="89" t="s">
        <v>85</v>
      </c>
      <c r="AM75" s="76" t="s">
        <v>177</v>
      </c>
      <c r="AO75" s="89" t="s">
        <v>86</v>
      </c>
      <c r="AP75" s="89" t="s">
        <v>176</v>
      </c>
      <c r="AR75" s="89" t="s">
        <v>87</v>
      </c>
      <c r="AS75" s="76" t="s">
        <v>175</v>
      </c>
    </row>
    <row r="76" spans="3:45" ht="12.75">
      <c r="C76" s="105">
        <v>101</v>
      </c>
      <c r="D76" s="89" t="s">
        <v>137</v>
      </c>
      <c r="H76" s="119">
        <f>H52+H64</f>
        <v>2755.1545414795346</v>
      </c>
      <c r="I76" s="84">
        <f>I52+I64</f>
        <v>810.5678958437368</v>
      </c>
      <c r="K76" s="119">
        <f>K52+K64</f>
        <v>1.3733570981724466</v>
      </c>
      <c r="L76" s="84">
        <f>L52+L64</f>
        <v>0.40404237096257606</v>
      </c>
      <c r="N76" s="119">
        <f>N52+N64</f>
        <v>48.97975880461428</v>
      </c>
      <c r="O76" s="84">
        <f>O52+O64</f>
        <v>14.40987045752796</v>
      </c>
      <c r="Q76" s="119">
        <f>Q52+Q64</f>
        <v>914.6683898470955</v>
      </c>
      <c r="R76" s="84">
        <f>R52+R64</f>
        <v>269.09591494457595</v>
      </c>
      <c r="T76" s="119">
        <f>T52+T64</f>
        <v>7.454576898405875</v>
      </c>
      <c r="U76" s="84">
        <f>U52+U64</f>
        <v>2.1931403919365455</v>
      </c>
      <c r="W76" s="119">
        <f>W52+W64</f>
        <v>17.943396004672103</v>
      </c>
      <c r="X76" s="84">
        <f>X52+X64</f>
        <v>5.278956415993849</v>
      </c>
      <c r="Z76" s="119">
        <f>Z52+Z64</f>
        <v>4.924704629807918</v>
      </c>
      <c r="AA76" s="84">
        <f>AA52+AA64</f>
        <v>1.4488506576809619</v>
      </c>
      <c r="AC76" s="119">
        <f>AC52+AC64</f>
        <v>2.331170031701557</v>
      </c>
      <c r="AD76" s="84">
        <f>AD52+AD64</f>
        <v>0.6858314330475259</v>
      </c>
      <c r="AF76" s="119">
        <f aca="true" t="shared" si="0" ref="AF76:AG83">AF52+AF64</f>
        <v>2.2889284969540773</v>
      </c>
      <c r="AG76" s="84">
        <f t="shared" si="0"/>
        <v>0.6734039516042934</v>
      </c>
      <c r="AI76" s="119">
        <f>AI52+AI64</f>
        <v>2.9758851387211904</v>
      </c>
      <c r="AJ76" s="84">
        <f>AJ52+AJ64</f>
        <v>0.8755069520966107</v>
      </c>
      <c r="AL76" s="119">
        <f>AL52+AL64</f>
        <v>429.9654728185593</v>
      </c>
      <c r="AM76" s="84">
        <f>AM52+AM64</f>
        <v>126.49606522646883</v>
      </c>
      <c r="AO76" s="119">
        <f>AO52+AO64</f>
        <v>0.03066315048952789</v>
      </c>
      <c r="AP76" s="119">
        <f>AP52+AP64</f>
        <v>0.009021114786138066</v>
      </c>
      <c r="AR76" s="119">
        <f aca="true" t="shared" si="1" ref="AR76:AS83">AR52+AR64</f>
        <v>19.8980249332421</v>
      </c>
      <c r="AS76" s="84">
        <f t="shared" si="1"/>
        <v>5.8540092611004875</v>
      </c>
    </row>
    <row r="77" spans="3:45" ht="12.75">
      <c r="C77" s="105" t="s">
        <v>19</v>
      </c>
      <c r="D77" s="89" t="s">
        <v>137</v>
      </c>
      <c r="H77" s="119">
        <f aca="true" t="shared" si="2" ref="H77:I83">H53+H65</f>
        <v>3714.461361994079</v>
      </c>
      <c r="I77" s="84">
        <f t="shared" si="2"/>
        <v>1047.4163419683541</v>
      </c>
      <c r="K77" s="119">
        <f aca="true" t="shared" si="3" ref="K77:L83">K53+K65</f>
        <v>1.832769428042432</v>
      </c>
      <c r="L77" s="84">
        <f t="shared" si="3"/>
        <v>0.5333914735473293</v>
      </c>
      <c r="N77" s="119">
        <f aca="true" t="shared" si="4" ref="N77:O83">N53+N65</f>
        <v>10.171563149377615</v>
      </c>
      <c r="O77" s="84">
        <f t="shared" si="4"/>
        <v>2.903475921196285</v>
      </c>
      <c r="Q77" s="119">
        <f aca="true" t="shared" si="5" ref="Q77:R83">Q53+Q65</f>
        <v>843.1507635400629</v>
      </c>
      <c r="R77" s="84">
        <f t="shared" si="5"/>
        <v>238.3828157531674</v>
      </c>
      <c r="T77" s="119">
        <f aca="true" t="shared" si="6" ref="T77:U83">T53+T65</f>
        <v>10.954860207213514</v>
      </c>
      <c r="U77" s="84">
        <f t="shared" si="6"/>
        <v>3.1689946837092915</v>
      </c>
      <c r="W77" s="119">
        <f aca="true" t="shared" si="7" ref="W77:X83">W53+W65</f>
        <v>1.9949446896701388</v>
      </c>
      <c r="X77" s="84">
        <f t="shared" si="7"/>
        <v>0.564578291852344</v>
      </c>
      <c r="Z77" s="119">
        <f aca="true" t="shared" si="8" ref="Z77:AA83">Z53+Z65</f>
        <v>20.499838591180108</v>
      </c>
      <c r="AA77" s="84">
        <f t="shared" si="8"/>
        <v>5.7746940505299085</v>
      </c>
      <c r="AC77" s="119">
        <f aca="true" t="shared" si="9" ref="AC77:AD83">AC53+AC65</f>
        <v>4.1259879305269775</v>
      </c>
      <c r="AD77" s="84">
        <f t="shared" si="9"/>
        <v>1.1985647360412977</v>
      </c>
      <c r="AF77" s="119">
        <f t="shared" si="0"/>
        <v>2.9794998762700593</v>
      </c>
      <c r="AG77" s="84">
        <f t="shared" si="0"/>
        <v>0.8678366700524824</v>
      </c>
      <c r="AI77" s="119">
        <f aca="true" t="shared" si="10" ref="AI77:AJ83">AI53+AI65</f>
        <v>3.974688094246921</v>
      </c>
      <c r="AJ77" s="84">
        <f t="shared" si="10"/>
        <v>1.1520218194208343</v>
      </c>
      <c r="AL77" s="119">
        <f aca="true" t="shared" si="11" ref="AL77:AM83">AL53+AL65</f>
        <v>528.1326349748952</v>
      </c>
      <c r="AM77" s="84">
        <f t="shared" si="11"/>
        <v>148.99850592010347</v>
      </c>
      <c r="AO77" s="119">
        <f aca="true" t="shared" si="12" ref="AO77:AP83">AO53+AO65</f>
        <v>0.045193085830023884</v>
      </c>
      <c r="AP77" s="119">
        <f t="shared" si="12"/>
        <v>0.013013750437926528</v>
      </c>
      <c r="AR77" s="119">
        <f t="shared" si="1"/>
        <v>11.645680761582835</v>
      </c>
      <c r="AS77" s="84">
        <f t="shared" si="1"/>
        <v>3.2980481638855275</v>
      </c>
    </row>
    <row r="78" spans="3:45" ht="12.75">
      <c r="C78" s="105" t="s">
        <v>5</v>
      </c>
      <c r="D78" s="89" t="s">
        <v>137</v>
      </c>
      <c r="H78" s="119">
        <f t="shared" si="2"/>
        <v>4137.237925857428</v>
      </c>
      <c r="I78" s="84">
        <f t="shared" si="2"/>
        <v>1196.5668039405887</v>
      </c>
      <c r="K78" s="119">
        <f t="shared" si="3"/>
        <v>1.4464764206882563</v>
      </c>
      <c r="L78" s="84">
        <f t="shared" si="3"/>
        <v>0.4246293646806196</v>
      </c>
      <c r="N78" s="119">
        <f t="shared" si="4"/>
        <v>8.570596770921474</v>
      </c>
      <c r="O78" s="84">
        <f t="shared" si="4"/>
        <v>2.488961486726545</v>
      </c>
      <c r="Q78" s="119">
        <f t="shared" si="5"/>
        <v>679.8117934042533</v>
      </c>
      <c r="R78" s="84">
        <f t="shared" si="5"/>
        <v>196.88320578730085</v>
      </c>
      <c r="T78" s="119">
        <f t="shared" si="6"/>
        <v>9.42576545293911</v>
      </c>
      <c r="U78" s="84">
        <f t="shared" si="6"/>
        <v>2.758538214654753</v>
      </c>
      <c r="W78" s="119">
        <f t="shared" si="7"/>
        <v>0.8589799063837384</v>
      </c>
      <c r="X78" s="84">
        <f t="shared" si="7"/>
        <v>0.24942726501350782</v>
      </c>
      <c r="Z78" s="119">
        <f t="shared" si="8"/>
        <v>7.002022871374851</v>
      </c>
      <c r="AA78" s="84">
        <f t="shared" si="8"/>
        <v>2.0255864716046745</v>
      </c>
      <c r="AC78" s="119">
        <f t="shared" si="9"/>
        <v>3.005407549886595</v>
      </c>
      <c r="AD78" s="84">
        <f t="shared" si="9"/>
        <v>0.8809285132591853</v>
      </c>
      <c r="AF78" s="119">
        <f t="shared" si="0"/>
        <v>2.410794034480427</v>
      </c>
      <c r="AG78" s="84">
        <f t="shared" si="0"/>
        <v>0.7077156078010327</v>
      </c>
      <c r="AI78" s="119">
        <f t="shared" si="10"/>
        <v>3.321812723289832</v>
      </c>
      <c r="AJ78" s="84">
        <f t="shared" si="10"/>
        <v>0.9737462369406862</v>
      </c>
      <c r="AL78" s="119">
        <f t="shared" si="11"/>
        <v>499.13480713773635</v>
      </c>
      <c r="AM78" s="84">
        <f t="shared" si="11"/>
        <v>144.3729881015214</v>
      </c>
      <c r="AO78" s="119">
        <f t="shared" si="12"/>
        <v>0.024107940344804273</v>
      </c>
      <c r="AP78" s="119">
        <f t="shared" si="12"/>
        <v>0.007077156078010327</v>
      </c>
      <c r="AR78" s="119">
        <f t="shared" si="1"/>
        <v>6.7113251309673565</v>
      </c>
      <c r="AS78" s="84">
        <f t="shared" si="1"/>
        <v>1.9458057954346686</v>
      </c>
    </row>
    <row r="79" spans="3:45" ht="12.75">
      <c r="C79" s="105" t="s">
        <v>21</v>
      </c>
      <c r="D79" s="89" t="s">
        <v>137</v>
      </c>
      <c r="H79" s="119">
        <f t="shared" si="2"/>
        <v>2915.2093533239367</v>
      </c>
      <c r="I79" s="84">
        <f t="shared" si="2"/>
        <v>846.6200696285658</v>
      </c>
      <c r="K79" s="119">
        <f t="shared" si="3"/>
        <v>1.9826847858041952</v>
      </c>
      <c r="L79" s="84">
        <f t="shared" si="3"/>
        <v>0.5756006519462723</v>
      </c>
      <c r="N79" s="119">
        <f t="shared" si="4"/>
        <v>14.819602320934413</v>
      </c>
      <c r="O79" s="84">
        <f t="shared" si="4"/>
        <v>4.696100716282003</v>
      </c>
      <c r="Q79" s="119">
        <f t="shared" si="5"/>
        <v>616.0621443729443</v>
      </c>
      <c r="R79" s="84">
        <f t="shared" si="5"/>
        <v>180.64421188714442</v>
      </c>
      <c r="T79" s="119">
        <f t="shared" si="6"/>
        <v>13.167565136411572</v>
      </c>
      <c r="U79" s="84">
        <f t="shared" si="6"/>
        <v>3.8173463115219777</v>
      </c>
      <c r="W79" s="119">
        <f t="shared" si="7"/>
        <v>6.816034674772243</v>
      </c>
      <c r="X79" s="84">
        <f t="shared" si="7"/>
        <v>1.9825751092671877</v>
      </c>
      <c r="Z79" s="119">
        <f t="shared" si="8"/>
        <v>1.9666792771991477</v>
      </c>
      <c r="AA79" s="84">
        <f t="shared" si="8"/>
        <v>0.6591705838966211</v>
      </c>
      <c r="AC79" s="119">
        <f t="shared" si="9"/>
        <v>5.262196069173765</v>
      </c>
      <c r="AD79" s="84">
        <f t="shared" si="9"/>
        <v>1.525911513705338</v>
      </c>
      <c r="AF79" s="119">
        <f t="shared" si="0"/>
        <v>214.46304291121032</v>
      </c>
      <c r="AG79" s="84">
        <f t="shared" si="0"/>
        <v>60.81688054675419</v>
      </c>
      <c r="AI79" s="119">
        <f t="shared" si="10"/>
        <v>4.528516961806887</v>
      </c>
      <c r="AJ79" s="84">
        <f t="shared" si="10"/>
        <v>1.3135569259794835</v>
      </c>
      <c r="AL79" s="119">
        <f t="shared" si="11"/>
        <v>552.7365474228544</v>
      </c>
      <c r="AM79" s="84">
        <f t="shared" si="11"/>
        <v>159.77634804815702</v>
      </c>
      <c r="AO79" s="119">
        <f t="shared" si="12"/>
        <v>0.0367250938709167</v>
      </c>
      <c r="AP79" s="119">
        <f t="shared" si="12"/>
        <v>0.010986526634932273</v>
      </c>
      <c r="AR79" s="119">
        <f t="shared" si="1"/>
        <v>17.370463428383587</v>
      </c>
      <c r="AS79" s="84">
        <f t="shared" si="1"/>
        <v>5.023884731492673</v>
      </c>
    </row>
    <row r="80" spans="3:45" ht="12.75">
      <c r="C80" s="105" t="s">
        <v>12</v>
      </c>
      <c r="D80" s="89" t="s">
        <v>137</v>
      </c>
      <c r="H80" s="119">
        <f t="shared" si="2"/>
        <v>478.8429648960054</v>
      </c>
      <c r="I80" s="84">
        <f t="shared" si="2"/>
        <v>140.94815705468238</v>
      </c>
      <c r="K80" s="119">
        <f t="shared" si="3"/>
        <v>2.055804108320005</v>
      </c>
      <c r="L80" s="84">
        <f t="shared" si="3"/>
        <v>0.5961876456643158</v>
      </c>
      <c r="N80" s="119">
        <f t="shared" si="4"/>
        <v>4.753537317110163</v>
      </c>
      <c r="O80" s="84">
        <f t="shared" si="4"/>
        <v>1.3872869370434828</v>
      </c>
      <c r="Q80" s="119">
        <f t="shared" si="5"/>
        <v>366.95436706022485</v>
      </c>
      <c r="R80" s="84">
        <f t="shared" si="5"/>
        <v>108.9816784200659</v>
      </c>
      <c r="T80" s="119">
        <f t="shared" si="6"/>
        <v>12.282135902430749</v>
      </c>
      <c r="U80" s="84">
        <f t="shared" si="6"/>
        <v>3.5660981429069185</v>
      </c>
      <c r="W80" s="119">
        <f t="shared" si="7"/>
        <v>0.5162506956971957</v>
      </c>
      <c r="X80" s="84">
        <f t="shared" si="7"/>
        <v>0.14824697316093274</v>
      </c>
      <c r="Z80" s="119">
        <f t="shared" si="8"/>
        <v>3.003342934277516</v>
      </c>
      <c r="AA80" s="84">
        <f t="shared" si="8"/>
        <v>0.9343445734055804</v>
      </c>
      <c r="AC80" s="119">
        <f t="shared" si="9"/>
        <v>5.103985911734445</v>
      </c>
      <c r="AD80" s="84">
        <f t="shared" si="9"/>
        <v>1.4842215551704567</v>
      </c>
      <c r="AF80" s="119">
        <f t="shared" si="0"/>
        <v>3.4263401805333413</v>
      </c>
      <c r="AG80" s="84">
        <f t="shared" si="0"/>
        <v>0.993646076107193</v>
      </c>
      <c r="AI80" s="119">
        <f t="shared" si="10"/>
        <v>4.339585349216948</v>
      </c>
      <c r="AJ80" s="84">
        <f t="shared" si="10"/>
        <v>1.2575462446724204</v>
      </c>
      <c r="AL80" s="119">
        <f t="shared" si="11"/>
        <v>75.05714830680753</v>
      </c>
      <c r="AM80" s="84">
        <f t="shared" si="11"/>
        <v>21.734698159205802</v>
      </c>
      <c r="AO80" s="119">
        <f t="shared" si="12"/>
        <v>0.03426340180533341</v>
      </c>
      <c r="AP80" s="119">
        <f>AP56+AP68</f>
        <v>0.009936460761071929</v>
      </c>
      <c r="AR80" s="119">
        <f t="shared" si="1"/>
        <v>4.619086177000329</v>
      </c>
      <c r="AS80" s="84">
        <f t="shared" si="1"/>
        <v>1.3595136545746813</v>
      </c>
    </row>
    <row r="81" spans="3:45" ht="12.75">
      <c r="C81" s="105" t="s">
        <v>20</v>
      </c>
      <c r="D81" s="89" t="s">
        <v>137</v>
      </c>
      <c r="H81" s="119">
        <f t="shared" si="2"/>
        <v>2020.528401626521</v>
      </c>
      <c r="I81" s="84">
        <f t="shared" si="2"/>
        <v>571.4425942930387</v>
      </c>
      <c r="K81" s="119">
        <f t="shared" si="3"/>
        <v>1.3998625184384408</v>
      </c>
      <c r="L81" s="84">
        <f t="shared" si="3"/>
        <v>0.4115050621054288</v>
      </c>
      <c r="N81" s="119">
        <f t="shared" si="4"/>
        <v>13.851037987495454</v>
      </c>
      <c r="O81" s="84">
        <f t="shared" si="4"/>
        <v>3.914130280091598</v>
      </c>
      <c r="Q81" s="119">
        <f t="shared" si="5"/>
        <v>1333.3157331565535</v>
      </c>
      <c r="R81" s="84">
        <f t="shared" si="5"/>
        <v>376.5819836280992</v>
      </c>
      <c r="T81" s="119">
        <f t="shared" si="6"/>
        <v>6.7327053085477795</v>
      </c>
      <c r="U81" s="84">
        <f t="shared" si="6"/>
        <v>1.9457312241761018</v>
      </c>
      <c r="W81" s="119">
        <f t="shared" si="7"/>
        <v>12.897360830731566</v>
      </c>
      <c r="X81" s="84">
        <f t="shared" si="7"/>
        <v>3.634190603413329</v>
      </c>
      <c r="Z81" s="119">
        <f t="shared" si="8"/>
        <v>2.4924323754693147</v>
      </c>
      <c r="AA81" s="84">
        <f t="shared" si="8"/>
        <v>0.704647640281238</v>
      </c>
      <c r="AC81" s="119">
        <f t="shared" si="9"/>
        <v>2.517983344394916</v>
      </c>
      <c r="AD81" s="84">
        <f t="shared" si="9"/>
        <v>0.7302245947730579</v>
      </c>
      <c r="AF81" s="119">
        <f t="shared" si="0"/>
        <v>141.82542780514504</v>
      </c>
      <c r="AG81" s="84">
        <f t="shared" si="0"/>
        <v>39.960379484978446</v>
      </c>
      <c r="AI81" s="119">
        <f t="shared" si="10"/>
        <v>3.022390740089479</v>
      </c>
      <c r="AJ81" s="84">
        <f t="shared" si="10"/>
        <v>0.8804425460500225</v>
      </c>
      <c r="AL81" s="119">
        <f t="shared" si="11"/>
        <v>185.54538724110782</v>
      </c>
      <c r="AM81" s="84">
        <f t="shared" si="11"/>
        <v>52.33235398569541</v>
      </c>
      <c r="AO81" s="119">
        <f t="shared" si="12"/>
        <v>0.03176005497628532</v>
      </c>
      <c r="AP81" s="119">
        <f t="shared" si="12"/>
        <v>0.009231634954835088</v>
      </c>
      <c r="AR81" s="119">
        <f t="shared" si="1"/>
        <v>10.591354303296335</v>
      </c>
      <c r="AS81" s="84">
        <f t="shared" si="1"/>
        <v>3.013483826043723</v>
      </c>
    </row>
    <row r="82" spans="3:45" ht="12.75">
      <c r="C82" s="105" t="s">
        <v>17</v>
      </c>
      <c r="D82" s="89" t="s">
        <v>137</v>
      </c>
      <c r="H82" s="119">
        <f t="shared" si="2"/>
        <v>4445.967604015033</v>
      </c>
      <c r="I82" s="84">
        <f t="shared" si="2"/>
        <v>1254.4029713257933</v>
      </c>
      <c r="K82" s="119">
        <f t="shared" si="3"/>
        <v>1.613666751335759</v>
      </c>
      <c r="L82" s="84">
        <f t="shared" si="3"/>
        <v>0.47170237039690677</v>
      </c>
      <c r="N82" s="119">
        <f t="shared" si="4"/>
        <v>41.833865926537754</v>
      </c>
      <c r="O82" s="84">
        <f t="shared" si="4"/>
        <v>11.844373689856582</v>
      </c>
      <c r="Q82" s="119">
        <f t="shared" si="5"/>
        <v>1131.3129577041454</v>
      </c>
      <c r="R82" s="84">
        <f t="shared" si="5"/>
        <v>323.10552911692787</v>
      </c>
      <c r="T82" s="119">
        <f t="shared" si="6"/>
        <v>7.340949897931639</v>
      </c>
      <c r="U82" s="84">
        <f t="shared" si="6"/>
        <v>2.133766733678595</v>
      </c>
      <c r="W82" s="119">
        <f t="shared" si="7"/>
        <v>10.596964831428432</v>
      </c>
      <c r="X82" s="84">
        <f t="shared" si="7"/>
        <v>2.9865062929299215</v>
      </c>
      <c r="Z82" s="119">
        <f t="shared" si="8"/>
        <v>0.8290922419498186</v>
      </c>
      <c r="AA82" s="84">
        <f t="shared" si="8"/>
        <v>0.23632857356215664</v>
      </c>
      <c r="AC82" s="119">
        <f t="shared" si="9"/>
        <v>2.7500397154378846</v>
      </c>
      <c r="AD82" s="84">
        <f t="shared" si="9"/>
        <v>0.8021230862387143</v>
      </c>
      <c r="AF82" s="119">
        <f t="shared" si="0"/>
        <v>271.2849990632005</v>
      </c>
      <c r="AG82" s="84">
        <f t="shared" si="0"/>
        <v>76.41016168384843</v>
      </c>
      <c r="AI82" s="119">
        <f t="shared" si="10"/>
        <v>3.2895243553054625</v>
      </c>
      <c r="AJ82" s="84">
        <f t="shared" si="10"/>
        <v>0.9612174167063048</v>
      </c>
      <c r="AL82" s="119">
        <f t="shared" si="11"/>
        <v>436.3209013176398</v>
      </c>
      <c r="AM82" s="84">
        <f t="shared" si="11"/>
        <v>123.02498426808867</v>
      </c>
      <c r="AO82" s="119">
        <f t="shared" si="12"/>
        <v>0.19106593660803614</v>
      </c>
      <c r="AP82" s="119">
        <f t="shared" si="12"/>
        <v>0.054089676444593796</v>
      </c>
      <c r="AR82" s="119">
        <f t="shared" si="1"/>
        <v>15.783080529126671</v>
      </c>
      <c r="AS82" s="84">
        <f t="shared" si="1"/>
        <v>4.546286561942296</v>
      </c>
    </row>
    <row r="83" spans="3:45" ht="12.75">
      <c r="C83" s="105" t="s">
        <v>22</v>
      </c>
      <c r="D83" s="89" t="s">
        <v>137</v>
      </c>
      <c r="H83" s="119">
        <f t="shared" si="2"/>
        <v>1801.120411749254</v>
      </c>
      <c r="I83" s="84">
        <f t="shared" si="2"/>
        <v>556.0524754482487</v>
      </c>
      <c r="K83" s="119">
        <f t="shared" si="3"/>
        <v>1.2027453456355568</v>
      </c>
      <c r="L83" s="84">
        <f t="shared" si="3"/>
        <v>0.35600605228714116</v>
      </c>
      <c r="N83" s="119">
        <f t="shared" si="4"/>
        <v>137.29756335576823</v>
      </c>
      <c r="O83" s="84">
        <f t="shared" si="4"/>
        <v>39.099463313554786</v>
      </c>
      <c r="Q83" s="119">
        <f t="shared" si="5"/>
        <v>543.8651076757</v>
      </c>
      <c r="R83" s="84">
        <f t="shared" si="5"/>
        <v>170.82802578773396</v>
      </c>
      <c r="T83" s="119">
        <f t="shared" si="6"/>
        <v>10.296139912515535</v>
      </c>
      <c r="U83" s="84">
        <f t="shared" si="6"/>
        <v>3.024448696937643</v>
      </c>
      <c r="W83" s="119">
        <f t="shared" si="7"/>
        <v>7.172855961841372</v>
      </c>
      <c r="X83" s="84">
        <f t="shared" si="7"/>
        <v>2.0519451045045436</v>
      </c>
      <c r="Z83" s="119">
        <f t="shared" si="8"/>
        <v>31.562525897693515</v>
      </c>
      <c r="AA83" s="84">
        <f t="shared" si="8"/>
        <v>9.118312457406523</v>
      </c>
      <c r="AC83" s="119">
        <f t="shared" si="9"/>
        <v>3.0018975514899466</v>
      </c>
      <c r="AD83" s="84">
        <f t="shared" si="9"/>
        <v>0.8907432881469077</v>
      </c>
      <c r="AF83" s="119">
        <f t="shared" si="0"/>
        <v>314.21668043095434</v>
      </c>
      <c r="AG83" s="84">
        <f t="shared" si="0"/>
        <v>91.83032273086826</v>
      </c>
      <c r="AI83" s="119">
        <f t="shared" si="10"/>
        <v>3.0493262378940407</v>
      </c>
      <c r="AJ83" s="84">
        <f t="shared" si="10"/>
        <v>0.9053351837092147</v>
      </c>
      <c r="AL83" s="119">
        <f t="shared" si="11"/>
        <v>314.21668043095434</v>
      </c>
      <c r="AM83" s="84">
        <f t="shared" si="11"/>
        <v>91.83032273086826</v>
      </c>
      <c r="AO83" s="119">
        <f t="shared" si="12"/>
        <v>0.07324952328818203</v>
      </c>
      <c r="AP83" s="119">
        <f t="shared" si="12"/>
        <v>0.02100185660015914</v>
      </c>
      <c r="AR83" s="119">
        <f t="shared" si="1"/>
        <v>12.756131363375864</v>
      </c>
      <c r="AS83" s="84">
        <f t="shared" si="1"/>
        <v>3.7380705323839174</v>
      </c>
    </row>
    <row r="84" spans="3:46" ht="12.75">
      <c r="C84" s="105"/>
      <c r="H84" s="119"/>
      <c r="I84" s="84"/>
      <c r="K84" s="119"/>
      <c r="L84" s="84"/>
      <c r="N84" s="119"/>
      <c r="O84" s="84"/>
      <c r="Q84" s="119"/>
      <c r="R84" s="84"/>
      <c r="T84" s="119"/>
      <c r="U84" s="84"/>
      <c r="W84" s="119"/>
      <c r="X84" s="84"/>
      <c r="Z84" s="119"/>
      <c r="AA84" s="84"/>
      <c r="AC84" s="119"/>
      <c r="AD84" s="126"/>
      <c r="AE84" s="182"/>
      <c r="AF84" s="125"/>
      <c r="AG84" s="126"/>
      <c r="AH84" s="182"/>
      <c r="AI84" s="125"/>
      <c r="AJ84" s="126"/>
      <c r="AK84" s="182"/>
      <c r="AL84" s="125"/>
      <c r="AM84" s="126"/>
      <c r="AN84" s="182"/>
      <c r="AO84" s="125"/>
      <c r="AP84" s="125"/>
      <c r="AQ84" s="182"/>
      <c r="AR84" s="125"/>
      <c r="AS84" s="126"/>
      <c r="AT84" s="169"/>
    </row>
    <row r="86" spans="1:45" s="146" customFormat="1" ht="12.75">
      <c r="A86" s="137"/>
      <c r="B86" s="137"/>
      <c r="C86" s="138"/>
      <c r="D86" s="137"/>
      <c r="E86" s="137"/>
      <c r="F86" s="137"/>
      <c r="G86" s="139"/>
      <c r="H86" s="147" t="s">
        <v>138</v>
      </c>
      <c r="I86" s="148"/>
      <c r="J86" s="149"/>
      <c r="K86" s="137"/>
      <c r="L86" s="150"/>
      <c r="M86" s="139"/>
      <c r="N86" s="137"/>
      <c r="O86" s="150"/>
      <c r="P86" s="139"/>
      <c r="Q86" s="137"/>
      <c r="R86" s="150"/>
      <c r="S86" s="139"/>
      <c r="T86" s="137"/>
      <c r="U86" s="150"/>
      <c r="V86" s="139"/>
      <c r="W86" s="137"/>
      <c r="X86" s="150"/>
      <c r="Y86" s="139"/>
      <c r="Z86" s="137"/>
      <c r="AA86" s="150"/>
      <c r="AB86" s="139"/>
      <c r="AC86" s="137"/>
      <c r="AD86" s="150"/>
      <c r="AE86" s="139"/>
      <c r="AF86" s="137"/>
      <c r="AG86" s="150"/>
      <c r="AH86" s="139"/>
      <c r="AI86" s="137"/>
      <c r="AJ86" s="150"/>
      <c r="AK86" s="139"/>
      <c r="AL86" s="137"/>
      <c r="AM86" s="150"/>
      <c r="AN86" s="139"/>
      <c r="AO86" s="137"/>
      <c r="AP86" s="137"/>
      <c r="AQ86" s="139"/>
      <c r="AR86" s="137"/>
      <c r="AS86" s="150"/>
    </row>
    <row r="87" spans="8:44" ht="12.75">
      <c r="H87" s="89" t="s">
        <v>24</v>
      </c>
      <c r="I87" s="76" t="s">
        <v>167</v>
      </c>
      <c r="K87" s="89" t="s">
        <v>25</v>
      </c>
      <c r="L87" s="76" t="s">
        <v>168</v>
      </c>
      <c r="N87" s="89" t="s">
        <v>26</v>
      </c>
      <c r="O87" s="76" t="s">
        <v>169</v>
      </c>
      <c r="Q87" s="89" t="s">
        <v>27</v>
      </c>
      <c r="R87" s="76" t="s">
        <v>170</v>
      </c>
      <c r="T87" s="89" t="s">
        <v>28</v>
      </c>
      <c r="U87" s="76" t="s">
        <v>171</v>
      </c>
      <c r="W87" s="89" t="s">
        <v>29</v>
      </c>
      <c r="X87" s="76" t="s">
        <v>172</v>
      </c>
      <c r="Z87" s="89" t="s">
        <v>30</v>
      </c>
      <c r="AA87" s="76" t="s">
        <v>173</v>
      </c>
      <c r="AC87" s="89" t="s">
        <v>31</v>
      </c>
      <c r="AD87" s="76" t="s">
        <v>174</v>
      </c>
      <c r="AF87" s="89" t="s">
        <v>32</v>
      </c>
      <c r="AG87" s="76" t="s">
        <v>179</v>
      </c>
      <c r="AI87" s="89" t="s">
        <v>33</v>
      </c>
      <c r="AL87" s="89" t="s">
        <v>34</v>
      </c>
      <c r="AO87" s="89" t="s">
        <v>35</v>
      </c>
      <c r="AR87" s="89" t="s">
        <v>36</v>
      </c>
    </row>
    <row r="88" spans="3:45" ht="12.75">
      <c r="C88" s="105">
        <v>101</v>
      </c>
      <c r="D88" s="89" t="s">
        <v>137</v>
      </c>
      <c r="H88" s="96">
        <f>H52/'Horizon Thicknesses'!$J4*1000</f>
        <v>6.981154578872574</v>
      </c>
      <c r="I88" s="96">
        <f>I52/'Horizon Thicknesses'!$J4*1000</f>
        <v>2.0538592998554104</v>
      </c>
      <c r="J88" s="78"/>
      <c r="K88" s="96">
        <f>K52/'Horizon Thicknesses'!$J4*1000</f>
        <v>0</v>
      </c>
      <c r="L88" s="96">
        <f>L52/'Horizon Thicknesses'!$J4*1000</f>
        <v>0</v>
      </c>
      <c r="M88" s="78"/>
      <c r="N88" s="96">
        <f>N52/'Horizon Thicknesses'!$J4*1000</f>
        <v>0.12410747284879561</v>
      </c>
      <c r="O88" s="96">
        <f>O52/'Horizon Thicknesses'!$J4*1000</f>
        <v>0.036512482915571944</v>
      </c>
      <c r="P88" s="78"/>
      <c r="Q88" s="96">
        <f>Q52/'Horizon Thicknesses'!$J4*1000</f>
        <v>2.3176345725064245</v>
      </c>
      <c r="R88" s="96">
        <f>R52/'Horizon Thicknesses'!$J4*1000</f>
        <v>0.6818492939283222</v>
      </c>
      <c r="S88" s="78"/>
      <c r="T88" s="96">
        <f>T52/'Horizon Thicknesses'!$J4*1000</f>
        <v>0.01888879656816538</v>
      </c>
      <c r="U88" s="96">
        <f>U52/'Horizon Thicknesses'!$J4*1000</f>
        <v>0.005557093752373068</v>
      </c>
      <c r="V88" s="78"/>
      <c r="W88" s="96">
        <f>W52/'Horizon Thicknesses'!$J4*1000</f>
        <v>0.04546591463115245</v>
      </c>
      <c r="X88" s="96">
        <f>X52/'Horizon Thicknesses'!$J4*1000</f>
        <v>0.01337609567824599</v>
      </c>
      <c r="Y88" s="78"/>
      <c r="Z88" s="120">
        <f>Z52/'Horizon Thicknesses'!$J4*1000</f>
        <v>0.012478473986985926</v>
      </c>
      <c r="AA88" s="120">
        <f>AA52/'Horizon Thicknesses'!$J4*1000</f>
        <v>0.0036711735224625036</v>
      </c>
      <c r="AB88" s="78"/>
      <c r="AC88" s="96">
        <f>AC52/'Horizon Thicknesses'!$J4*1000</f>
        <v>0.005906840467905105</v>
      </c>
      <c r="AD88" s="96">
        <f>AD52/'Horizon Thicknesses'!$J4*1000</f>
        <v>0.0017377955309117964</v>
      </c>
      <c r="AE88" s="78"/>
      <c r="AF88" s="96">
        <f>AF52/'Horizon Thicknesses'!$J4*1000</f>
        <v>0</v>
      </c>
      <c r="AG88" s="96">
        <f>AG52/'Horizon Thicknesses'!$J4*1000</f>
        <v>0</v>
      </c>
      <c r="AH88" s="135"/>
      <c r="AI88" s="123">
        <f>AI52/'Horizon Thicknesses'!$J4*1000</f>
        <v>0.007540453302930123</v>
      </c>
      <c r="AJ88" s="123">
        <f>AJ52/'Horizon Thicknesses'!$J4*1000</f>
        <v>0.0022184052747116745</v>
      </c>
      <c r="AK88" s="135"/>
      <c r="AL88" s="123">
        <f>AL52/'Horizon Thicknesses'!$J4*1000</f>
        <v>1.089468987722369</v>
      </c>
      <c r="AM88" s="123">
        <f>AM52/'Horizon Thicknesses'!$J4*1000</f>
        <v>0.32052234154927034</v>
      </c>
      <c r="AN88" s="135"/>
      <c r="AO88" s="123">
        <f>AO52/'Horizon Thicknesses'!$J4*1000</f>
        <v>7.769589335909726E-05</v>
      </c>
      <c r="AP88" s="123">
        <f>AP52/'Horizon Thicknesses'!$J4*1000</f>
        <v>2.2858172145205104E-05</v>
      </c>
      <c r="AQ88" s="135"/>
      <c r="AR88" s="96">
        <f>AR52/'Horizon Thicknesses'!$J4*1000</f>
        <v>0.05041865557154104</v>
      </c>
      <c r="AS88" s="79">
        <f>AS52/'Horizon Thicknesses'!$J4*1000</f>
        <v>0.01483319463304875</v>
      </c>
    </row>
    <row r="89" spans="3:45" ht="12.75">
      <c r="C89" s="105" t="s">
        <v>19</v>
      </c>
      <c r="D89" s="89" t="s">
        <v>137</v>
      </c>
      <c r="H89" s="96">
        <f>H53/SUM('Horizon Thicknesses'!$J8:$J10)*1000</f>
        <v>7.230461029646423</v>
      </c>
      <c r="I89" s="96">
        <f>I53/SUM('Horizon Thicknesses'!$J8:$J10)*1000</f>
        <v>2.0388697860492293</v>
      </c>
      <c r="J89" s="78"/>
      <c r="K89" s="96">
        <f>K53/SUM('Horizon Thicknesses'!$J8:$J10)*1000</f>
        <v>0.00027750685640825845</v>
      </c>
      <c r="L89" s="96">
        <f>L53/SUM('Horizon Thicknesses'!$J8:$J10)*1000</f>
        <v>7.813299840620869E-05</v>
      </c>
      <c r="M89" s="78"/>
      <c r="N89" s="96">
        <f>N53/SUM('Horizon Thicknesses'!$J8:$J10)*1000</f>
        <v>0.01979966509132845</v>
      </c>
      <c r="O89" s="96">
        <f>O53/SUM('Horizon Thicknesses'!$J8:$J10)*1000</f>
        <v>0.005651820668678678</v>
      </c>
      <c r="P89" s="78"/>
      <c r="Q89" s="96">
        <f>Q53/SUM('Horizon Thicknesses'!$J8:$J10)*1000</f>
        <v>1.6412524303712945</v>
      </c>
      <c r="R89" s="96">
        <f>R53/SUM('Horizon Thicknesses'!$J8:$J10)*1000</f>
        <v>0.46402896448903963</v>
      </c>
      <c r="S89" s="78"/>
      <c r="T89" s="96">
        <f>T53/SUM('Horizon Thicknesses'!$J8:$J10)*1000</f>
        <v>0.021324408061942822</v>
      </c>
      <c r="U89" s="96">
        <f>U53/SUM('Horizon Thicknesses'!$J8:$J10)*1000</f>
        <v>0.006168671667489336</v>
      </c>
      <c r="V89" s="78"/>
      <c r="W89" s="96">
        <f>W53/SUM('Horizon Thicknesses'!$J8:$J10)*1000</f>
        <v>0.00380148159488065</v>
      </c>
      <c r="X89" s="96">
        <f>X53/SUM('Horizon Thicknesses'!$J8:$J10)*1000</f>
        <v>0.0010703200606945523</v>
      </c>
      <c r="Y89" s="78"/>
      <c r="Z89" s="120">
        <f>Z53/SUM('Horizon Thicknesses'!$J8:$J10)*1000</f>
        <v>0.03982256276202481</v>
      </c>
      <c r="AA89" s="120">
        <f>AA53/SUM('Horizon Thicknesses'!$J8:$J10)*1000</f>
        <v>0.011212177865036114</v>
      </c>
      <c r="AB89" s="78"/>
      <c r="AC89" s="96">
        <f>AC53/SUM('Horizon Thicknesses'!$J8:$J10)*1000</f>
        <v>0.008031526521102728</v>
      </c>
      <c r="AD89" s="96">
        <f>AD53/SUM('Horizon Thicknesses'!$J8:$J10)*1000</f>
        <v>0.002333090795916285</v>
      </c>
      <c r="AE89" s="78"/>
      <c r="AF89" s="96">
        <f>AF53/SUM('Horizon Thicknesses'!$J8:$J10)*1000</f>
        <v>0</v>
      </c>
      <c r="AG89" s="96">
        <f>AG53/SUM('Horizon Thicknesses'!$J8:$J10)*1000</f>
        <v>0</v>
      </c>
      <c r="AH89" s="135"/>
      <c r="AI89" s="123">
        <f>AI53/SUM('Horizon Thicknesses'!$J8:$J10)*1000</f>
        <v>0.007737010718297998</v>
      </c>
      <c r="AJ89" s="123">
        <f>AJ53/SUM('Horizon Thicknesses'!$J8:$J10)*1000</f>
        <v>0.002242491725947852</v>
      </c>
      <c r="AK89" s="135"/>
      <c r="AL89" s="123">
        <f>AL53/SUM('Horizon Thicknesses'!$J8:$J10)*1000</f>
        <v>1.0280474242490036</v>
      </c>
      <c r="AM89" s="123">
        <f>AM53/SUM('Horizon Thicknesses'!$J8:$J10)*1000</f>
        <v>0.2900361009415629</v>
      </c>
      <c r="AN89" s="135"/>
      <c r="AO89" s="123">
        <f>AO53/SUM('Horizon Thicknesses'!$J8:$J10)*1000</f>
        <v>3.3136394057914286E-05</v>
      </c>
      <c r="AP89" s="123">
        <f>AP53/SUM('Horizon Thicknesses'!$J8:$J10)*1000</f>
        <v>9.32966434640305E-06</v>
      </c>
      <c r="AQ89" s="135"/>
      <c r="AR89" s="96">
        <f>AR53/SUM('Horizon Thicknesses'!$J8:$J10)*1000</f>
        <v>0.02266913899600337</v>
      </c>
      <c r="AS89" s="79">
        <f>AS53/SUM('Horizon Thicknesses'!$J8:$J10)*1000</f>
        <v>0.006419883369057173</v>
      </c>
    </row>
    <row r="90" spans="3:45" ht="12.75">
      <c r="C90" s="105" t="s">
        <v>5</v>
      </c>
      <c r="D90" s="89" t="s">
        <v>137</v>
      </c>
      <c r="H90" s="96">
        <f>H54/SUM('Horizon Thicknesses'!$J14:$J15)*1000</f>
        <v>9.953226916330891</v>
      </c>
      <c r="I90" s="96">
        <f>I54/SUM('Horizon Thicknesses'!$J14:$J15)*1000</f>
        <v>2.87865990150935</v>
      </c>
      <c r="J90" s="78"/>
      <c r="K90" s="96">
        <f>K54/SUM('Horizon Thicknesses'!$J14:$J15)*1000</f>
        <v>0</v>
      </c>
      <c r="L90" s="96">
        <f>L54/SUM('Horizon Thicknesses'!$J14:$J15)*1000</f>
        <v>0</v>
      </c>
      <c r="M90" s="78"/>
      <c r="N90" s="96">
        <f>N54/SUM('Horizon Thicknesses'!$J14:$J15)*1000</f>
        <v>0.02061885151351914</v>
      </c>
      <c r="O90" s="96">
        <f>O54/SUM('Horizon Thicknesses'!$J14:$J15)*1000</f>
        <v>0.005987859269240223</v>
      </c>
      <c r="P90" s="78"/>
      <c r="Q90" s="96">
        <f>Q54/SUM('Horizon Thicknesses'!$J14:$J15)*1000</f>
        <v>1.6354681943383982</v>
      </c>
      <c r="R90" s="96">
        <f>R54/SUM('Horizon Thicknesses'!$J14:$J15)*1000</f>
        <v>0.47365495007385905</v>
      </c>
      <c r="S90" s="78"/>
      <c r="T90" s="96">
        <f>T54/SUM('Horizon Thicknesses'!$J14:$J15)*1000</f>
        <v>0.022676187372949352</v>
      </c>
      <c r="U90" s="96">
        <f>U54/SUM('Horizon Thicknesses'!$J14:$J15)*1000</f>
        <v>0.006636397833498736</v>
      </c>
      <c r="V90" s="78"/>
      <c r="W90" s="96">
        <f>W54/SUM('Horizon Thicknesses'!$J14:$J15)*1000</f>
        <v>0.002037783963057353</v>
      </c>
      <c r="X90" s="96">
        <f>X54/SUM('Horizon Thicknesses'!$J14:$J15)*1000</f>
        <v>0.0005891915078007907</v>
      </c>
      <c r="Y90" s="78"/>
      <c r="Z90" s="120">
        <f>Z54/SUM('Horizon Thicknesses'!$J14:$J15)*1000</f>
        <v>0.01681650872654916</v>
      </c>
      <c r="AA90" s="120">
        <f>AA54/SUM('Horizon Thicknesses'!$J14:$J15)*1000</f>
        <v>0.0048622151867733525</v>
      </c>
      <c r="AB90" s="78"/>
      <c r="AC90" s="96">
        <f>AC54/SUM('Horizon Thicknesses'!$J14:$J15)*1000</f>
        <v>0.007230307721274178</v>
      </c>
      <c r="AD90" s="96">
        <f>AD54/SUM('Horizon Thicknesses'!$J14:$J15)*1000</f>
        <v>0.0021193079892105845</v>
      </c>
      <c r="AE90" s="78"/>
      <c r="AF90" s="96">
        <f>AF54/SUM('Horizon Thicknesses'!$J14:$J15)*1000</f>
        <v>0</v>
      </c>
      <c r="AG90" s="96">
        <f>AG54/SUM('Horizon Thicknesses'!$J14:$J15)*1000</f>
        <v>0</v>
      </c>
      <c r="AH90" s="135"/>
      <c r="AI90" s="123">
        <f>AI54/SUM('Horizon Thicknesses'!$J14:$J15)*1000</f>
        <v>0.007991504574058702</v>
      </c>
      <c r="AJ90" s="123">
        <f>AJ54/SUM('Horizon Thicknesses'!$J14:$J15)*1000</f>
        <v>0.002342605726061872</v>
      </c>
      <c r="AK90" s="135"/>
      <c r="AL90" s="123">
        <f>AL54/SUM('Horizon Thicknesses'!$J14:$J15)*1000</f>
        <v>1.2008016184496675</v>
      </c>
      <c r="AM90" s="123">
        <f>AM54/SUM('Horizon Thicknesses'!$J14:$J15)*1000</f>
        <v>0.34732764634641444</v>
      </c>
      <c r="AN90" s="135"/>
      <c r="AO90" s="123">
        <f>AO54/SUM('Horizon Thicknesses'!$J14:$J15)*1000</f>
        <v>0</v>
      </c>
      <c r="AP90" s="123">
        <f>AP54/SUM('Horizon Thicknesses'!$J14:$J15)*1000</f>
        <v>0</v>
      </c>
      <c r="AQ90" s="135"/>
      <c r="AR90" s="96">
        <f>AR54/SUM('Horizon Thicknesses'!$J14:$J15)*1000</f>
        <v>0.016002274701996024</v>
      </c>
      <c r="AS90" s="79">
        <f>AS54/SUM('Horizon Thicknesses'!$J14:$J15)*1000</f>
        <v>0.004626792894064072</v>
      </c>
    </row>
    <row r="91" spans="3:45" ht="12.75">
      <c r="C91" s="105" t="s">
        <v>21</v>
      </c>
      <c r="D91" s="89" t="s">
        <v>137</v>
      </c>
      <c r="H91" s="96">
        <f>H55/SUM('Horizon Thicknesses'!$J19:$J21)*1000</f>
        <v>5.1165926349594155</v>
      </c>
      <c r="I91" s="96">
        <f>I55/SUM('Horizon Thicknesses'!$J19:$J21)*1000</f>
        <v>1.4859344519909679</v>
      </c>
      <c r="J91" s="78"/>
      <c r="K91" s="96">
        <f>K55/SUM('Horizon Thicknesses'!$J19:$J21)*1000</f>
        <v>0</v>
      </c>
      <c r="L91" s="96">
        <f>L55/SUM('Horizon Thicknesses'!$J19:$J21)*1000</f>
        <v>0</v>
      </c>
      <c r="M91" s="78"/>
      <c r="N91" s="96">
        <f>N55/SUM('Horizon Thicknesses'!$J19:$J21)*1000</f>
        <v>0.0260104366095915</v>
      </c>
      <c r="O91" s="96">
        <f>O55/SUM('Horizon Thicknesses'!$J19:$J21)*1000</f>
        <v>0.00824230146989589</v>
      </c>
      <c r="P91" s="78"/>
      <c r="Q91" s="96">
        <f>Q55/SUM('Horizon Thicknesses'!$J19:$J21)*1000</f>
        <v>1.081273640598685</v>
      </c>
      <c r="R91" s="96">
        <f>R55/SUM('Horizon Thicknesses'!$J19:$J21)*1000</f>
        <v>0.31705539193469556</v>
      </c>
      <c r="S91" s="78"/>
      <c r="T91" s="96">
        <f>T55/SUM('Horizon Thicknesses'!$J19:$J21)*1000</f>
        <v>0.023110884547791637</v>
      </c>
      <c r="U91" s="96">
        <f>U55/SUM('Horizon Thicknesses'!$J19:$J21)*1000</f>
        <v>0.006699966848127931</v>
      </c>
      <c r="V91" s="78"/>
      <c r="W91" s="96">
        <f>W55/SUM('Horizon Thicknesses'!$J19:$J21)*1000</f>
        <v>0.011963076606077414</v>
      </c>
      <c r="X91" s="96">
        <f>X55/SUM('Horizon Thicknesses'!$J19:$J21)*1000</f>
        <v>0.0034796914982329064</v>
      </c>
      <c r="Y91" s="78"/>
      <c r="Z91" s="120">
        <f>Z55/SUM('Horizon Thicknesses'!$J19:$J21)*1000</f>
        <v>0.0034517921306649645</v>
      </c>
      <c r="AA91" s="120">
        <f>AA55/SUM('Horizon Thicknesses'!$J19:$J21)*1000</f>
        <v>0.0011569348701841158</v>
      </c>
      <c r="AB91" s="78"/>
      <c r="AC91" s="96">
        <f>AC55/SUM('Horizon Thicknesses'!$J19:$J21)*1000</f>
        <v>0.009235876531662263</v>
      </c>
      <c r="AD91" s="96">
        <f>AD55/SUM('Horizon Thicknesses'!$J19:$J21)*1000</f>
        <v>0.0026781841941205323</v>
      </c>
      <c r="AE91" s="78"/>
      <c r="AF91" s="96">
        <f>AF55/SUM('Horizon Thicknesses'!$J19:$J21)*1000</f>
        <v>0.37363803873806173</v>
      </c>
      <c r="AG91" s="96">
        <f>AG55/SUM('Horizon Thicknesses'!$J19:$J21)*1000</f>
        <v>0.10593044805189794</v>
      </c>
      <c r="AH91" s="135"/>
      <c r="AI91" s="123">
        <f>AI55/SUM('Horizon Thicknesses'!$J19:$J21)*1000</f>
        <v>0.007948168973748214</v>
      </c>
      <c r="AJ91" s="123">
        <f>AJ55/SUM('Horizon Thicknesses'!$J19:$J21)*1000</f>
        <v>0.0023054727391716512</v>
      </c>
      <c r="AK91" s="135"/>
      <c r="AL91" s="123">
        <f>AL55/SUM('Horizon Thicknesses'!$J19:$J21)*1000</f>
        <v>0.970128524180271</v>
      </c>
      <c r="AM91" s="123">
        <f>AM55/SUM('Horizon Thicknesses'!$J19:$J21)*1000</f>
        <v>0.2804294260142184</v>
      </c>
      <c r="AN91" s="135"/>
      <c r="AO91" s="123">
        <f>AO55/SUM('Horizon Thicknesses'!$J19:$J21)*1000</f>
        <v>8.554854435246385E-06</v>
      </c>
      <c r="AP91" s="123">
        <f>AP55/SUM('Horizon Thicknesses'!$J19:$J21)*1000</f>
        <v>3.2384097240303067E-06</v>
      </c>
      <c r="AQ91" s="135"/>
      <c r="AR91" s="96">
        <f>AR55/SUM('Horizon Thicknesses'!$J19:$J21)*1000</f>
        <v>0.030487548052821885</v>
      </c>
      <c r="AS91" s="79">
        <f>AS55/SUM('Horizon Thicknesses'!$J19:$J21)*1000</f>
        <v>0.008817607417021802</v>
      </c>
    </row>
    <row r="92" spans="3:45" ht="12.75">
      <c r="C92" s="105" t="s">
        <v>12</v>
      </c>
      <c r="D92" s="89" t="s">
        <v>137</v>
      </c>
      <c r="H92" s="96">
        <f>H56/SUM('Horizon Thicknesses'!$J25:$J28)*1000</f>
        <v>0.8105431656691043</v>
      </c>
      <c r="I92" s="96">
        <f>I56/SUM('Horizon Thicknesses'!$J25:$J28)*1000</f>
        <v>0.2385846170657219</v>
      </c>
      <c r="J92" s="78"/>
      <c r="K92" s="96">
        <f>K56/SUM('Horizon Thicknesses'!$J25:$J28)*1000</f>
        <v>0</v>
      </c>
      <c r="L92" s="96">
        <f>L56/SUM('Horizon Thicknesses'!$J25:$J28)*1000</f>
        <v>0</v>
      </c>
      <c r="M92" s="78"/>
      <c r="N92" s="96">
        <f>N56/SUM('Horizon Thicknesses'!$J25:$J28)*1000</f>
        <v>0.008046368992752084</v>
      </c>
      <c r="O92" s="96">
        <f>O56/SUM('Horizon Thicknesses'!$J25:$J28)*1000</f>
        <v>0.0023482770513018354</v>
      </c>
      <c r="P92" s="78"/>
      <c r="Q92" s="96">
        <f>Q56/SUM('Horizon Thicknesses'!$J25:$J28)*1000</f>
        <v>0.6211480091342537</v>
      </c>
      <c r="R92" s="96">
        <f>R56/SUM('Horizon Thicknesses'!$J25:$J28)*1000</f>
        <v>0.1844745795643398</v>
      </c>
      <c r="S92" s="78"/>
      <c r="T92" s="96">
        <f>T56/SUM('Horizon Thicknesses'!$J25:$J28)*1000</f>
        <v>0.02079011710592102</v>
      </c>
      <c r="U92" s="96">
        <f>U56/SUM('Horizon Thicknesses'!$J25:$J28)*1000</f>
        <v>0.00603637661976769</v>
      </c>
      <c r="V92" s="78"/>
      <c r="W92" s="96">
        <f>W56/SUM('Horizon Thicknesses'!$J25:$J28)*1000</f>
        <v>0.0004107768456914724</v>
      </c>
      <c r="X92" s="96">
        <f>X56/SUM('Horizon Thicknesses'!$J25:$J28)*1000</f>
        <v>0.00011565561674808444</v>
      </c>
      <c r="Y92" s="78"/>
      <c r="Z92" s="120">
        <f>Z56/SUM('Horizon Thicknesses'!$J25:$J28)*1000</f>
        <v>0.004801873775026471</v>
      </c>
      <c r="AA92" s="120">
        <f>AA56/SUM('Horizon Thicknesses'!$J25:$J28)*1000</f>
        <v>0.0015022004858140086</v>
      </c>
      <c r="AB92" s="78"/>
      <c r="AC92" s="96">
        <f>AC56/SUM('Horizon Thicknesses'!$J25:$J28)*1000</f>
        <v>0.008639577485128586</v>
      </c>
      <c r="AD92" s="96">
        <f>AD56/SUM('Horizon Thicknesses'!$J25:$J28)*1000</f>
        <v>0.0025123594290321354</v>
      </c>
      <c r="AE92" s="78"/>
      <c r="AF92" s="96">
        <f>AF56/SUM('Horizon Thicknesses'!$J25:$J28)*1000</f>
        <v>0</v>
      </c>
      <c r="AG92" s="96">
        <f>AG56/SUM('Horizon Thicknesses'!$J25:$J28)*1000</f>
        <v>0</v>
      </c>
      <c r="AH92" s="135"/>
      <c r="AI92" s="123">
        <f>AI56/SUM('Horizon Thicknesses'!$J25:$J28)*1000</f>
        <v>0.0073456675873049115</v>
      </c>
      <c r="AJ92" s="123">
        <f>AJ56/SUM('Horizon Thicknesses'!$J25:$J28)*1000</f>
        <v>0.00212866344262455</v>
      </c>
      <c r="AK92" s="135"/>
      <c r="AL92" s="123">
        <f>AL56/SUM('Horizon Thicknesses'!$J25:$J28)*1000</f>
        <v>0.12705012510292965</v>
      </c>
      <c r="AM92" s="123">
        <f>AM56/SUM('Horizon Thicknesses'!$J25:$J28)*1000</f>
        <v>0.036790581343616784</v>
      </c>
      <c r="AN92" s="135"/>
      <c r="AO92" s="123">
        <f>AO56/SUM('Horizon Thicknesses'!$J25:$J28)*1000</f>
        <v>0</v>
      </c>
      <c r="AP92" s="123">
        <f>AP56/SUM('Horizon Thicknesses'!$J25:$J28)*1000</f>
        <v>0</v>
      </c>
      <c r="AQ92" s="135"/>
      <c r="AR92" s="96">
        <f>AR56/SUM('Horizon Thicknesses'!$J25:$J28)*1000</f>
        <v>0.007165551691188794</v>
      </c>
      <c r="AS92" s="79">
        <f>AS56/SUM('Horizon Thicknesses'!$J25:$J28)*1000</f>
        <v>0.002117345686662684</v>
      </c>
    </row>
    <row r="93" spans="3:45" ht="12.75">
      <c r="C93" s="105" t="s">
        <v>20</v>
      </c>
      <c r="D93" s="89" t="s">
        <v>137</v>
      </c>
      <c r="H93" s="96">
        <f>H57/SUM('Horizon Thicknesses'!$J32:$J34)*1000</f>
        <v>4.5539807647481565</v>
      </c>
      <c r="I93" s="96">
        <f>I57/SUM('Horizon Thicknesses'!$J32:$J34)*1000</f>
        <v>1.28794951878598</v>
      </c>
      <c r="J93" s="78"/>
      <c r="K93" s="96">
        <f>K57/SUM('Horizon Thicknesses'!$J32:$J34)*1000</f>
        <v>0.0012133425543329557</v>
      </c>
      <c r="L93" s="96">
        <f>L57/SUM('Horizon Thicknesses'!$J32:$J34)*1000</f>
        <v>0.00034162071918112345</v>
      </c>
      <c r="M93" s="78"/>
      <c r="N93" s="96">
        <f>N57/SUM('Horizon Thicknesses'!$J32:$J34)*1000</f>
        <v>0.031218249897439286</v>
      </c>
      <c r="O93" s="96">
        <f>O57/SUM('Horizon Thicknesses'!$J32:$J34)*1000</f>
        <v>0.008821887379512441</v>
      </c>
      <c r="P93" s="78"/>
      <c r="Q93" s="96">
        <f>Q57/SUM('Horizon Thicknesses'!$J32:$J34)*1000</f>
        <v>3.0051021293455555</v>
      </c>
      <c r="R93" s="96">
        <f>R57/SUM('Horizon Thicknesses'!$J32:$J34)*1000</f>
        <v>0.8487616944223798</v>
      </c>
      <c r="S93" s="78"/>
      <c r="T93" s="96">
        <f>T57/SUM('Horizon Thicknesses'!$J32:$J34)*1000</f>
        <v>0.015174550600309632</v>
      </c>
      <c r="U93" s="96">
        <f>U57/SUM('Horizon Thicknesses'!$J32:$J34)*1000</f>
        <v>0.004385398671523205</v>
      </c>
      <c r="V93" s="78"/>
      <c r="W93" s="96">
        <f>W57/SUM('Horizon Thicknesses'!$J32:$J34)*1000</f>
        <v>0.028909974621172754</v>
      </c>
      <c r="X93" s="96">
        <f>X57/SUM('Horizon Thicknesses'!$J32:$J34)*1000</f>
        <v>0.00813970159236903</v>
      </c>
      <c r="Y93" s="78"/>
      <c r="Z93" s="120">
        <f>Z57/SUM('Horizon Thicknesses'!$J32:$J34)*1000</f>
        <v>0.005458760569590432</v>
      </c>
      <c r="AA93" s="120">
        <f>AA57/SUM('Horizon Thicknesses'!$J32:$J34)*1000</f>
        <v>0.0015369325875545876</v>
      </c>
      <c r="AB93" s="78"/>
      <c r="AC93" s="96">
        <f>AC57/SUM('Horizon Thicknesses'!$J32:$J34)*1000</f>
        <v>0.0056751727454560355</v>
      </c>
      <c r="AD93" s="96">
        <f>AD57/SUM('Horizon Thicknesses'!$J32:$J34)*1000</f>
        <v>0.0016458213385496386</v>
      </c>
      <c r="AE93" s="78"/>
      <c r="AF93" s="96">
        <f>AF57/SUM('Horizon Thicknesses'!$J32:$J34)*1000</f>
        <v>0.31641789668069037</v>
      </c>
      <c r="AG93" s="96">
        <f>AG57/SUM('Horizon Thicknesses'!$J32:$J34)*1000</f>
        <v>0.0890885340168934</v>
      </c>
      <c r="AH93" s="135"/>
      <c r="AI93" s="123">
        <f>AI57/SUM('Horizon Thicknesses'!$J32:$J34)*1000</f>
        <v>0.006812034556327205</v>
      </c>
      <c r="AJ93" s="123">
        <f>AJ57/SUM('Horizon Thicknesses'!$J32:$J34)*1000</f>
        <v>0.001984391021650595</v>
      </c>
      <c r="AK93" s="135"/>
      <c r="AL93" s="123">
        <f>AL57/SUM('Horizon Thicknesses'!$J32:$J34)*1000</f>
        <v>0.4181926489147858</v>
      </c>
      <c r="AM93" s="123">
        <f>AM57/SUM('Horizon Thicknesses'!$J32:$J34)*1000</f>
        <v>0.11794960824752619</v>
      </c>
      <c r="AN93" s="135"/>
      <c r="AO93" s="123">
        <f>AO57/SUM('Horizon Thicknesses'!$J32:$J34)*1000</f>
        <v>3.922016036996832E-05</v>
      </c>
      <c r="AP93" s="123">
        <f>AP57/SUM('Horizon Thicknesses'!$J32:$J34)*1000</f>
        <v>1.1042569424554187E-05</v>
      </c>
      <c r="AQ93" s="135"/>
      <c r="AR93" s="96">
        <f>AR57/SUM('Horizon Thicknesses'!$J32:$J34)*1000</f>
        <v>0.023871391132644706</v>
      </c>
      <c r="AS93" s="79">
        <f>AS57/SUM('Horizon Thicknesses'!$J32:$J34)*1000</f>
        <v>0.0067919596515622</v>
      </c>
    </row>
    <row r="94" spans="3:45" ht="12.75">
      <c r="C94" s="105" t="s">
        <v>17</v>
      </c>
      <c r="D94" s="89" t="s">
        <v>137</v>
      </c>
      <c r="H94" s="96">
        <f>H58/SUM('Horizon Thicknesses'!$J38:$J40)*1000</f>
        <v>10.879273936571446</v>
      </c>
      <c r="I94" s="96">
        <f>I58/SUM('Horizon Thicknesses'!$J38:$J40)*1000</f>
        <v>3.069521590660771</v>
      </c>
      <c r="J94" s="78"/>
      <c r="K94" s="96">
        <f>K58/SUM('Horizon Thicknesses'!$J38:$J40)*1000</f>
        <v>0.00333152075643005</v>
      </c>
      <c r="L94" s="96">
        <f>L58/SUM('Horizon Thicknesses'!$J38:$J40)*1000</f>
        <v>0.0009380009896744801</v>
      </c>
      <c r="M94" s="78"/>
      <c r="N94" s="96">
        <f>N58/SUM('Horizon Thicknesses'!$J38:$J40)*1000</f>
        <v>0.10236738720938901</v>
      </c>
      <c r="O94" s="96">
        <f>O58/SUM('Horizon Thicknesses'!$J38:$J40)*1000</f>
        <v>0.028983159000686584</v>
      </c>
      <c r="P94" s="78"/>
      <c r="Q94" s="96">
        <f>Q58/SUM('Horizon Thicknesses'!$J38:$J40)*1000</f>
        <v>2.768320570699023</v>
      </c>
      <c r="R94" s="96">
        <f>R58/SUM('Horizon Thicknesses'!$J38:$J40)*1000</f>
        <v>0.790638590913141</v>
      </c>
      <c r="S94" s="78"/>
      <c r="T94" s="96">
        <f>T58/SUM('Horizon Thicknesses'!$J38:$J40)*1000</f>
        <v>0.017963289885900496</v>
      </c>
      <c r="U94" s="96">
        <f>U58/SUM('Horizon Thicknesses'!$J38:$J40)*1000</f>
        <v>0.005221322978482555</v>
      </c>
      <c r="V94" s="78"/>
      <c r="W94" s="96">
        <f>W58/SUM('Horizon Thicknesses'!$J38:$J40)*1000</f>
        <v>0.025827898891526438</v>
      </c>
      <c r="X94" s="96">
        <f>X58/SUM('Horizon Thicknesses'!$J38:$J40)*1000</f>
        <v>0.007271932697614241</v>
      </c>
      <c r="Y94" s="78"/>
      <c r="Z94" s="120">
        <f>Z58/SUM('Horizon Thicknesses'!$J38:$J40)*1000</f>
        <v>0.0019259339778599218</v>
      </c>
      <c r="AA94" s="120">
        <f>AA58/SUM('Horizon Thicknesses'!$J38:$J40)*1000</f>
        <v>0.000542253255902308</v>
      </c>
      <c r="AB94" s="78"/>
      <c r="AC94" s="96">
        <f>AC58/SUM('Horizon Thicknesses'!$J38:$J40)*1000</f>
        <v>0.006729341746368372</v>
      </c>
      <c r="AD94" s="96">
        <f>AD58/SUM('Horizon Thicknesses'!$J38:$J40)*1000</f>
        <v>0.0019627936060889004</v>
      </c>
      <c r="AE94" s="78"/>
      <c r="AF94" s="96">
        <f>AF58/SUM('Horizon Thicknesses'!$J38:$J40)*1000</f>
        <v>0.6609166953878579</v>
      </c>
      <c r="AG94" s="96">
        <f>AG58/SUM('Horizon Thicknesses'!$J38:$J40)*1000</f>
        <v>0.1860833414198823</v>
      </c>
      <c r="AH94" s="135"/>
      <c r="AI94" s="123">
        <f>AI58/SUM('Horizon Thicknesses'!$J38:$J40)*1000</f>
        <v>0.008049459593469116</v>
      </c>
      <c r="AJ94" s="123">
        <f>AJ58/SUM('Horizon Thicknesses'!$J38:$J40)*1000</f>
        <v>0.002352097118185856</v>
      </c>
      <c r="AK94" s="135"/>
      <c r="AL94" s="123">
        <f>AL58/SUM('Horizon Thicknesses'!$J38:$J40)*1000</f>
        <v>1.0676763828417473</v>
      </c>
      <c r="AM94" s="123">
        <f>AM58/SUM('Horizon Thicknesses'!$J38:$J40)*1000</f>
        <v>0.30104189326216324</v>
      </c>
      <c r="AN94" s="135"/>
      <c r="AO94" s="123">
        <f>AO58/SUM('Horizon Thicknesses'!$J38:$J40)*1000</f>
        <v>0.0004675379691091854</v>
      </c>
      <c r="AP94" s="123">
        <f>AP58/SUM('Horizon Thicknesses'!$J38:$J40)*1000</f>
        <v>0.00013235733131519733</v>
      </c>
      <c r="AQ94" s="135"/>
      <c r="AR94" s="96">
        <f>AR58/SUM('Horizon Thicknesses'!$J38:$J40)*1000</f>
        <v>0.03862116684887015</v>
      </c>
      <c r="AS94" s="79">
        <f>AS58/SUM('Horizon Thicknesses'!$J38:$J40)*1000</f>
        <v>0.011124754228271382</v>
      </c>
    </row>
    <row r="95" spans="3:45" ht="12.75">
      <c r="C95" s="105" t="s">
        <v>22</v>
      </c>
      <c r="D95" s="89" t="s">
        <v>137</v>
      </c>
      <c r="H95" s="96">
        <f>H59/SUM('Horizon Thicknesses'!$J44:$J45)*1000</f>
        <v>5.211153065577019</v>
      </c>
      <c r="I95" s="96">
        <f>I59/SUM('Horizon Thicknesses'!$J44:$J45)*1000</f>
        <v>1.6088177909435832</v>
      </c>
      <c r="J95" s="78"/>
      <c r="K95" s="96">
        <f>K59/SUM('Horizon Thicknesses'!$J44:$J45)*1000</f>
        <v>0</v>
      </c>
      <c r="L95" s="96">
        <f>L59/SUM('Horizon Thicknesses'!$J44:$J45)*1000</f>
        <v>0</v>
      </c>
      <c r="M95" s="78"/>
      <c r="N95" s="96">
        <f>N59/SUM('Horizon Thicknesses'!$J44:$J45)*1000</f>
        <v>0.3972408582515544</v>
      </c>
      <c r="O95" s="96">
        <f>O59/SUM('Horizon Thicknesses'!$J44:$J45)*1000</f>
        <v>0.11312585587265726</v>
      </c>
      <c r="P95" s="78"/>
      <c r="Q95" s="96">
        <f>Q59/SUM('Horizon Thicknesses'!$J44:$J45)*1000</f>
        <v>1.5735562734376265</v>
      </c>
      <c r="R95" s="96">
        <f>R59/SUM('Horizon Thicknesses'!$J44:$J45)*1000</f>
        <v>0.49425401237091315</v>
      </c>
      <c r="S95" s="78"/>
      <c r="T95" s="96">
        <f>T59/SUM('Horizon Thicknesses'!$J44:$J45)*1000</f>
        <v>0.029789657992163644</v>
      </c>
      <c r="U95" s="96">
        <f>U59/SUM('Horizon Thicknesses'!$J44:$J45)*1000</f>
        <v>0.008750589353112721</v>
      </c>
      <c r="V95" s="78"/>
      <c r="W95" s="96">
        <f>W59/SUM('Horizon Thicknesses'!$J44:$J45)*1000</f>
        <v>0.020753110170013342</v>
      </c>
      <c r="X95" s="96">
        <f>X59/SUM('Horizon Thicknesses'!$J44:$J45)*1000</f>
        <v>0.005936860163252236</v>
      </c>
      <c r="Y95" s="78"/>
      <c r="Z95" s="120">
        <f>Z59/SUM('Horizon Thicknesses'!$J44:$J45)*1000</f>
        <v>0.09131935461737335</v>
      </c>
      <c r="AA95" s="120">
        <f>AA59/SUM('Horizon Thicknesses'!$J44:$J45)*1000</f>
        <v>0.02638186853323956</v>
      </c>
      <c r="AB95" s="78"/>
      <c r="AC95" s="96">
        <f>AC59/SUM('Horizon Thicknesses'!$J44:$J45)*1000</f>
        <v>0.008685342482350812</v>
      </c>
      <c r="AD95" s="96">
        <f>AD59/SUM('Horizon Thicknesses'!$J44:$J45)*1000</f>
        <v>0.002577173400728262</v>
      </c>
      <c r="AE95" s="78"/>
      <c r="AF95" s="96">
        <f>AF59/SUM('Horizon Thicknesses'!$J44:$J45)*1000</f>
        <v>0.9091181282504727</v>
      </c>
      <c r="AG95" s="96">
        <f>AG59/SUM('Horizon Thicknesses'!$J44:$J45)*1000</f>
        <v>0.26569121347480024</v>
      </c>
      <c r="AH95" s="135"/>
      <c r="AI95" s="123">
        <f>AI59/SUM('Horizon Thicknesses'!$J44:$J45)*1000</f>
        <v>0.00882256714703103</v>
      </c>
      <c r="AJ95" s="123">
        <f>AJ59/SUM('Horizon Thicknesses'!$J44:$J45)*1000</f>
        <v>0.0026193919002777976</v>
      </c>
      <c r="AK95" s="135"/>
      <c r="AL95" s="123">
        <f>AL59/SUM('Horizon Thicknesses'!$J44:$J45)*1000</f>
        <v>0.9091181282504727</v>
      </c>
      <c r="AM95" s="123">
        <f>AM59/SUM('Horizon Thicknesses'!$J44:$J45)*1000</f>
        <v>0.26569121347480024</v>
      </c>
      <c r="AN95" s="135"/>
      <c r="AO95" s="123">
        <f>AO59/SUM('Horizon Thicknesses'!$J44:$J45)*1000</f>
        <v>0.00020415996629893625</v>
      </c>
      <c r="AP95" s="123">
        <f>AP59/SUM('Horizon Thicknesses'!$J44:$J45)*1000</f>
        <v>5.782238272547701E-05</v>
      </c>
      <c r="AQ95" s="135"/>
      <c r="AR95" s="96">
        <f>AR59/SUM('Horizon Thicknesses'!$J44:$J45)*1000</f>
        <v>0.036907112165032535</v>
      </c>
      <c r="AS95" s="79">
        <f>AS59/SUM('Horizon Thicknesses'!$J44:$J45)*1000</f>
        <v>0.010815300069392287</v>
      </c>
    </row>
    <row r="96" spans="3:45" ht="12.75">
      <c r="C96" s="105"/>
      <c r="H96" s="96"/>
      <c r="I96" s="96"/>
      <c r="J96" s="78"/>
      <c r="K96" s="96"/>
      <c r="L96" s="96"/>
      <c r="M96" s="78"/>
      <c r="N96" s="96"/>
      <c r="O96" s="96"/>
      <c r="P96" s="78"/>
      <c r="Q96" s="96"/>
      <c r="R96" s="96"/>
      <c r="S96" s="78"/>
      <c r="T96" s="96"/>
      <c r="U96" s="96"/>
      <c r="V96" s="78"/>
      <c r="W96" s="96"/>
      <c r="X96" s="96"/>
      <c r="Y96" s="78"/>
      <c r="Z96" s="120"/>
      <c r="AA96" s="120"/>
      <c r="AB96" s="78"/>
      <c r="AC96" s="96"/>
      <c r="AD96" s="96"/>
      <c r="AE96" s="78"/>
      <c r="AF96" s="123"/>
      <c r="AG96" s="123"/>
      <c r="AH96" s="135"/>
      <c r="AI96" s="123"/>
      <c r="AJ96" s="123"/>
      <c r="AK96" s="135"/>
      <c r="AL96" s="123"/>
      <c r="AM96" s="123"/>
      <c r="AN96" s="135"/>
      <c r="AO96" s="123"/>
      <c r="AP96" s="123"/>
      <c r="AQ96" s="135"/>
      <c r="AR96" s="123"/>
      <c r="AS96" s="124"/>
    </row>
    <row r="97" spans="3:45" ht="12.75">
      <c r="C97" s="105"/>
      <c r="H97" s="96"/>
      <c r="I97" s="96"/>
      <c r="J97" s="78"/>
      <c r="K97" s="96"/>
      <c r="L97" s="96"/>
      <c r="M97" s="78"/>
      <c r="N97" s="96"/>
      <c r="O97" s="96"/>
      <c r="P97" s="78"/>
      <c r="Q97" s="96"/>
      <c r="R97" s="96"/>
      <c r="S97" s="78"/>
      <c r="T97" s="96"/>
      <c r="U97" s="96"/>
      <c r="V97" s="78"/>
      <c r="W97" s="96"/>
      <c r="X97" s="96"/>
      <c r="Y97" s="78"/>
      <c r="Z97" s="120"/>
      <c r="AA97" s="120"/>
      <c r="AB97" s="78"/>
      <c r="AC97" s="96"/>
      <c r="AD97" s="96"/>
      <c r="AE97" s="78"/>
      <c r="AF97" s="123"/>
      <c r="AG97" s="123"/>
      <c r="AH97" s="135"/>
      <c r="AI97" s="123"/>
      <c r="AJ97" s="123"/>
      <c r="AK97" s="135"/>
      <c r="AL97" s="123"/>
      <c r="AM97" s="123"/>
      <c r="AN97" s="135"/>
      <c r="AO97" s="123"/>
      <c r="AP97" s="123"/>
      <c r="AQ97" s="135"/>
      <c r="AR97" s="123"/>
      <c r="AS97" s="124"/>
    </row>
    <row r="98" spans="1:45" s="146" customFormat="1" ht="12.75">
      <c r="A98" s="137"/>
      <c r="B98" s="137"/>
      <c r="C98" s="138"/>
      <c r="D98" s="137"/>
      <c r="E98" s="137"/>
      <c r="F98" s="137"/>
      <c r="G98" s="139"/>
      <c r="H98" s="147" t="s">
        <v>138</v>
      </c>
      <c r="I98" s="148"/>
      <c r="J98" s="149"/>
      <c r="K98" s="137"/>
      <c r="L98" s="150"/>
      <c r="M98" s="139"/>
      <c r="N98" s="137"/>
      <c r="O98" s="150"/>
      <c r="P98" s="139"/>
      <c r="Q98" s="137"/>
      <c r="R98" s="150"/>
      <c r="S98" s="139"/>
      <c r="T98" s="137"/>
      <c r="U98" s="150"/>
      <c r="V98" s="139"/>
      <c r="W98" s="137"/>
      <c r="X98" s="150"/>
      <c r="Y98" s="139"/>
      <c r="Z98" s="137"/>
      <c r="AA98" s="150"/>
      <c r="AB98" s="139"/>
      <c r="AC98" s="137"/>
      <c r="AD98" s="150"/>
      <c r="AE98" s="139"/>
      <c r="AF98" s="137"/>
      <c r="AG98" s="150"/>
      <c r="AH98" s="139"/>
      <c r="AI98" s="137"/>
      <c r="AJ98" s="150"/>
      <c r="AK98" s="139"/>
      <c r="AL98" s="137"/>
      <c r="AM98" s="150"/>
      <c r="AN98" s="139"/>
      <c r="AO98" s="137"/>
      <c r="AP98" s="137"/>
      <c r="AQ98" s="139"/>
      <c r="AR98" s="137"/>
      <c r="AS98" s="150"/>
    </row>
    <row r="99" spans="8:44" ht="12.75">
      <c r="H99" s="89" t="s">
        <v>24</v>
      </c>
      <c r="I99" s="76" t="s">
        <v>167</v>
      </c>
      <c r="K99" s="89" t="s">
        <v>25</v>
      </c>
      <c r="L99" s="76" t="s">
        <v>168</v>
      </c>
      <c r="N99" s="89" t="s">
        <v>26</v>
      </c>
      <c r="O99" s="76" t="s">
        <v>169</v>
      </c>
      <c r="Q99" s="89" t="s">
        <v>27</v>
      </c>
      <c r="R99" s="76" t="s">
        <v>170</v>
      </c>
      <c r="T99" s="89" t="s">
        <v>28</v>
      </c>
      <c r="U99" s="76" t="s">
        <v>171</v>
      </c>
      <c r="W99" s="89" t="s">
        <v>29</v>
      </c>
      <c r="X99" s="76" t="s">
        <v>172</v>
      </c>
      <c r="Z99" s="89" t="s">
        <v>30</v>
      </c>
      <c r="AA99" s="76" t="s">
        <v>173</v>
      </c>
      <c r="AC99" s="89" t="s">
        <v>31</v>
      </c>
      <c r="AD99" s="76" t="s">
        <v>174</v>
      </c>
      <c r="AF99" s="89" t="s">
        <v>32</v>
      </c>
      <c r="AG99" s="76" t="s">
        <v>179</v>
      </c>
      <c r="AI99" s="89" t="s">
        <v>33</v>
      </c>
      <c r="AL99" s="89" t="s">
        <v>34</v>
      </c>
      <c r="AO99" s="89" t="s">
        <v>35</v>
      </c>
      <c r="AR99" s="89" t="s">
        <v>36</v>
      </c>
    </row>
    <row r="100" spans="3:45" ht="12.75">
      <c r="C100" s="105">
        <v>101</v>
      </c>
      <c r="D100" s="89" t="s">
        <v>137</v>
      </c>
      <c r="H100" s="96">
        <f>H76/'Horizon Thicknesses'!$J4*1000</f>
        <v>6.981154578872574</v>
      </c>
      <c r="I100" s="96">
        <f>I76/'Horizon Thicknesses'!$J4*1000</f>
        <v>2.0538592998554104</v>
      </c>
      <c r="J100" s="78"/>
      <c r="K100" s="96">
        <f>K76/'Horizon Thicknesses'!$J4*1000</f>
        <v>0.003479883995612499</v>
      </c>
      <c r="L100" s="96">
        <f>L76/'Horizon Thicknesses'!$J4*1000</f>
        <v>0.0010237836773356445</v>
      </c>
      <c r="M100" s="78"/>
      <c r="N100" s="96">
        <f>N76/'Horizon Thicknesses'!$J4*1000</f>
        <v>0.12410747284879561</v>
      </c>
      <c r="O100" s="96">
        <f>O76/'Horizon Thicknesses'!$J4*1000</f>
        <v>0.036512482915571944</v>
      </c>
      <c r="P100" s="78"/>
      <c r="Q100" s="96">
        <f>Q76/'Horizon Thicknesses'!$J4*1000</f>
        <v>2.3176345725064245</v>
      </c>
      <c r="R100" s="96">
        <f>R76/'Horizon Thicknesses'!$J4*1000</f>
        <v>0.6818492939283222</v>
      </c>
      <c r="S100" s="78"/>
      <c r="T100" s="96">
        <f>T76/'Horizon Thicknesses'!$J4*1000</f>
        <v>0.01888879656816538</v>
      </c>
      <c r="U100" s="96">
        <f>U76/'Horizon Thicknesses'!$J4*1000</f>
        <v>0.005557093752373068</v>
      </c>
      <c r="V100" s="78"/>
      <c r="W100" s="96">
        <f>W76/'Horizon Thicknesses'!$J4*1000</f>
        <v>0.04546591463115245</v>
      </c>
      <c r="X100" s="96">
        <f>X76/'Horizon Thicknesses'!$J4*1000</f>
        <v>0.01337609567824599</v>
      </c>
      <c r="Y100" s="78"/>
      <c r="Z100" s="96">
        <f>Z76/'Horizon Thicknesses'!$J4*1000</f>
        <v>0.012478473986985926</v>
      </c>
      <c r="AA100" s="96">
        <f>AA76/'Horizon Thicknesses'!$J4*1000</f>
        <v>0.0036711735224625036</v>
      </c>
      <c r="AB100" s="78"/>
      <c r="AC100" s="96">
        <f>AC76/'Horizon Thicknesses'!$J4*1000</f>
        <v>0.005906840467905105</v>
      </c>
      <c r="AD100" s="96">
        <f>AD76/'Horizon Thicknesses'!$J4*1000</f>
        <v>0.0017377955309117964</v>
      </c>
      <c r="AE100" s="78"/>
      <c r="AF100" s="96">
        <f>AF76/'Horizon Thicknesses'!$J4*1000</f>
        <v>0.005799806659354165</v>
      </c>
      <c r="AG100" s="96">
        <f>AG76/'Horizon Thicknesses'!$J4*1000</f>
        <v>0.0017063061288927405</v>
      </c>
      <c r="AH100" s="135"/>
      <c r="AI100" s="96">
        <f>AI76/'Horizon Thicknesses'!$J4*1000</f>
        <v>0.007540453302930123</v>
      </c>
      <c r="AJ100" s="96">
        <f>AJ76/'Horizon Thicknesses'!$J4*1000</f>
        <v>0.0022184052747116745</v>
      </c>
      <c r="AK100" s="135"/>
      <c r="AL100" s="96">
        <f>AL76/'Horizon Thicknesses'!$J4*1000</f>
        <v>1.089468987722369</v>
      </c>
      <c r="AM100" s="96">
        <f>AM76/'Horizon Thicknesses'!$J4*1000</f>
        <v>0.32052234154927034</v>
      </c>
      <c r="AN100" s="135"/>
      <c r="AO100" s="96">
        <f>AO76/'Horizon Thicknesses'!$J4*1000</f>
        <v>7.769589335909726E-05</v>
      </c>
      <c r="AP100" s="96">
        <f>AP76/'Horizon Thicknesses'!$J4*1000</f>
        <v>2.2858172145205104E-05</v>
      </c>
      <c r="AQ100" s="135"/>
      <c r="AR100" s="96">
        <f>AR76/'Horizon Thicknesses'!$J4*1000</f>
        <v>0.05041865557154104</v>
      </c>
      <c r="AS100" s="79">
        <f>AS76/'Horizon Thicknesses'!$J4*1000</f>
        <v>0.01483319463304875</v>
      </c>
    </row>
    <row r="101" spans="3:45" ht="12.75">
      <c r="C101" s="105" t="s">
        <v>19</v>
      </c>
      <c r="D101" s="89" t="s">
        <v>137</v>
      </c>
      <c r="H101" s="96">
        <f>H77/SUM('Horizon Thicknesses'!$J8:$J10)*1000</f>
        <v>7.230461029646423</v>
      </c>
      <c r="I101" s="96">
        <f>I77/SUM('Horizon Thicknesses'!$J8:$J10)*1000</f>
        <v>2.0388697860492293</v>
      </c>
      <c r="J101" s="78"/>
      <c r="K101" s="96">
        <f>K77/SUM('Horizon Thicknesses'!$J8:$J10)*1000</f>
        <v>0.003567614960645078</v>
      </c>
      <c r="L101" s="96">
        <f>L77/SUM('Horizon Thicknesses'!$J8:$J10)*1000</f>
        <v>0.0010382841244468417</v>
      </c>
      <c r="M101" s="78"/>
      <c r="N101" s="96">
        <f>N77/SUM('Horizon Thicknesses'!$J8:$J10)*1000</f>
        <v>0.01979966509132845</v>
      </c>
      <c r="O101" s="96">
        <f>O77/SUM('Horizon Thicknesses'!$J8:$J10)*1000</f>
        <v>0.005651820668678678</v>
      </c>
      <c r="P101" s="78"/>
      <c r="Q101" s="96">
        <f>Q77/SUM('Horizon Thicknesses'!$J8:$J10)*1000</f>
        <v>1.6412524303712945</v>
      </c>
      <c r="R101" s="96">
        <f>R77/SUM('Horizon Thicknesses'!$J8:$J10)*1000</f>
        <v>0.46402896448903963</v>
      </c>
      <c r="S101" s="78"/>
      <c r="T101" s="96">
        <f>T77/SUM('Horizon Thicknesses'!$J8:$J10)*1000</f>
        <v>0.021324408061942822</v>
      </c>
      <c r="U101" s="96">
        <f>U77/SUM('Horizon Thicknesses'!$J8:$J10)*1000</f>
        <v>0.006168671667489336</v>
      </c>
      <c r="V101" s="78"/>
      <c r="W101" s="96">
        <f>W77/SUM('Horizon Thicknesses'!$J8:$J10)*1000</f>
        <v>0.0038833005459549073</v>
      </c>
      <c r="X101" s="96">
        <f>X77/SUM('Horizon Thicknesses'!$J8:$J10)*1000</f>
        <v>0.0010989914659473646</v>
      </c>
      <c r="Y101" s="78"/>
      <c r="Z101" s="96">
        <f>Z77/SUM('Horizon Thicknesses'!$J8:$J10)*1000</f>
        <v>0.039904381713099076</v>
      </c>
      <c r="AA101" s="96">
        <f>AA77/SUM('Horizon Thicknesses'!$J8:$J10)*1000</f>
        <v>0.011240849270288927</v>
      </c>
      <c r="AB101" s="78"/>
      <c r="AC101" s="96">
        <f>AC77/SUM('Horizon Thicknesses'!$J8:$J10)*1000</f>
        <v>0.008031526521102728</v>
      </c>
      <c r="AD101" s="96">
        <f>AD77/SUM('Horizon Thicknesses'!$J8:$J10)*1000</f>
        <v>0.002333090795916285</v>
      </c>
      <c r="AE101" s="78"/>
      <c r="AF101" s="96">
        <f>AF77/SUM('Horizon Thicknesses'!$J8:$J10)*1000</f>
        <v>0.005799806659354165</v>
      </c>
      <c r="AG101" s="96">
        <f>AG77/SUM('Horizon Thicknesses'!$J8:$J10)*1000</f>
        <v>0.0016893052885449823</v>
      </c>
      <c r="AH101" s="135"/>
      <c r="AI101" s="96">
        <f>AI77/SUM('Horizon Thicknesses'!$J8:$J10)*1000</f>
        <v>0.007737010718297998</v>
      </c>
      <c r="AJ101" s="96">
        <f>AJ77/SUM('Horizon Thicknesses'!$J8:$J10)*1000</f>
        <v>0.002242491725947852</v>
      </c>
      <c r="AK101" s="135"/>
      <c r="AL101" s="96">
        <f>AL77/SUM('Horizon Thicknesses'!$J8:$J10)*1000</f>
        <v>1.0280474242490036</v>
      </c>
      <c r="AM101" s="96">
        <f>AM77/SUM('Horizon Thicknesses'!$J8:$J10)*1000</f>
        <v>0.2900361009415629</v>
      </c>
      <c r="AN101" s="135"/>
      <c r="AO101" s="96">
        <f>AO77/SUM('Horizon Thicknesses'!$J8:$J10)*1000</f>
        <v>8.797152912852793E-05</v>
      </c>
      <c r="AP101" s="96">
        <f>AP77/SUM('Horizon Thicknesses'!$J8:$J10)*1000</f>
        <v>2.533218311374693E-05</v>
      </c>
      <c r="AQ101" s="135"/>
      <c r="AR101" s="96">
        <f>AR77/SUM('Horizon Thicknesses'!$J8:$J10)*1000</f>
        <v>0.02266913899600337</v>
      </c>
      <c r="AS101" s="79">
        <f>AS77/SUM('Horizon Thicknesses'!$J8:$J10)*1000</f>
        <v>0.006419883369057173</v>
      </c>
    </row>
    <row r="102" spans="3:45" ht="12.75">
      <c r="C102" s="105" t="s">
        <v>5</v>
      </c>
      <c r="D102" s="89" t="s">
        <v>137</v>
      </c>
      <c r="H102" s="96">
        <f>H78/SUM('Horizon Thicknesses'!$J14:$J15)*1000</f>
        <v>9.953226916330891</v>
      </c>
      <c r="I102" s="96">
        <f>I78/SUM('Horizon Thicknesses'!$J14:$J15)*1000</f>
        <v>2.87865990150935</v>
      </c>
      <c r="J102" s="78"/>
      <c r="K102" s="96">
        <f>K78/SUM('Horizon Thicknesses'!$J14:$J15)*1000</f>
        <v>0.003479883995612499</v>
      </c>
      <c r="L102" s="96">
        <f>L78/SUM('Horizon Thicknesses'!$J14:$J15)*1000</f>
        <v>0.001021558947719381</v>
      </c>
      <c r="M102" s="78"/>
      <c r="N102" s="96">
        <f>N78/SUM('Horizon Thicknesses'!$J14:$J15)*1000</f>
        <v>0.02061885151351914</v>
      </c>
      <c r="O102" s="96">
        <f>O78/SUM('Horizon Thicknesses'!$J14:$J15)*1000</f>
        <v>0.005987859269240223</v>
      </c>
      <c r="P102" s="78"/>
      <c r="Q102" s="96">
        <f>Q78/SUM('Horizon Thicknesses'!$J14:$J15)*1000</f>
        <v>1.6354681943383982</v>
      </c>
      <c r="R102" s="96">
        <f>R78/SUM('Horizon Thicknesses'!$J14:$J15)*1000</f>
        <v>0.47365495007385905</v>
      </c>
      <c r="S102" s="78"/>
      <c r="T102" s="96">
        <f>T78/SUM('Horizon Thicknesses'!$J14:$J15)*1000</f>
        <v>0.022676187372949352</v>
      </c>
      <c r="U102" s="96">
        <f>U78/SUM('Horizon Thicknesses'!$J14:$J15)*1000</f>
        <v>0.006636397833498736</v>
      </c>
      <c r="V102" s="78"/>
      <c r="W102" s="96">
        <f>W78/SUM('Horizon Thicknesses'!$J14:$J15)*1000</f>
        <v>0.002066504773963207</v>
      </c>
      <c r="X102" s="96">
        <f>X78/SUM('Horizon Thicknesses'!$J14:$J15)*1000</f>
        <v>0.0006000636686333993</v>
      </c>
      <c r="Y102" s="78"/>
      <c r="Z102" s="96">
        <f>Z78/SUM('Horizon Thicknesses'!$J14:$J15)*1000</f>
        <v>0.016845229537455014</v>
      </c>
      <c r="AA102" s="96">
        <f>AA78/SUM('Horizon Thicknesses'!$J14:$J15)*1000</f>
        <v>0.00487308734760596</v>
      </c>
      <c r="AB102" s="78"/>
      <c r="AC102" s="96">
        <f>AC78/SUM('Horizon Thicknesses'!$J14:$J15)*1000</f>
        <v>0.007230307721274178</v>
      </c>
      <c r="AD102" s="96">
        <f>AD78/SUM('Horizon Thicknesses'!$J14:$J15)*1000</f>
        <v>0.0021193079892105845</v>
      </c>
      <c r="AE102" s="78"/>
      <c r="AF102" s="96">
        <f>AF78/SUM('Horizon Thicknesses'!$J14:$J15)*1000</f>
        <v>0.005799806659354165</v>
      </c>
      <c r="AG102" s="96">
        <f>AG78/SUM('Horizon Thicknesses'!$J14:$J15)*1000</f>
        <v>0.0017025982461989682</v>
      </c>
      <c r="AH102" s="135"/>
      <c r="AI102" s="96">
        <f>AI78/SUM('Horizon Thicknesses'!$J14:$J15)*1000</f>
        <v>0.007991504574058702</v>
      </c>
      <c r="AJ102" s="96">
        <f>AJ78/SUM('Horizon Thicknesses'!$J14:$J15)*1000</f>
        <v>0.002342605726061872</v>
      </c>
      <c r="AK102" s="135"/>
      <c r="AL102" s="96">
        <f>AL78/SUM('Horizon Thicknesses'!$J14:$J15)*1000</f>
        <v>1.2008016184496675</v>
      </c>
      <c r="AM102" s="96">
        <f>AM78/SUM('Horizon Thicknesses'!$J14:$J15)*1000</f>
        <v>0.34732764634641444</v>
      </c>
      <c r="AN102" s="135"/>
      <c r="AO102" s="96">
        <f>AO78/SUM('Horizon Thicknesses'!$J14:$J15)*1000</f>
        <v>5.799806659354166E-05</v>
      </c>
      <c r="AP102" s="96">
        <f>AP78/SUM('Horizon Thicknesses'!$J14:$J15)*1000</f>
        <v>1.702598246198968E-05</v>
      </c>
      <c r="AQ102" s="135"/>
      <c r="AR102" s="96">
        <f>AR78/SUM('Horizon Thicknesses'!$J14:$J15)*1000</f>
        <v>0.016145878756525296</v>
      </c>
      <c r="AS102" s="79">
        <f>AS78/SUM('Horizon Thicknesses'!$J14:$J15)*1000</f>
        <v>0.004681153698227115</v>
      </c>
    </row>
    <row r="103" spans="3:45" ht="12.75">
      <c r="C103" s="105" t="s">
        <v>21</v>
      </c>
      <c r="D103" s="89" t="s">
        <v>137</v>
      </c>
      <c r="H103" s="96">
        <f>H79/SUM('Horizon Thicknesses'!$J19:$J21)*1000</f>
        <v>5.1165926349594155</v>
      </c>
      <c r="I103" s="96">
        <f>I79/SUM('Horizon Thicknesses'!$J19:$J21)*1000</f>
        <v>1.4859344519909679</v>
      </c>
      <c r="J103" s="78"/>
      <c r="K103" s="96">
        <f>K79/SUM('Horizon Thicknesses'!$J19:$J21)*1000</f>
        <v>0.003479883995612499</v>
      </c>
      <c r="L103" s="96">
        <f>L79/SUM('Horizon Thicknesses'!$J19:$J21)*1000</f>
        <v>0.0010102581665594962</v>
      </c>
      <c r="M103" s="78"/>
      <c r="N103" s="96">
        <f>N79/SUM('Horizon Thicknesses'!$J19:$J21)*1000</f>
        <v>0.0260104366095915</v>
      </c>
      <c r="O103" s="96">
        <f>O79/SUM('Horizon Thicknesses'!$J19:$J21)*1000</f>
        <v>0.00824230146989589</v>
      </c>
      <c r="P103" s="78"/>
      <c r="Q103" s="96">
        <f>Q79/SUM('Horizon Thicknesses'!$J19:$J21)*1000</f>
        <v>1.081273640598685</v>
      </c>
      <c r="R103" s="96">
        <f>R79/SUM('Horizon Thicknesses'!$J19:$J21)*1000</f>
        <v>0.31705539193469556</v>
      </c>
      <c r="S103" s="78"/>
      <c r="T103" s="96">
        <f>T79/SUM('Horizon Thicknesses'!$J19:$J21)*1000</f>
        <v>0.023110884547791637</v>
      </c>
      <c r="U103" s="96">
        <f>U79/SUM('Horizon Thicknesses'!$J19:$J21)*1000</f>
        <v>0.006699966848127931</v>
      </c>
      <c r="V103" s="78"/>
      <c r="W103" s="96">
        <f>W79/SUM('Horizon Thicknesses'!$J19:$J21)*1000</f>
        <v>0.011963076606077414</v>
      </c>
      <c r="X103" s="96">
        <f>X79/SUM('Horizon Thicknesses'!$J19:$J21)*1000</f>
        <v>0.0034796914982329064</v>
      </c>
      <c r="Y103" s="78"/>
      <c r="Z103" s="96">
        <f>Z79/SUM('Horizon Thicknesses'!$J19:$J21)*1000</f>
        <v>0.0034517921306649645</v>
      </c>
      <c r="AA103" s="96">
        <f>AA79/SUM('Horizon Thicknesses'!$J19:$J21)*1000</f>
        <v>0.0011569348701841158</v>
      </c>
      <c r="AB103" s="78"/>
      <c r="AC103" s="96">
        <f>AC79/SUM('Horizon Thicknesses'!$J19:$J21)*1000</f>
        <v>0.009235876531662263</v>
      </c>
      <c r="AD103" s="96">
        <f>AD79/SUM('Horizon Thicknesses'!$J19:$J21)*1000</f>
        <v>0.0026781841941205323</v>
      </c>
      <c r="AE103" s="78"/>
      <c r="AF103" s="96">
        <f>AF79/SUM('Horizon Thicknesses'!$J19:$J21)*1000</f>
        <v>0.3764120832623269</v>
      </c>
      <c r="AG103" s="96">
        <f>AG79/SUM('Horizon Thicknesses'!$J19:$J21)*1000</f>
        <v>0.10674197471681596</v>
      </c>
      <c r="AH103" s="135"/>
      <c r="AI103" s="96">
        <f>AI79/SUM('Horizon Thicknesses'!$J19:$J21)*1000</f>
        <v>0.007948168973748214</v>
      </c>
      <c r="AJ103" s="96">
        <f>AJ79/SUM('Horizon Thicknesses'!$J19:$J21)*1000</f>
        <v>0.0023054727391716512</v>
      </c>
      <c r="AK103" s="135"/>
      <c r="AL103" s="96">
        <f>AL79/SUM('Horizon Thicknesses'!$J19:$J21)*1000</f>
        <v>0.970128524180271</v>
      </c>
      <c r="AM103" s="96">
        <f>AM79/SUM('Horizon Thicknesses'!$J19:$J21)*1000</f>
        <v>0.2804294260142184</v>
      </c>
      <c r="AN103" s="135"/>
      <c r="AO103" s="96">
        <f>AO79/SUM('Horizon Thicknesses'!$J19:$J21)*1000</f>
        <v>6.445758161549277E-05</v>
      </c>
      <c r="AP103" s="96">
        <f>AP79/SUM('Horizon Thicknesses'!$J19:$J21)*1000</f>
        <v>1.928286254981479E-05</v>
      </c>
      <c r="AQ103" s="135"/>
      <c r="AR103" s="96">
        <f>AR79/SUM('Horizon Thicknesses'!$J19:$J21)*1000</f>
        <v>0.030487548052821885</v>
      </c>
      <c r="AS103" s="79">
        <f>AS79/SUM('Horizon Thicknesses'!$J19:$J21)*1000</f>
        <v>0.008817607417021802</v>
      </c>
    </row>
    <row r="104" spans="3:45" ht="12.75">
      <c r="C104" s="105" t="s">
        <v>12</v>
      </c>
      <c r="D104" s="89" t="s">
        <v>137</v>
      </c>
      <c r="H104" s="96">
        <f>H80/SUM('Horizon Thicknesses'!$J25:$J28)*1000</f>
        <v>0.8105431656691043</v>
      </c>
      <c r="I104" s="96">
        <f>I80/SUM('Horizon Thicknesses'!$J25:$J28)*1000</f>
        <v>0.2385846170657219</v>
      </c>
      <c r="J104" s="78"/>
      <c r="K104" s="96">
        <f>K80/SUM('Horizon Thicknesses'!$J25:$J28)*1000</f>
        <v>0.0034798839956124996</v>
      </c>
      <c r="L104" s="96">
        <f>L80/SUM('Horizon Thicknesses'!$J25:$J28)*1000</f>
        <v>0.0010091738984919897</v>
      </c>
      <c r="M104" s="78"/>
      <c r="N104" s="96">
        <f>N80/SUM('Horizon Thicknesses'!$J25:$J28)*1000</f>
        <v>0.008046368992752084</v>
      </c>
      <c r="O104" s="96">
        <f>O80/SUM('Horizon Thicknesses'!$J25:$J28)*1000</f>
        <v>0.0023482770513018354</v>
      </c>
      <c r="P104" s="78"/>
      <c r="Q104" s="96">
        <f>Q80/SUM('Horizon Thicknesses'!$J25:$J28)*1000</f>
        <v>0.6211480091342537</v>
      </c>
      <c r="R104" s="96">
        <f>R80/SUM('Horizon Thicknesses'!$J25:$J28)*1000</f>
        <v>0.1844745795643398</v>
      </c>
      <c r="S104" s="78"/>
      <c r="T104" s="96">
        <f>T80/SUM('Horizon Thicknesses'!$J25:$J28)*1000</f>
        <v>0.02079011710592102</v>
      </c>
      <c r="U104" s="96">
        <f>U80/SUM('Horizon Thicknesses'!$J25:$J28)*1000</f>
        <v>0.00603637661976769</v>
      </c>
      <c r="V104" s="78"/>
      <c r="W104" s="96">
        <f>W80/SUM('Horizon Thicknesses'!$J25:$J28)*1000</f>
        <v>0.0008738636752450974</v>
      </c>
      <c r="X104" s="96">
        <f>X80/SUM('Horizon Thicknesses'!$J25:$J28)*1000</f>
        <v>0.00025093940965139065</v>
      </c>
      <c r="Y104" s="78"/>
      <c r="Z104" s="96">
        <f>Z80/SUM('Horizon Thicknesses'!$J25:$J28)*1000</f>
        <v>0.005083794203947262</v>
      </c>
      <c r="AA104" s="96">
        <f>AA80/SUM('Horizon Thicknesses'!$J25:$J28)*1000</f>
        <v>0.0015815761405586972</v>
      </c>
      <c r="AB104" s="78"/>
      <c r="AC104" s="96">
        <f>AC80/SUM('Horizon Thicknesses'!$J25:$J28)*1000</f>
        <v>0.008639577485128586</v>
      </c>
      <c r="AD104" s="96">
        <f>AD80/SUM('Horizon Thicknesses'!$J25:$J28)*1000</f>
        <v>0.0025123594290321354</v>
      </c>
      <c r="AE104" s="78"/>
      <c r="AF104" s="96">
        <f>AF80/SUM('Horizon Thicknesses'!$J25:$J28)*1000</f>
        <v>0.005799806659354165</v>
      </c>
      <c r="AG104" s="96">
        <f>AG80/SUM('Horizon Thicknesses'!$J25:$J28)*1000</f>
        <v>0.0016819564974866496</v>
      </c>
      <c r="AH104" s="135"/>
      <c r="AI104" s="96">
        <f>AI80/SUM('Horizon Thicknesses'!$J25:$J28)*1000</f>
        <v>0.0073456675873049115</v>
      </c>
      <c r="AJ104" s="96">
        <f>AJ80/SUM('Horizon Thicknesses'!$J25:$J28)*1000</f>
        <v>0.00212866344262455</v>
      </c>
      <c r="AK104" s="135"/>
      <c r="AL104" s="96">
        <f>AL80/SUM('Horizon Thicknesses'!$J25:$J28)*1000</f>
        <v>0.12705012510292965</v>
      </c>
      <c r="AM104" s="96">
        <f>AM80/SUM('Horizon Thicknesses'!$J25:$J28)*1000</f>
        <v>0.036790581343616784</v>
      </c>
      <c r="AN104" s="135"/>
      <c r="AO104" s="96">
        <f>AO80/SUM('Horizon Thicknesses'!$J25:$J28)*1000</f>
        <v>5.7998066593541644E-05</v>
      </c>
      <c r="AP104" s="96">
        <f>AP80/SUM('Horizon Thicknesses'!$J25:$J28)*1000</f>
        <v>1.681956497486649E-05</v>
      </c>
      <c r="AQ104" s="135"/>
      <c r="AR104" s="96">
        <f>AR80/SUM('Horizon Thicknesses'!$J25:$J28)*1000</f>
        <v>0.007818781953322335</v>
      </c>
      <c r="AS104" s="79">
        <f>AS80/SUM('Horizon Thicknesses'!$J25:$J28)*1000</f>
        <v>0.0023012648866808654</v>
      </c>
    </row>
    <row r="105" spans="3:45" ht="12.75">
      <c r="C105" s="105" t="s">
        <v>20</v>
      </c>
      <c r="D105" s="89" t="s">
        <v>137</v>
      </c>
      <c r="H105" s="96">
        <f>H81/SUM('Horizon Thicknesses'!$J32:$J34)*1000</f>
        <v>4.5539807647481565</v>
      </c>
      <c r="I105" s="96">
        <f>I81/SUM('Horizon Thicknesses'!$J32:$J34)*1000</f>
        <v>1.28794951878598</v>
      </c>
      <c r="J105" s="78"/>
      <c r="K105" s="96">
        <f>K81/SUM('Horizon Thicknesses'!$J32:$J34)*1000</f>
        <v>0.003155089023806224</v>
      </c>
      <c r="L105" s="96">
        <f>L81/SUM('Horizon Thicknesses'!$J32:$J34)*1000</f>
        <v>0.0009274732965476078</v>
      </c>
      <c r="M105" s="78"/>
      <c r="N105" s="96">
        <f>N81/SUM('Horizon Thicknesses'!$J32:$J34)*1000</f>
        <v>0.031218249897439286</v>
      </c>
      <c r="O105" s="96">
        <f>O81/SUM('Horizon Thicknesses'!$J32:$J34)*1000</f>
        <v>0.008821887379512441</v>
      </c>
      <c r="P105" s="78"/>
      <c r="Q105" s="96">
        <f>Q81/SUM('Horizon Thicknesses'!$J32:$J34)*1000</f>
        <v>3.0051021293455555</v>
      </c>
      <c r="R105" s="96">
        <f>R81/SUM('Horizon Thicknesses'!$J32:$J34)*1000</f>
        <v>0.8487616944223798</v>
      </c>
      <c r="S105" s="78"/>
      <c r="T105" s="96">
        <f>T81/SUM('Horizon Thicknesses'!$J32:$J34)*1000</f>
        <v>0.015174550600309632</v>
      </c>
      <c r="U105" s="96">
        <f>U81/SUM('Horizon Thicknesses'!$J32:$J34)*1000</f>
        <v>0.004385398671523205</v>
      </c>
      <c r="V105" s="78"/>
      <c r="W105" s="96">
        <f>W81/SUM('Horizon Thicknesses'!$J32:$J34)*1000</f>
        <v>0.02906879858352243</v>
      </c>
      <c r="X105" s="96">
        <f>X81/SUM('Horizon Thicknesses'!$J32:$J34)*1000</f>
        <v>0.008190943562114767</v>
      </c>
      <c r="Y105" s="78"/>
      <c r="Z105" s="96">
        <f>Z81/SUM('Horizon Thicknesses'!$J32:$J34)*1000</f>
        <v>0.0056175845319401075</v>
      </c>
      <c r="AA105" s="96">
        <f>AA81/SUM('Horizon Thicknesses'!$J32:$J34)*1000</f>
        <v>0.0015881745573003265</v>
      </c>
      <c r="AB105" s="78"/>
      <c r="AC105" s="96">
        <f>AC81/SUM('Horizon Thicknesses'!$J32:$J34)*1000</f>
        <v>0.0056751727454560355</v>
      </c>
      <c r="AD105" s="96">
        <f>AD81/SUM('Horizon Thicknesses'!$J32:$J34)*1000</f>
        <v>0.0016458213385496386</v>
      </c>
      <c r="AE105" s="78"/>
      <c r="AF105" s="96">
        <f>AF81/SUM('Horizon Thicknesses'!$J32:$J34)*1000</f>
        <v>0.31965414079647914</v>
      </c>
      <c r="AG105" s="96">
        <f>AG81/SUM('Horizon Thicknesses'!$J32:$J34)*1000</f>
        <v>0.09006495497917087</v>
      </c>
      <c r="AH105" s="135"/>
      <c r="AI105" s="96">
        <f>AI81/SUM('Horizon Thicknesses'!$J32:$J34)*1000</f>
        <v>0.006812034556327205</v>
      </c>
      <c r="AJ105" s="96">
        <f>AJ81/SUM('Horizon Thicknesses'!$J32:$J34)*1000</f>
        <v>0.001984391021650595</v>
      </c>
      <c r="AK105" s="135"/>
      <c r="AL105" s="96">
        <f>AL81/SUM('Horizon Thicknesses'!$J32:$J34)*1000</f>
        <v>0.4181926489147858</v>
      </c>
      <c r="AM105" s="96">
        <f>AM81/SUM('Horizon Thicknesses'!$J32:$J34)*1000</f>
        <v>0.11794960824752619</v>
      </c>
      <c r="AN105" s="135"/>
      <c r="AO105" s="96">
        <f>AO81/SUM('Horizon Thicknesses'!$J32:$J34)*1000</f>
        <v>7.158260152785614E-05</v>
      </c>
      <c r="AP105" s="96">
        <f>AP81/SUM('Horizon Thicknesses'!$J32:$J34)*1000</f>
        <v>2.080677904732893E-05</v>
      </c>
      <c r="AQ105" s="135"/>
      <c r="AR105" s="96">
        <f>AR81/SUM('Horizon Thicknesses'!$J32:$J34)*1000</f>
        <v>0.023871391132644706</v>
      </c>
      <c r="AS105" s="79">
        <f>AS81/SUM('Horizon Thicknesses'!$J32:$J34)*1000</f>
        <v>0.0067919596515622</v>
      </c>
    </row>
    <row r="106" spans="3:45" ht="12.75">
      <c r="C106" s="105" t="s">
        <v>17</v>
      </c>
      <c r="D106" s="89" t="s">
        <v>137</v>
      </c>
      <c r="H106" s="96">
        <f>H82/SUM('Horizon Thicknesses'!$J38:$J40)*1000</f>
        <v>10.879273936571446</v>
      </c>
      <c r="I106" s="96">
        <f>I82/SUM('Horizon Thicknesses'!$J38:$J40)*1000</f>
        <v>3.069521590660771</v>
      </c>
      <c r="J106" s="78"/>
      <c r="K106" s="96">
        <f>K82/SUM('Horizon Thicknesses'!$J38:$J40)*1000</f>
        <v>0.003948639350018007</v>
      </c>
      <c r="L106" s="96">
        <f>L82/SUM('Horizon Thicknesses'!$J38:$J40)*1000</f>
        <v>0.0011542547677233785</v>
      </c>
      <c r="M106" s="78"/>
      <c r="N106" s="96">
        <f>N82/SUM('Horizon Thicknesses'!$J38:$J40)*1000</f>
        <v>0.10236738720938901</v>
      </c>
      <c r="O106" s="96">
        <f>O82/SUM('Horizon Thicknesses'!$J38:$J40)*1000</f>
        <v>0.028983159000686584</v>
      </c>
      <c r="P106" s="78"/>
      <c r="Q106" s="96">
        <f>Q82/SUM('Horizon Thicknesses'!$J38:$J40)*1000</f>
        <v>2.768320570699023</v>
      </c>
      <c r="R106" s="96">
        <f>R82/SUM('Horizon Thicknesses'!$J38:$J40)*1000</f>
        <v>0.790638590913141</v>
      </c>
      <c r="S106" s="78"/>
      <c r="T106" s="96">
        <f>T82/SUM('Horizon Thicknesses'!$J38:$J40)*1000</f>
        <v>0.017963289885900496</v>
      </c>
      <c r="U106" s="96">
        <f>U82/SUM('Horizon Thicknesses'!$J38:$J40)*1000</f>
        <v>0.005221322978482555</v>
      </c>
      <c r="V106" s="78"/>
      <c r="W106" s="96">
        <f>W82/SUM('Horizon Thicknesses'!$J38:$J40)*1000</f>
        <v>0.025930751990457766</v>
      </c>
      <c r="X106" s="96">
        <f>X82/SUM('Horizon Thicknesses'!$J38:$J40)*1000</f>
        <v>0.007307974993955723</v>
      </c>
      <c r="Y106" s="78"/>
      <c r="Z106" s="96">
        <f>Z82/SUM('Horizon Thicknesses'!$J38:$J40)*1000</f>
        <v>0.002028787076791248</v>
      </c>
      <c r="AA106" s="96">
        <f>AA82/SUM('Horizon Thicknesses'!$J38:$J40)*1000</f>
        <v>0.0005782955522437911</v>
      </c>
      <c r="AB106" s="78"/>
      <c r="AC106" s="96">
        <f>AC82/SUM('Horizon Thicknesses'!$J38:$J40)*1000</f>
        <v>0.006729341746368372</v>
      </c>
      <c r="AD106" s="96">
        <f>AD82/SUM('Horizon Thicknesses'!$J38:$J40)*1000</f>
        <v>0.0019627936060889004</v>
      </c>
      <c r="AE106" s="78"/>
      <c r="AF106" s="96">
        <f>AF82/SUM('Horizon Thicknesses'!$J38:$J40)*1000</f>
        <v>0.6638338563298957</v>
      </c>
      <c r="AG106" s="96">
        <f>AG82/SUM('Horizon Thicknesses'!$J38:$J40)*1000</f>
        <v>0.18697551456416134</v>
      </c>
      <c r="AH106" s="135"/>
      <c r="AI106" s="96">
        <f>AI82/SUM('Horizon Thicknesses'!$J38:$J40)*1000</f>
        <v>0.008049459593469116</v>
      </c>
      <c r="AJ106" s="96">
        <f>AJ82/SUM('Horizon Thicknesses'!$J38:$J40)*1000</f>
        <v>0.002352097118185856</v>
      </c>
      <c r="AK106" s="135"/>
      <c r="AL106" s="96">
        <f>AL82/SUM('Horizon Thicknesses'!$J38:$J40)*1000</f>
        <v>1.0676763828417473</v>
      </c>
      <c r="AM106" s="96">
        <f>AM82/SUM('Horizon Thicknesses'!$J38:$J40)*1000</f>
        <v>0.30104189326216324</v>
      </c>
      <c r="AN106" s="135"/>
      <c r="AO106" s="96">
        <f>AO82/SUM('Horizon Thicknesses'!$J38:$J40)*1000</f>
        <v>0.0004675379691091854</v>
      </c>
      <c r="AP106" s="96">
        <f>AP82/SUM('Horizon Thicknesses'!$J38:$J40)*1000</f>
        <v>0.00013235733131519733</v>
      </c>
      <c r="AQ106" s="135"/>
      <c r="AR106" s="96">
        <f>AR82/SUM('Horizon Thicknesses'!$J38:$J40)*1000</f>
        <v>0.03862116684887015</v>
      </c>
      <c r="AS106" s="79">
        <f>AS82/SUM('Horizon Thicknesses'!$J38:$J40)*1000</f>
        <v>0.011124754228271382</v>
      </c>
    </row>
    <row r="107" spans="3:45" ht="12.75">
      <c r="C107" s="105" t="s">
        <v>22</v>
      </c>
      <c r="D107" s="89" t="s">
        <v>137</v>
      </c>
      <c r="H107" s="96">
        <f>H83/SUM('Horizon Thicknesses'!$J44:$J45)*1000</f>
        <v>5.211153065577019</v>
      </c>
      <c r="I107" s="96">
        <f>I83/SUM('Horizon Thicknesses'!$J44:$J45)*1000</f>
        <v>1.6088177909435832</v>
      </c>
      <c r="J107" s="78"/>
      <c r="K107" s="96">
        <f>K83/SUM('Horizon Thicknesses'!$J44:$J45)*1000</f>
        <v>0.0034798839956124987</v>
      </c>
      <c r="L107" s="96">
        <f>L83/SUM('Horizon Thicknesses'!$J44:$J45)*1000</f>
        <v>0.0010300266537639925</v>
      </c>
      <c r="M107" s="78"/>
      <c r="N107" s="96">
        <f>N83/SUM('Horizon Thicknesses'!$J44:$J45)*1000</f>
        <v>0.3972408582515544</v>
      </c>
      <c r="O107" s="96">
        <f>O83/SUM('Horizon Thicknesses'!$J44:$J45)*1000</f>
        <v>0.11312585587265726</v>
      </c>
      <c r="P107" s="78"/>
      <c r="Q107" s="96">
        <f>Q83/SUM('Horizon Thicknesses'!$J44:$J45)*1000</f>
        <v>1.5735562734376265</v>
      </c>
      <c r="R107" s="96">
        <f>R83/SUM('Horizon Thicknesses'!$J44:$J45)*1000</f>
        <v>0.49425401237091315</v>
      </c>
      <c r="S107" s="78"/>
      <c r="T107" s="96">
        <f>T83/SUM('Horizon Thicknesses'!$J44:$J45)*1000</f>
        <v>0.029789657992163644</v>
      </c>
      <c r="U107" s="96">
        <f>U83/SUM('Horizon Thicknesses'!$J44:$J45)*1000</f>
        <v>0.008750589353112721</v>
      </c>
      <c r="V107" s="78"/>
      <c r="W107" s="96">
        <f>W83/SUM('Horizon Thicknesses'!$J44:$J45)*1000</f>
        <v>0.020753110170013342</v>
      </c>
      <c r="X107" s="96">
        <f>X83/SUM('Horizon Thicknesses'!$J44:$J45)*1000</f>
        <v>0.005936860163252236</v>
      </c>
      <c r="Y107" s="78"/>
      <c r="Z107" s="96">
        <f>Z83/SUM('Horizon Thicknesses'!$J44:$J45)*1000</f>
        <v>0.09131935461737335</v>
      </c>
      <c r="AA107" s="96">
        <f>AA83/SUM('Horizon Thicknesses'!$J44:$J45)*1000</f>
        <v>0.02638186853323956</v>
      </c>
      <c r="AB107" s="78"/>
      <c r="AC107" s="96">
        <f>AC83/SUM('Horizon Thicknesses'!$J44:$J45)*1000</f>
        <v>0.008685342482350812</v>
      </c>
      <c r="AD107" s="96">
        <f>AD83/SUM('Horizon Thicknesses'!$J44:$J45)*1000</f>
        <v>0.002577173400728262</v>
      </c>
      <c r="AE107" s="78"/>
      <c r="AF107" s="96">
        <f>AF83/SUM('Horizon Thicknesses'!$J44:$J45)*1000</f>
        <v>0.9091181282504727</v>
      </c>
      <c r="AG107" s="96">
        <f>AG83/SUM('Horizon Thicknesses'!$J44:$J45)*1000</f>
        <v>0.26569121347480024</v>
      </c>
      <c r="AH107" s="135"/>
      <c r="AI107" s="96">
        <f>AI83/SUM('Horizon Thicknesses'!$J44:$J45)*1000</f>
        <v>0.00882256714703103</v>
      </c>
      <c r="AJ107" s="96">
        <f>AJ83/SUM('Horizon Thicknesses'!$J44:$J45)*1000</f>
        <v>0.0026193919002777976</v>
      </c>
      <c r="AK107" s="135"/>
      <c r="AL107" s="96">
        <f>AL83/SUM('Horizon Thicknesses'!$J44:$J45)*1000</f>
        <v>0.9091181282504727</v>
      </c>
      <c r="AM107" s="96">
        <f>AM83/SUM('Horizon Thicknesses'!$J44:$J45)*1000</f>
        <v>0.26569121347480024</v>
      </c>
      <c r="AN107" s="135"/>
      <c r="AO107" s="96">
        <f>AO83/SUM('Horizon Thicknesses'!$J44:$J45)*1000</f>
        <v>0.0002119316817161284</v>
      </c>
      <c r="AP107" s="96">
        <f>AP83/SUM('Horizon Thicknesses'!$J44:$J45)*1000</f>
        <v>6.076433795919064E-05</v>
      </c>
      <c r="AQ107" s="135"/>
      <c r="AR107" s="96">
        <f>AR83/SUM('Horizon Thicknesses'!$J44:$J45)*1000</f>
        <v>0.036907112165032535</v>
      </c>
      <c r="AS107" s="79">
        <f>AS83/SUM('Horizon Thicknesses'!$J44:$J45)*1000</f>
        <v>0.010815300069392287</v>
      </c>
    </row>
    <row r="108" spans="3:45" ht="12.75">
      <c r="C108" s="105"/>
      <c r="H108" s="96"/>
      <c r="I108" s="96"/>
      <c r="J108" s="78"/>
      <c r="K108" s="96"/>
      <c r="L108" s="96"/>
      <c r="M108" s="78"/>
      <c r="N108" s="96"/>
      <c r="O108" s="96"/>
      <c r="P108" s="78"/>
      <c r="Q108" s="96"/>
      <c r="R108" s="96"/>
      <c r="S108" s="78"/>
      <c r="T108" s="96"/>
      <c r="U108" s="96"/>
      <c r="V108" s="78"/>
      <c r="W108" s="96"/>
      <c r="X108" s="96"/>
      <c r="Y108" s="78"/>
      <c r="Z108" s="120"/>
      <c r="AA108" s="120"/>
      <c r="AB108" s="78"/>
      <c r="AC108" s="96"/>
      <c r="AD108" s="96"/>
      <c r="AE108" s="78"/>
      <c r="AF108" s="123"/>
      <c r="AG108" s="123"/>
      <c r="AH108" s="135"/>
      <c r="AI108" s="123"/>
      <c r="AJ108" s="123"/>
      <c r="AK108" s="135"/>
      <c r="AL108" s="123"/>
      <c r="AM108" s="123"/>
      <c r="AN108" s="135"/>
      <c r="AO108" s="123"/>
      <c r="AP108" s="123"/>
      <c r="AQ108" s="135"/>
      <c r="AR108" s="123"/>
      <c r="AS108" s="124"/>
    </row>
    <row r="109" spans="3:45" ht="13.5" thickBot="1">
      <c r="C109" s="105"/>
      <c r="H109" s="96"/>
      <c r="I109" s="96"/>
      <c r="J109" s="78"/>
      <c r="K109" s="96"/>
      <c r="L109" s="96"/>
      <c r="M109" s="78"/>
      <c r="N109" s="96"/>
      <c r="O109" s="96"/>
      <c r="P109" s="78"/>
      <c r="Q109" s="96"/>
      <c r="R109" s="96"/>
      <c r="S109" s="78"/>
      <c r="T109" s="96"/>
      <c r="U109" s="96"/>
      <c r="V109" s="78"/>
      <c r="W109" s="96"/>
      <c r="X109" s="96"/>
      <c r="Y109" s="78"/>
      <c r="Z109" s="120"/>
      <c r="AA109" s="120"/>
      <c r="AB109" s="78"/>
      <c r="AC109" s="96"/>
      <c r="AD109" s="96"/>
      <c r="AE109" s="78"/>
      <c r="AF109" s="123"/>
      <c r="AG109" s="123"/>
      <c r="AH109" s="135"/>
      <c r="AI109" s="123"/>
      <c r="AJ109" s="123"/>
      <c r="AK109" s="135"/>
      <c r="AL109" s="123"/>
      <c r="AM109" s="123"/>
      <c r="AN109" s="135"/>
      <c r="AO109" s="123"/>
      <c r="AP109" s="123"/>
      <c r="AQ109" s="135"/>
      <c r="AR109" s="123"/>
      <c r="AS109" s="124"/>
    </row>
    <row r="110" spans="3:45" s="209" customFormat="1" ht="13.5" thickTop="1">
      <c r="C110" s="210"/>
      <c r="G110" s="211"/>
      <c r="H110" s="212" t="s">
        <v>260</v>
      </c>
      <c r="I110" s="213"/>
      <c r="J110" s="214"/>
      <c r="K110" s="213"/>
      <c r="L110" s="213"/>
      <c r="M110" s="214"/>
      <c r="N110" s="213"/>
      <c r="O110" s="213"/>
      <c r="P110" s="214"/>
      <c r="Q110" s="213"/>
      <c r="R110" s="213"/>
      <c r="S110" s="214"/>
      <c r="T110" s="213"/>
      <c r="U110" s="213"/>
      <c r="V110" s="214"/>
      <c r="W110" s="213"/>
      <c r="X110" s="213"/>
      <c r="Y110" s="214"/>
      <c r="Z110" s="215"/>
      <c r="AA110" s="215"/>
      <c r="AB110" s="214"/>
      <c r="AC110" s="213"/>
      <c r="AD110" s="213"/>
      <c r="AE110" s="214"/>
      <c r="AF110" s="213"/>
      <c r="AG110" s="213"/>
      <c r="AH110" s="214"/>
      <c r="AI110" s="213"/>
      <c r="AJ110" s="213"/>
      <c r="AK110" s="214"/>
      <c r="AL110" s="213"/>
      <c r="AM110" s="213"/>
      <c r="AN110" s="214"/>
      <c r="AO110" s="213"/>
      <c r="AP110" s="213"/>
      <c r="AQ110" s="214"/>
      <c r="AR110" s="213"/>
      <c r="AS110" s="216"/>
    </row>
    <row r="111" spans="8:45" ht="12.75">
      <c r="H111" s="89" t="s">
        <v>75</v>
      </c>
      <c r="I111" s="76" t="s">
        <v>194</v>
      </c>
      <c r="K111" s="89" t="s">
        <v>76</v>
      </c>
      <c r="L111" s="76" t="s">
        <v>195</v>
      </c>
      <c r="N111" s="89" t="s">
        <v>77</v>
      </c>
      <c r="O111" s="76" t="s">
        <v>196</v>
      </c>
      <c r="Q111" s="89" t="s">
        <v>78</v>
      </c>
      <c r="R111" s="76" t="s">
        <v>197</v>
      </c>
      <c r="T111" s="89" t="s">
        <v>79</v>
      </c>
      <c r="U111" s="76" t="s">
        <v>198</v>
      </c>
      <c r="W111" s="89" t="s">
        <v>80</v>
      </c>
      <c r="X111" s="76" t="s">
        <v>199</v>
      </c>
      <c r="Z111" s="89" t="s">
        <v>81</v>
      </c>
      <c r="AA111" s="76" t="s">
        <v>200</v>
      </c>
      <c r="AC111" s="89" t="s">
        <v>82</v>
      </c>
      <c r="AD111" s="76" t="s">
        <v>201</v>
      </c>
      <c r="AF111" s="89" t="s">
        <v>83</v>
      </c>
      <c r="AG111" s="76" t="s">
        <v>202</v>
      </c>
      <c r="AI111" s="89" t="s">
        <v>84</v>
      </c>
      <c r="AJ111" s="76" t="s">
        <v>203</v>
      </c>
      <c r="AL111" s="89" t="s">
        <v>85</v>
      </c>
      <c r="AM111" s="76" t="s">
        <v>204</v>
      </c>
      <c r="AO111" s="89" t="s">
        <v>86</v>
      </c>
      <c r="AP111" s="89" t="s">
        <v>205</v>
      </c>
      <c r="AR111" s="89" t="s">
        <v>87</v>
      </c>
      <c r="AS111" s="76" t="s">
        <v>206</v>
      </c>
    </row>
    <row r="112" spans="3:45" ht="12.75">
      <c r="C112" s="105">
        <v>101</v>
      </c>
      <c r="D112" s="89" t="s">
        <v>137</v>
      </c>
      <c r="H112" s="127">
        <f aca="true" t="shared" si="13" ref="H112:H119">AVERAGE(H76,H52)</f>
        <v>2755.1545414795346</v>
      </c>
      <c r="I112" s="88">
        <f aca="true" t="shared" si="14" ref="I112:I119">I76*2+0.5*(H76-H52)</f>
        <v>1621.1357916874736</v>
      </c>
      <c r="J112" s="78"/>
      <c r="K112" s="94">
        <f aca="true" t="shared" si="15" ref="K112:K119">AVERAGE(K76,K52)</f>
        <v>0.6866785490862233</v>
      </c>
      <c r="L112" s="86">
        <f aca="true" t="shared" si="16" ref="L112:L119">L76*2+0.5*(K76-K52)</f>
        <v>1.4947632910113753</v>
      </c>
      <c r="M112" s="78"/>
      <c r="N112" s="94">
        <f aca="true" t="shared" si="17" ref="N112:N119">AVERAGE(N76,N52)</f>
        <v>48.97975880461428</v>
      </c>
      <c r="O112" s="86">
        <f aca="true" t="shared" si="18" ref="O112:O119">O76*2+0.5*(N76-N52)</f>
        <v>28.81974091505592</v>
      </c>
      <c r="P112" s="78"/>
      <c r="Q112" s="127">
        <f aca="true" t="shared" si="19" ref="Q112:Q119">AVERAGE(Q76,Q52)</f>
        <v>914.6683898470955</v>
      </c>
      <c r="R112" s="88">
        <f aca="true" t="shared" si="20" ref="R112:R119">R76*2+0.5*(Q76-Q52)</f>
        <v>538.1918298891519</v>
      </c>
      <c r="S112" s="78"/>
      <c r="T112" s="94">
        <f aca="true" t="shared" si="21" ref="T112:T119">AVERAGE(T76,T52)</f>
        <v>7.454576898405875</v>
      </c>
      <c r="U112" s="86">
        <f aca="true" t="shared" si="22" ref="U112:U119">U76*2+0.5*(T76-T52)</f>
        <v>4.386280783873091</v>
      </c>
      <c r="V112" s="78"/>
      <c r="W112" s="94">
        <f aca="true" t="shared" si="23" ref="W112:W119">AVERAGE(W76,W52)</f>
        <v>17.943396004672103</v>
      </c>
      <c r="X112" s="86">
        <f aca="true" t="shared" si="24" ref="X112:X119">X76*2+0.5*(W76-W52)</f>
        <v>10.557912831987698</v>
      </c>
      <c r="Y112" s="78"/>
      <c r="Z112" s="94">
        <f aca="true" t="shared" si="25" ref="Z112:Z119">AVERAGE(Z76,Z52)</f>
        <v>4.924704629807918</v>
      </c>
      <c r="AA112" s="86">
        <f aca="true" t="shared" si="26" ref="AA112:AA119">AA76*2+0.5*(Z76-Z52)</f>
        <v>2.8977013153619238</v>
      </c>
      <c r="AB112" s="78"/>
      <c r="AC112" s="94">
        <f aca="true" t="shared" si="27" ref="AC112:AC119">AVERAGE(AC76,AC52)</f>
        <v>2.331170031701557</v>
      </c>
      <c r="AD112" s="86">
        <f aca="true" t="shared" si="28" ref="AD112:AD119">AD76*2+0.5*(AC76-AC52)</f>
        <v>1.3716628660950518</v>
      </c>
      <c r="AE112" s="78"/>
      <c r="AF112" s="94">
        <f aca="true" t="shared" si="29" ref="AF112:AF119">AVERAGE(AF76,AF52)</f>
        <v>1.1444642484770386</v>
      </c>
      <c r="AG112" s="86">
        <f aca="true" t="shared" si="30" ref="AG112:AG119">AG76*2+0.5*(AF76-AF52)</f>
        <v>2.4912721516856253</v>
      </c>
      <c r="AH112" s="135"/>
      <c r="AI112" s="94">
        <f aca="true" t="shared" si="31" ref="AI112:AI119">AVERAGE(AI76,AI52)</f>
        <v>2.9758851387211904</v>
      </c>
      <c r="AJ112" s="86">
        <f aca="true" t="shared" si="32" ref="AJ112:AJ119">AJ76*2+0.5*(AI76-AI52)</f>
        <v>1.7510139041932213</v>
      </c>
      <c r="AK112" s="135"/>
      <c r="AL112" s="94">
        <f aca="true" t="shared" si="33" ref="AL112:AL119">AVERAGE(AL76,AL52)</f>
        <v>429.9654728185593</v>
      </c>
      <c r="AM112" s="86">
        <f aca="true" t="shared" si="34" ref="AM112:AM119">AM76*2+0.5*(AL76-AL52)</f>
        <v>252.99213045293766</v>
      </c>
      <c r="AN112" s="135"/>
      <c r="AO112" s="120">
        <f>AVERAGE(AO76,AO52)</f>
        <v>0.03066315048952789</v>
      </c>
      <c r="AP112" s="192">
        <f aca="true" t="shared" si="35" ref="AP112:AP119">AP76*2+0.5*(AO76-AO52)</f>
        <v>0.018042229572276133</v>
      </c>
      <c r="AQ112" s="135"/>
      <c r="AR112" s="94">
        <f aca="true" t="shared" si="36" ref="AR112:AR119">AVERAGE(AR76,AR52)</f>
        <v>19.8980249332421</v>
      </c>
      <c r="AS112" s="86">
        <f aca="true" t="shared" si="37" ref="AS112:AS119">AS76*2+0.5*(AR76-AR52)</f>
        <v>11.708018522200975</v>
      </c>
    </row>
    <row r="113" spans="3:45" ht="12.75">
      <c r="C113" s="105" t="s">
        <v>19</v>
      </c>
      <c r="D113" s="89" t="s">
        <v>137</v>
      </c>
      <c r="H113" s="127">
        <f t="shared" si="13"/>
        <v>3714.461361994079</v>
      </c>
      <c r="I113" s="88">
        <f t="shared" si="14"/>
        <v>2094.8326839367082</v>
      </c>
      <c r="J113" s="78"/>
      <c r="K113" s="94">
        <f t="shared" si="15"/>
        <v>0.9876656801719541</v>
      </c>
      <c r="L113" s="86">
        <f t="shared" si="16"/>
        <v>1.9118866949651365</v>
      </c>
      <c r="M113" s="78"/>
      <c r="N113" s="94">
        <f t="shared" si="17"/>
        <v>10.171563149377615</v>
      </c>
      <c r="O113" s="86">
        <f t="shared" si="18"/>
        <v>5.80695184239257</v>
      </c>
      <c r="P113" s="78"/>
      <c r="Q113" s="127">
        <f t="shared" si="19"/>
        <v>843.1507635400629</v>
      </c>
      <c r="R113" s="88">
        <f t="shared" si="20"/>
        <v>476.7656315063348</v>
      </c>
      <c r="S113" s="78"/>
      <c r="T113" s="94">
        <f t="shared" si="21"/>
        <v>10.954860207213514</v>
      </c>
      <c r="U113" s="86">
        <f t="shared" si="22"/>
        <v>6.337989367418583</v>
      </c>
      <c r="V113" s="78"/>
      <c r="W113" s="94">
        <f t="shared" si="23"/>
        <v>1.9739285102593032</v>
      </c>
      <c r="X113" s="86">
        <f t="shared" si="24"/>
        <v>1.1501727631155236</v>
      </c>
      <c r="Y113" s="78"/>
      <c r="Z113" s="94">
        <f t="shared" si="25"/>
        <v>20.478822411769272</v>
      </c>
      <c r="AA113" s="86">
        <f t="shared" si="26"/>
        <v>11.570404280470653</v>
      </c>
      <c r="AB113" s="78"/>
      <c r="AC113" s="94">
        <f t="shared" si="27"/>
        <v>4.1259879305269775</v>
      </c>
      <c r="AD113" s="86">
        <f t="shared" si="28"/>
        <v>2.3971294720825953</v>
      </c>
      <c r="AE113" s="78"/>
      <c r="AF113" s="94">
        <f t="shared" si="29"/>
        <v>1.4897499381350296</v>
      </c>
      <c r="AG113" s="86">
        <f t="shared" si="30"/>
        <v>3.2254232782399948</v>
      </c>
      <c r="AH113" s="135"/>
      <c r="AI113" s="94">
        <f t="shared" si="31"/>
        <v>3.974688094246921</v>
      </c>
      <c r="AJ113" s="86">
        <f t="shared" si="32"/>
        <v>2.3040436388416685</v>
      </c>
      <c r="AK113" s="135"/>
      <c r="AL113" s="94">
        <f t="shared" si="33"/>
        <v>528.1326349748952</v>
      </c>
      <c r="AM113" s="86">
        <f t="shared" si="34"/>
        <v>297.99701184020694</v>
      </c>
      <c r="AN113" s="135"/>
      <c r="AO113" s="120">
        <f aca="true" t="shared" si="38" ref="AO113:AO119">AVERAGE(AO77,AO53)</f>
        <v>0.03110802336551592</v>
      </c>
      <c r="AP113" s="192">
        <f t="shared" si="35"/>
        <v>0.04011256334036102</v>
      </c>
      <c r="AQ113" s="135"/>
      <c r="AR113" s="94">
        <f t="shared" si="36"/>
        <v>11.645680761582835</v>
      </c>
      <c r="AS113" s="86">
        <f t="shared" si="37"/>
        <v>6.596096327771055</v>
      </c>
    </row>
    <row r="114" spans="3:45" ht="12.75">
      <c r="C114" s="105" t="s">
        <v>5</v>
      </c>
      <c r="D114" s="89" t="s">
        <v>137</v>
      </c>
      <c r="H114" s="127">
        <f t="shared" si="13"/>
        <v>4137.237925857428</v>
      </c>
      <c r="I114" s="88">
        <f t="shared" si="14"/>
        <v>2393.1336078811773</v>
      </c>
      <c r="J114" s="78"/>
      <c r="K114" s="94">
        <f t="shared" si="15"/>
        <v>0.7232382103441282</v>
      </c>
      <c r="L114" s="86">
        <f t="shared" si="16"/>
        <v>1.5724969397053674</v>
      </c>
      <c r="M114" s="78"/>
      <c r="N114" s="94">
        <f t="shared" si="17"/>
        <v>8.570596770921474</v>
      </c>
      <c r="O114" s="86">
        <f t="shared" si="18"/>
        <v>4.97792297345309</v>
      </c>
      <c r="P114" s="78"/>
      <c r="Q114" s="127">
        <f t="shared" si="19"/>
        <v>679.8117934042533</v>
      </c>
      <c r="R114" s="88">
        <f t="shared" si="20"/>
        <v>393.7664115746017</v>
      </c>
      <c r="S114" s="78"/>
      <c r="T114" s="94">
        <f t="shared" si="21"/>
        <v>9.42576545293911</v>
      </c>
      <c r="U114" s="86">
        <f t="shared" si="22"/>
        <v>5.517076429309506</v>
      </c>
      <c r="V114" s="78"/>
      <c r="W114" s="94">
        <f t="shared" si="23"/>
        <v>0.8530107453699312</v>
      </c>
      <c r="X114" s="86">
        <f t="shared" si="24"/>
        <v>0.5048236910408229</v>
      </c>
      <c r="Y114" s="78"/>
      <c r="Z114" s="94">
        <f t="shared" si="25"/>
        <v>6.996053710361043</v>
      </c>
      <c r="AA114" s="86">
        <f t="shared" si="26"/>
        <v>4.057142104223157</v>
      </c>
      <c r="AB114" s="78"/>
      <c r="AC114" s="94">
        <f t="shared" si="27"/>
        <v>3.005407549886595</v>
      </c>
      <c r="AD114" s="86">
        <f t="shared" si="28"/>
        <v>1.7618570265183706</v>
      </c>
      <c r="AE114" s="78"/>
      <c r="AF114" s="94">
        <f t="shared" si="29"/>
        <v>1.2053970172402135</v>
      </c>
      <c r="AG114" s="86">
        <f t="shared" si="30"/>
        <v>2.620828232842279</v>
      </c>
      <c r="AH114" s="135"/>
      <c r="AI114" s="94">
        <f t="shared" si="31"/>
        <v>3.321812723289832</v>
      </c>
      <c r="AJ114" s="86">
        <f t="shared" si="32"/>
        <v>1.9474924738813724</v>
      </c>
      <c r="AK114" s="135"/>
      <c r="AL114" s="94">
        <f t="shared" si="33"/>
        <v>499.13480713773635</v>
      </c>
      <c r="AM114" s="86">
        <f t="shared" si="34"/>
        <v>288.7459762030428</v>
      </c>
      <c r="AN114" s="135"/>
      <c r="AO114" s="120">
        <f t="shared" si="38"/>
        <v>0.012053970172402137</v>
      </c>
      <c r="AP114" s="192">
        <f t="shared" si="35"/>
        <v>0.02620828232842279</v>
      </c>
      <c r="AQ114" s="135"/>
      <c r="AR114" s="94">
        <f t="shared" si="36"/>
        <v>6.681479325898319</v>
      </c>
      <c r="AS114" s="86">
        <f t="shared" si="37"/>
        <v>3.921457395938374</v>
      </c>
    </row>
    <row r="115" spans="3:45" ht="12.75">
      <c r="C115" s="105" t="s">
        <v>21</v>
      </c>
      <c r="D115" s="89" t="s">
        <v>137</v>
      </c>
      <c r="H115" s="127">
        <f t="shared" si="13"/>
        <v>2915.2093533239367</v>
      </c>
      <c r="I115" s="88">
        <f t="shared" si="14"/>
        <v>1693.2401392571317</v>
      </c>
      <c r="J115" s="78"/>
      <c r="K115" s="94">
        <f t="shared" si="15"/>
        <v>0.9913423929020976</v>
      </c>
      <c r="L115" s="86">
        <f t="shared" si="16"/>
        <v>2.1425436967946423</v>
      </c>
      <c r="M115" s="78"/>
      <c r="N115" s="94">
        <f t="shared" si="17"/>
        <v>14.819602320934413</v>
      </c>
      <c r="O115" s="86">
        <f t="shared" si="18"/>
        <v>9.392201432564006</v>
      </c>
      <c r="P115" s="78"/>
      <c r="Q115" s="127">
        <f t="shared" si="19"/>
        <v>616.0621443729443</v>
      </c>
      <c r="R115" s="88">
        <f t="shared" si="20"/>
        <v>361.28842377428884</v>
      </c>
      <c r="S115" s="78"/>
      <c r="T115" s="94">
        <f t="shared" si="21"/>
        <v>13.167565136411572</v>
      </c>
      <c r="U115" s="86">
        <f t="shared" si="22"/>
        <v>7.634692623043955</v>
      </c>
      <c r="V115" s="78"/>
      <c r="W115" s="94">
        <f t="shared" si="23"/>
        <v>6.816034674772243</v>
      </c>
      <c r="X115" s="86">
        <f t="shared" si="24"/>
        <v>3.9651502185343754</v>
      </c>
      <c r="Y115" s="78"/>
      <c r="Z115" s="94">
        <f t="shared" si="25"/>
        <v>1.9666792771991477</v>
      </c>
      <c r="AA115" s="86">
        <f t="shared" si="26"/>
        <v>1.3183411677932422</v>
      </c>
      <c r="AB115" s="78"/>
      <c r="AC115" s="94">
        <f t="shared" si="27"/>
        <v>5.262196069173765</v>
      </c>
      <c r="AD115" s="86">
        <f t="shared" si="28"/>
        <v>3.051823027410676</v>
      </c>
      <c r="AE115" s="78"/>
      <c r="AF115" s="94">
        <f t="shared" si="29"/>
        <v>213.6727786552267</v>
      </c>
      <c r="AG115" s="86">
        <f t="shared" si="30"/>
        <v>122.424025349492</v>
      </c>
      <c r="AH115" s="135"/>
      <c r="AI115" s="94">
        <f t="shared" si="31"/>
        <v>4.528516961806887</v>
      </c>
      <c r="AJ115" s="86">
        <f t="shared" si="32"/>
        <v>2.627113851958967</v>
      </c>
      <c r="AK115" s="135"/>
      <c r="AL115" s="94">
        <f t="shared" si="33"/>
        <v>552.7365474228544</v>
      </c>
      <c r="AM115" s="86">
        <f t="shared" si="34"/>
        <v>319.55269609631404</v>
      </c>
      <c r="AN115" s="135"/>
      <c r="AO115" s="120">
        <f t="shared" si="38"/>
        <v>0.02079963675726247</v>
      </c>
      <c r="AP115" s="192">
        <f t="shared" si="35"/>
        <v>0.037898510383518776</v>
      </c>
      <c r="AQ115" s="135"/>
      <c r="AR115" s="94">
        <f t="shared" si="36"/>
        <v>17.370463428383587</v>
      </c>
      <c r="AS115" s="86">
        <f t="shared" si="37"/>
        <v>10.047769462985347</v>
      </c>
    </row>
    <row r="116" spans="3:45" ht="12.75">
      <c r="C116" s="105" t="s">
        <v>12</v>
      </c>
      <c r="D116" s="89" t="s">
        <v>137</v>
      </c>
      <c r="H116" s="127">
        <f t="shared" si="13"/>
        <v>478.8429648960054</v>
      </c>
      <c r="I116" s="88">
        <f t="shared" si="14"/>
        <v>281.89631410936477</v>
      </c>
      <c r="J116" s="78"/>
      <c r="K116" s="94">
        <f t="shared" si="15"/>
        <v>1.0279020541600026</v>
      </c>
      <c r="L116" s="86">
        <f t="shared" si="16"/>
        <v>2.2202773454886344</v>
      </c>
      <c r="M116" s="78"/>
      <c r="N116" s="94">
        <f t="shared" si="17"/>
        <v>4.753537317110163</v>
      </c>
      <c r="O116" s="86">
        <f t="shared" si="18"/>
        <v>2.7745738740869657</v>
      </c>
      <c r="P116" s="78"/>
      <c r="Q116" s="127">
        <f t="shared" si="19"/>
        <v>366.95436706022485</v>
      </c>
      <c r="R116" s="88">
        <f t="shared" si="20"/>
        <v>217.9633568401318</v>
      </c>
      <c r="S116" s="78"/>
      <c r="T116" s="94">
        <f t="shared" si="21"/>
        <v>12.282135902430749</v>
      </c>
      <c r="U116" s="86">
        <f t="shared" si="22"/>
        <v>7.132196285813837</v>
      </c>
      <c r="V116" s="78"/>
      <c r="W116" s="94">
        <f t="shared" si="23"/>
        <v>0.37946225563632774</v>
      </c>
      <c r="X116" s="86">
        <f t="shared" si="24"/>
        <v>0.4332823863827335</v>
      </c>
      <c r="Y116" s="78"/>
      <c r="Z116" s="94">
        <f t="shared" si="25"/>
        <v>2.9200681503011774</v>
      </c>
      <c r="AA116" s="86">
        <f t="shared" si="26"/>
        <v>1.9519639307874999</v>
      </c>
      <c r="AB116" s="78"/>
      <c r="AC116" s="94">
        <f t="shared" si="27"/>
        <v>5.103985911734445</v>
      </c>
      <c r="AD116" s="86">
        <f t="shared" si="28"/>
        <v>2.9684431103409135</v>
      </c>
      <c r="AE116" s="78"/>
      <c r="AF116" s="94">
        <f t="shared" si="29"/>
        <v>1.7131700902666707</v>
      </c>
      <c r="AG116" s="86">
        <f t="shared" si="30"/>
        <v>3.7004622424810565</v>
      </c>
      <c r="AH116" s="135"/>
      <c r="AI116" s="94">
        <f t="shared" si="31"/>
        <v>4.339585349216948</v>
      </c>
      <c r="AJ116" s="86">
        <f t="shared" si="32"/>
        <v>2.5150924893448408</v>
      </c>
      <c r="AK116" s="135"/>
      <c r="AL116" s="94">
        <f t="shared" si="33"/>
        <v>75.05714830680753</v>
      </c>
      <c r="AM116" s="86">
        <f t="shared" si="34"/>
        <v>43.469396318411604</v>
      </c>
      <c r="AN116" s="135"/>
      <c r="AO116" s="120">
        <f t="shared" si="38"/>
        <v>0.017131700902666705</v>
      </c>
      <c r="AP116" s="192">
        <f t="shared" si="35"/>
        <v>0.03700462242481056</v>
      </c>
      <c r="AQ116" s="135"/>
      <c r="AR116" s="94">
        <f t="shared" si="36"/>
        <v>4.426132409250275</v>
      </c>
      <c r="AS116" s="86">
        <f t="shared" si="37"/>
        <v>2.9119810768994165</v>
      </c>
    </row>
    <row r="117" spans="3:45" ht="12.75">
      <c r="C117" s="105" t="s">
        <v>20</v>
      </c>
      <c r="D117" s="89" t="s">
        <v>137</v>
      </c>
      <c r="H117" s="127">
        <f t="shared" si="13"/>
        <v>2020.528401626521</v>
      </c>
      <c r="I117" s="88">
        <f t="shared" si="14"/>
        <v>1142.8851885860774</v>
      </c>
      <c r="J117" s="78"/>
      <c r="K117" s="94">
        <f t="shared" si="15"/>
        <v>0.9691015981575519</v>
      </c>
      <c r="L117" s="86">
        <f t="shared" si="16"/>
        <v>1.2537710444917465</v>
      </c>
      <c r="M117" s="78"/>
      <c r="N117" s="94">
        <f t="shared" si="17"/>
        <v>13.851037987495454</v>
      </c>
      <c r="O117" s="86">
        <f t="shared" si="18"/>
        <v>7.828260560183196</v>
      </c>
      <c r="P117" s="78"/>
      <c r="Q117" s="127">
        <f t="shared" si="19"/>
        <v>1333.3157331565535</v>
      </c>
      <c r="R117" s="88">
        <f t="shared" si="20"/>
        <v>753.1639672561984</v>
      </c>
      <c r="S117" s="78"/>
      <c r="T117" s="94">
        <f t="shared" si="21"/>
        <v>6.7327053085477795</v>
      </c>
      <c r="U117" s="86">
        <f t="shared" si="22"/>
        <v>3.8914624483522036</v>
      </c>
      <c r="V117" s="78"/>
      <c r="W117" s="94">
        <f t="shared" si="23"/>
        <v>12.86212700527599</v>
      </c>
      <c r="X117" s="86">
        <f t="shared" si="24"/>
        <v>7.303615032282234</v>
      </c>
      <c r="Y117" s="78"/>
      <c r="Z117" s="94">
        <f t="shared" si="25"/>
        <v>2.457198550013738</v>
      </c>
      <c r="AA117" s="86">
        <f t="shared" si="26"/>
        <v>1.4445291060180527</v>
      </c>
      <c r="AB117" s="78"/>
      <c r="AC117" s="94">
        <f t="shared" si="27"/>
        <v>2.517983344394916</v>
      </c>
      <c r="AD117" s="86">
        <f t="shared" si="28"/>
        <v>1.4604491895461158</v>
      </c>
      <c r="AE117" s="78"/>
      <c r="AF117" s="94">
        <f t="shared" si="29"/>
        <v>141.10749293801024</v>
      </c>
      <c r="AG117" s="86">
        <f t="shared" si="30"/>
        <v>80.63869383709171</v>
      </c>
      <c r="AH117" s="135"/>
      <c r="AI117" s="94">
        <f t="shared" si="31"/>
        <v>3.022390740089479</v>
      </c>
      <c r="AJ117" s="86">
        <f t="shared" si="32"/>
        <v>1.760885092100045</v>
      </c>
      <c r="AK117" s="135"/>
      <c r="AL117" s="94">
        <f t="shared" si="33"/>
        <v>185.54538724110782</v>
      </c>
      <c r="AM117" s="86">
        <f t="shared" si="34"/>
        <v>104.66470797139083</v>
      </c>
      <c r="AN117" s="135"/>
      <c r="AO117" s="120">
        <f t="shared" si="38"/>
        <v>0.024580706304937174</v>
      </c>
      <c r="AP117" s="192">
        <f t="shared" si="35"/>
        <v>0.025642618581018323</v>
      </c>
      <c r="AQ117" s="135"/>
      <c r="AR117" s="94">
        <f t="shared" si="36"/>
        <v>10.591354303296335</v>
      </c>
      <c r="AS117" s="86">
        <f t="shared" si="37"/>
        <v>6.026967652087446</v>
      </c>
    </row>
    <row r="118" spans="3:45" ht="12.75">
      <c r="C118" s="105" t="s">
        <v>17</v>
      </c>
      <c r="D118" s="89" t="s">
        <v>137</v>
      </c>
      <c r="H118" s="127">
        <f t="shared" si="13"/>
        <v>4445.967604015033</v>
      </c>
      <c r="I118" s="88">
        <f t="shared" si="14"/>
        <v>2508.8059426515865</v>
      </c>
      <c r="J118" s="78"/>
      <c r="K118" s="94">
        <f t="shared" si="15"/>
        <v>1.4875696748707443</v>
      </c>
      <c r="L118" s="86">
        <f t="shared" si="16"/>
        <v>1.069501817258828</v>
      </c>
      <c r="M118" s="78"/>
      <c r="N118" s="94">
        <f t="shared" si="17"/>
        <v>41.833865926537754</v>
      </c>
      <c r="O118" s="86">
        <f t="shared" si="18"/>
        <v>23.688747379713163</v>
      </c>
      <c r="P118" s="78"/>
      <c r="Q118" s="127">
        <f t="shared" si="19"/>
        <v>1131.3129577041454</v>
      </c>
      <c r="R118" s="88">
        <f t="shared" si="20"/>
        <v>646.2110582338557</v>
      </c>
      <c r="S118" s="78"/>
      <c r="T118" s="94">
        <f t="shared" si="21"/>
        <v>7.340949897931639</v>
      </c>
      <c r="U118" s="86">
        <f t="shared" si="22"/>
        <v>4.26753346735719</v>
      </c>
      <c r="V118" s="78"/>
      <c r="W118" s="94">
        <f t="shared" si="23"/>
        <v>10.575948652017596</v>
      </c>
      <c r="X118" s="86">
        <f t="shared" si="24"/>
        <v>5.994028765270679</v>
      </c>
      <c r="Y118" s="78"/>
      <c r="Z118" s="94">
        <f t="shared" si="25"/>
        <v>0.8080760625389828</v>
      </c>
      <c r="AA118" s="86">
        <f t="shared" si="26"/>
        <v>0.49367332653514906</v>
      </c>
      <c r="AB118" s="78"/>
      <c r="AC118" s="94">
        <f t="shared" si="27"/>
        <v>2.7500397154378846</v>
      </c>
      <c r="AD118" s="86">
        <f t="shared" si="28"/>
        <v>1.6042461724774286</v>
      </c>
      <c r="AE118" s="78"/>
      <c r="AF118" s="94">
        <f t="shared" si="29"/>
        <v>270.688929733592</v>
      </c>
      <c r="AG118" s="86">
        <f t="shared" si="30"/>
        <v>153.41639269730533</v>
      </c>
      <c r="AH118" s="135"/>
      <c r="AI118" s="94">
        <f t="shared" si="31"/>
        <v>3.2895243553054625</v>
      </c>
      <c r="AJ118" s="86">
        <f t="shared" si="32"/>
        <v>1.9224348334126096</v>
      </c>
      <c r="AK118" s="135"/>
      <c r="AL118" s="94">
        <f t="shared" si="33"/>
        <v>436.3209013176398</v>
      </c>
      <c r="AM118" s="86">
        <f t="shared" si="34"/>
        <v>246.04996853617735</v>
      </c>
      <c r="AN118" s="135"/>
      <c r="AO118" s="120">
        <f t="shared" si="38"/>
        <v>0.19106593660803614</v>
      </c>
      <c r="AP118" s="192">
        <f t="shared" si="35"/>
        <v>0.10817935288918759</v>
      </c>
      <c r="AQ118" s="135"/>
      <c r="AR118" s="94">
        <f t="shared" si="36"/>
        <v>15.783080529126671</v>
      </c>
      <c r="AS118" s="86">
        <f t="shared" si="37"/>
        <v>9.092573123884591</v>
      </c>
    </row>
    <row r="119" spans="3:45" ht="13.5" thickBot="1">
      <c r="C119" s="105" t="s">
        <v>22</v>
      </c>
      <c r="D119" s="89" t="s">
        <v>137</v>
      </c>
      <c r="H119" s="127">
        <f t="shared" si="13"/>
        <v>1801.120411749254</v>
      </c>
      <c r="I119" s="88">
        <f t="shared" si="14"/>
        <v>1112.1049508964975</v>
      </c>
      <c r="J119" s="78"/>
      <c r="K119" s="94">
        <f t="shared" si="15"/>
        <v>0.6013726728177784</v>
      </c>
      <c r="L119" s="86">
        <f t="shared" si="16"/>
        <v>1.3133847773920606</v>
      </c>
      <c r="M119" s="78"/>
      <c r="N119" s="94">
        <f t="shared" si="17"/>
        <v>137.29756335576823</v>
      </c>
      <c r="O119" s="86">
        <f t="shared" si="18"/>
        <v>78.19892662710957</v>
      </c>
      <c r="P119" s="78"/>
      <c r="Q119" s="127">
        <f t="shared" si="19"/>
        <v>543.8651076757</v>
      </c>
      <c r="R119" s="88">
        <f t="shared" si="20"/>
        <v>341.6560515754679</v>
      </c>
      <c r="S119" s="78"/>
      <c r="T119" s="94">
        <f t="shared" si="21"/>
        <v>10.296139912515535</v>
      </c>
      <c r="U119" s="86">
        <f t="shared" si="22"/>
        <v>6.048897393875286</v>
      </c>
      <c r="V119" s="78"/>
      <c r="W119" s="94">
        <f t="shared" si="23"/>
        <v>7.172855961841372</v>
      </c>
      <c r="X119" s="86">
        <f t="shared" si="24"/>
        <v>4.103890209009087</v>
      </c>
      <c r="Y119" s="78"/>
      <c r="Z119" s="94">
        <f t="shared" si="25"/>
        <v>31.562525897693515</v>
      </c>
      <c r="AA119" s="86">
        <f t="shared" si="26"/>
        <v>18.236624914813046</v>
      </c>
      <c r="AB119" s="78"/>
      <c r="AC119" s="94">
        <f t="shared" si="27"/>
        <v>3.0018975514899466</v>
      </c>
      <c r="AD119" s="86">
        <f t="shared" si="28"/>
        <v>1.7814865762938155</v>
      </c>
      <c r="AE119" s="78"/>
      <c r="AF119" s="94">
        <f t="shared" si="29"/>
        <v>314.21668043095434</v>
      </c>
      <c r="AG119" s="86">
        <f t="shared" si="30"/>
        <v>183.66064546173652</v>
      </c>
      <c r="AH119" s="135"/>
      <c r="AI119" s="94">
        <f t="shared" si="31"/>
        <v>3.0493262378940407</v>
      </c>
      <c r="AJ119" s="86">
        <f t="shared" si="32"/>
        <v>1.8106703674184295</v>
      </c>
      <c r="AK119" s="135"/>
      <c r="AL119" s="94">
        <f t="shared" si="33"/>
        <v>314.21668043095434</v>
      </c>
      <c r="AM119" s="86">
        <f t="shared" si="34"/>
        <v>183.66064546173652</v>
      </c>
      <c r="AN119" s="135"/>
      <c r="AO119" s="120">
        <f t="shared" si="38"/>
        <v>0.0719064620600754</v>
      </c>
      <c r="AP119" s="192">
        <f t="shared" si="35"/>
        <v>0.043346774428424925</v>
      </c>
      <c r="AQ119" s="135"/>
      <c r="AR119" s="94">
        <f t="shared" si="36"/>
        <v>12.756131363375864</v>
      </c>
      <c r="AS119" s="86">
        <f t="shared" si="37"/>
        <v>7.476141064767835</v>
      </c>
    </row>
    <row r="120" spans="3:45" ht="13.5" thickTop="1">
      <c r="C120" s="105"/>
      <c r="D120" s="89" t="s">
        <v>207</v>
      </c>
      <c r="G120" s="200"/>
      <c r="H120" s="201">
        <f>MAX(H112:H119)</f>
        <v>4445.967604015033</v>
      </c>
      <c r="I120" s="202"/>
      <c r="J120" s="200"/>
      <c r="K120" s="201">
        <f>MAX(K112:K119)</f>
        <v>1.4875696748707443</v>
      </c>
      <c r="L120" s="202"/>
      <c r="M120" s="200"/>
      <c r="N120" s="201">
        <f>MAX(N112:N119)</f>
        <v>137.29756335576823</v>
      </c>
      <c r="O120" s="202"/>
      <c r="P120" s="200"/>
      <c r="Q120" s="201">
        <f>MAX(Q112:Q119)</f>
        <v>1333.3157331565535</v>
      </c>
      <c r="R120" s="202"/>
      <c r="S120" s="200"/>
      <c r="T120" s="201">
        <f>MAX(T112:T119)</f>
        <v>13.167565136411572</v>
      </c>
      <c r="U120" s="202"/>
      <c r="V120" s="200"/>
      <c r="W120" s="201">
        <f>MAX(W112:W119)</f>
        <v>17.943396004672103</v>
      </c>
      <c r="X120" s="202"/>
      <c r="Y120" s="200"/>
      <c r="Z120" s="201">
        <f>MAX(Z112:Z119)</f>
        <v>31.562525897693515</v>
      </c>
      <c r="AA120" s="202"/>
      <c r="AB120" s="200"/>
      <c r="AC120" s="201">
        <f>MAX(AC112:AC119)</f>
        <v>5.262196069173765</v>
      </c>
      <c r="AD120" s="202"/>
      <c r="AE120" s="200"/>
      <c r="AF120" s="201">
        <f>MAX(AF112:AF119)</f>
        <v>314.21668043095434</v>
      </c>
      <c r="AG120" s="202"/>
      <c r="AH120" s="200"/>
      <c r="AI120" s="201">
        <f>MAX(AI112:AI119)</f>
        <v>4.528516961806887</v>
      </c>
      <c r="AJ120" s="202"/>
      <c r="AK120" s="200"/>
      <c r="AL120" s="201">
        <f>MAX(AL112:AL119)</f>
        <v>552.7365474228544</v>
      </c>
      <c r="AM120" s="202"/>
      <c r="AN120" s="200"/>
      <c r="AO120" s="203">
        <f>MAX(AO112:AO119)</f>
        <v>0.19106593660803614</v>
      </c>
      <c r="AP120" s="202"/>
      <c r="AQ120" s="200"/>
      <c r="AR120" s="201">
        <f>MAX(AR112:AR119)</f>
        <v>19.8980249332421</v>
      </c>
      <c r="AS120" s="202"/>
    </row>
    <row r="121" spans="3:45" ht="12.75">
      <c r="C121" s="105"/>
      <c r="D121" s="89" t="s">
        <v>208</v>
      </c>
      <c r="H121" s="127">
        <f>MIN(H112:H119)</f>
        <v>478.8429648960054</v>
      </c>
      <c r="I121" s="88"/>
      <c r="K121" s="127">
        <f>MIN(K112:K119)</f>
        <v>0.6013726728177784</v>
      </c>
      <c r="L121" s="88"/>
      <c r="N121" s="127">
        <f>MIN(N112:N119)</f>
        <v>4.753537317110163</v>
      </c>
      <c r="O121" s="88"/>
      <c r="Q121" s="127">
        <f>MIN(Q112:Q119)</f>
        <v>366.95436706022485</v>
      </c>
      <c r="R121" s="88"/>
      <c r="T121" s="127">
        <f>MIN(T112:T119)</f>
        <v>6.7327053085477795</v>
      </c>
      <c r="U121" s="88"/>
      <c r="W121" s="127">
        <f>MIN(W112:W119)</f>
        <v>0.37946225563632774</v>
      </c>
      <c r="X121" s="88"/>
      <c r="Z121" s="127">
        <f>MIN(Z112:Z119)</f>
        <v>0.8080760625389828</v>
      </c>
      <c r="AA121" s="88"/>
      <c r="AC121" s="127">
        <f>MIN(AC112:AC119)</f>
        <v>2.331170031701557</v>
      </c>
      <c r="AD121" s="88"/>
      <c r="AF121" s="127">
        <f>MIN(AF112:AF119)</f>
        <v>1.1444642484770386</v>
      </c>
      <c r="AG121" s="88"/>
      <c r="AI121" s="127">
        <f>MIN(AI112:AI119)</f>
        <v>2.9758851387211904</v>
      </c>
      <c r="AJ121" s="88"/>
      <c r="AL121" s="127">
        <f>MIN(AL112:AL119)</f>
        <v>75.05714830680753</v>
      </c>
      <c r="AM121" s="88"/>
      <c r="AO121" s="119">
        <f>MIN(AO112:AO119)</f>
        <v>0.012053970172402137</v>
      </c>
      <c r="AP121" s="88"/>
      <c r="AR121" s="127">
        <f>MIN(AR112:AR119)</f>
        <v>4.426132409250275</v>
      </c>
      <c r="AS121" s="88"/>
    </row>
    <row r="122" spans="3:45" ht="12.75">
      <c r="C122" s="105"/>
      <c r="H122" s="96"/>
      <c r="I122" s="96"/>
      <c r="J122" s="78"/>
      <c r="K122" s="96"/>
      <c r="L122" s="96"/>
      <c r="M122" s="78"/>
      <c r="N122" s="96"/>
      <c r="O122" s="96"/>
      <c r="P122" s="78"/>
      <c r="Q122" s="96"/>
      <c r="R122" s="96"/>
      <c r="S122" s="78"/>
      <c r="T122" s="96"/>
      <c r="U122" s="96"/>
      <c r="V122" s="78"/>
      <c r="W122" s="96"/>
      <c r="X122" s="96"/>
      <c r="Y122" s="78"/>
      <c r="Z122" s="120"/>
      <c r="AA122" s="120"/>
      <c r="AB122" s="78"/>
      <c r="AC122" s="96"/>
      <c r="AD122" s="96"/>
      <c r="AE122" s="78"/>
      <c r="AF122" s="123"/>
      <c r="AG122" s="123"/>
      <c r="AH122" s="135"/>
      <c r="AI122" s="123"/>
      <c r="AJ122" s="123"/>
      <c r="AK122" s="135"/>
      <c r="AL122" s="123"/>
      <c r="AM122" s="123"/>
      <c r="AN122" s="135"/>
      <c r="AO122" s="123"/>
      <c r="AP122" s="123"/>
      <c r="AQ122" s="135"/>
      <c r="AR122" s="123"/>
      <c r="AS122" s="124"/>
    </row>
    <row r="123" spans="3:45" ht="12.75">
      <c r="C123" s="105"/>
      <c r="H123" s="96"/>
      <c r="I123" s="96"/>
      <c r="J123" s="78"/>
      <c r="K123" s="96"/>
      <c r="L123" s="96"/>
      <c r="M123" s="78"/>
      <c r="N123" s="96"/>
      <c r="O123" s="96"/>
      <c r="P123" s="78"/>
      <c r="Q123" s="96"/>
      <c r="R123" s="96"/>
      <c r="S123" s="78"/>
      <c r="T123" s="96"/>
      <c r="U123" s="96"/>
      <c r="V123" s="78"/>
      <c r="W123" s="96"/>
      <c r="X123" s="96"/>
      <c r="Y123" s="78"/>
      <c r="Z123" s="120"/>
      <c r="AA123" s="120"/>
      <c r="AB123" s="78"/>
      <c r="AC123" s="96"/>
      <c r="AD123" s="96"/>
      <c r="AE123" s="78"/>
      <c r="AF123" s="123"/>
      <c r="AG123" s="123"/>
      <c r="AH123" s="135"/>
      <c r="AI123" s="123"/>
      <c r="AJ123" s="123"/>
      <c r="AK123" s="135"/>
      <c r="AL123" s="123"/>
      <c r="AM123" s="123"/>
      <c r="AN123" s="135"/>
      <c r="AO123" s="123"/>
      <c r="AP123" s="123"/>
      <c r="AQ123" s="135"/>
      <c r="AR123" s="123"/>
      <c r="AS123" s="124"/>
    </row>
    <row r="124" spans="1:45" s="197" customFormat="1" ht="12.75">
      <c r="A124" s="194"/>
      <c r="B124" s="194"/>
      <c r="C124" s="198"/>
      <c r="D124" s="194"/>
      <c r="E124" s="194"/>
      <c r="F124" s="194"/>
      <c r="G124" s="195"/>
      <c r="H124" s="196" t="s">
        <v>261</v>
      </c>
      <c r="I124" s="199"/>
      <c r="J124" s="195"/>
      <c r="K124" s="194"/>
      <c r="L124" s="199"/>
      <c r="M124" s="195"/>
      <c r="N124" s="194"/>
      <c r="O124" s="199"/>
      <c r="P124" s="195"/>
      <c r="Q124" s="194"/>
      <c r="R124" s="199"/>
      <c r="S124" s="195"/>
      <c r="T124" s="194"/>
      <c r="U124" s="199"/>
      <c r="V124" s="195"/>
      <c r="W124" s="194"/>
      <c r="X124" s="199"/>
      <c r="Y124" s="195"/>
      <c r="Z124" s="194"/>
      <c r="AA124" s="199"/>
      <c r="AB124" s="195"/>
      <c r="AC124" s="194"/>
      <c r="AD124" s="199"/>
      <c r="AE124" s="195"/>
      <c r="AF124" s="194"/>
      <c r="AG124" s="199"/>
      <c r="AH124" s="195"/>
      <c r="AI124" s="194"/>
      <c r="AJ124" s="199"/>
      <c r="AK124" s="195"/>
      <c r="AL124" s="194"/>
      <c r="AM124" s="199"/>
      <c r="AN124" s="195"/>
      <c r="AO124" s="194"/>
      <c r="AP124" s="194"/>
      <c r="AQ124" s="195"/>
      <c r="AR124" s="194"/>
      <c r="AS124" s="199"/>
    </row>
    <row r="125" spans="1:45" s="169" customFormat="1" ht="12.75">
      <c r="A125" s="184"/>
      <c r="B125" s="184"/>
      <c r="C125" s="193"/>
      <c r="D125" s="184"/>
      <c r="E125" s="184"/>
      <c r="F125" s="184"/>
      <c r="G125" s="182"/>
      <c r="H125" s="89" t="s">
        <v>24</v>
      </c>
      <c r="I125" s="76" t="s">
        <v>194</v>
      </c>
      <c r="J125" s="75"/>
      <c r="K125" s="89" t="s">
        <v>25</v>
      </c>
      <c r="L125" s="76" t="s">
        <v>195</v>
      </c>
      <c r="M125" s="75"/>
      <c r="N125" s="89" t="s">
        <v>26</v>
      </c>
      <c r="O125" s="76" t="s">
        <v>196</v>
      </c>
      <c r="P125" s="75"/>
      <c r="Q125" s="89" t="s">
        <v>27</v>
      </c>
      <c r="R125" s="76" t="s">
        <v>197</v>
      </c>
      <c r="S125" s="75"/>
      <c r="T125" s="89" t="s">
        <v>28</v>
      </c>
      <c r="U125" s="76" t="s">
        <v>198</v>
      </c>
      <c r="V125" s="75"/>
      <c r="W125" s="89" t="s">
        <v>29</v>
      </c>
      <c r="X125" s="76" t="s">
        <v>199</v>
      </c>
      <c r="Y125" s="75"/>
      <c r="Z125" s="89" t="s">
        <v>30</v>
      </c>
      <c r="AA125" s="76" t="s">
        <v>200</v>
      </c>
      <c r="AB125" s="75"/>
      <c r="AC125" s="89" t="s">
        <v>31</v>
      </c>
      <c r="AD125" s="76" t="s">
        <v>201</v>
      </c>
      <c r="AE125" s="75"/>
      <c r="AF125" s="89" t="s">
        <v>32</v>
      </c>
      <c r="AG125" s="76" t="s">
        <v>202</v>
      </c>
      <c r="AH125" s="75"/>
      <c r="AI125" s="89" t="s">
        <v>33</v>
      </c>
      <c r="AJ125" s="76" t="s">
        <v>203</v>
      </c>
      <c r="AK125" s="75"/>
      <c r="AL125" s="89" t="s">
        <v>34</v>
      </c>
      <c r="AM125" s="76" t="s">
        <v>204</v>
      </c>
      <c r="AN125" s="75"/>
      <c r="AO125" s="89" t="s">
        <v>35</v>
      </c>
      <c r="AP125" s="89" t="s">
        <v>205</v>
      </c>
      <c r="AQ125" s="75"/>
      <c r="AR125" s="89" t="s">
        <v>36</v>
      </c>
      <c r="AS125" s="76" t="s">
        <v>206</v>
      </c>
    </row>
    <row r="126" spans="3:45" ht="12.75">
      <c r="C126" s="105">
        <v>101</v>
      </c>
      <c r="D126" s="89" t="s">
        <v>137</v>
      </c>
      <c r="H126" s="157">
        <f aca="true" t="shared" si="39" ref="H126:H133">AVERAGE(H100,H88)</f>
        <v>6.981154578872574</v>
      </c>
      <c r="I126" s="76">
        <f aca="true" t="shared" si="40" ref="I126:I133">I100*2+0.5*(H100-H88)</f>
        <v>4.107718599710821</v>
      </c>
      <c r="K126" s="157">
        <f aca="true" t="shared" si="41" ref="K126:K133">AVERAGE(K100,K88)</f>
        <v>0.0017399419978062496</v>
      </c>
      <c r="L126" s="76">
        <f aca="true" t="shared" si="42" ref="L126:L133">L100*2+0.5*(K100-K88)</f>
        <v>0.0037875093524775386</v>
      </c>
      <c r="N126" s="157">
        <f aca="true" t="shared" si="43" ref="N126:N133">AVERAGE(N100,N88)</f>
        <v>0.12410747284879561</v>
      </c>
      <c r="O126" s="76">
        <f aca="true" t="shared" si="44" ref="O126:O133">O100*2+0.5*(N100-N88)</f>
        <v>0.07302496583114389</v>
      </c>
      <c r="Q126" s="157">
        <f aca="true" t="shared" si="45" ref="Q126:Q133">AVERAGE(Q100,Q88)</f>
        <v>2.3176345725064245</v>
      </c>
      <c r="R126" s="76">
        <f aca="true" t="shared" si="46" ref="R126:R133">R100*2+0.5*(Q100-Q88)</f>
        <v>1.3636985878566443</v>
      </c>
      <c r="T126" s="157">
        <f aca="true" t="shared" si="47" ref="T126:T133">AVERAGE(T100,T88)</f>
        <v>0.01888879656816538</v>
      </c>
      <c r="U126" s="76">
        <f aca="true" t="shared" si="48" ref="U126:U133">U100*2+0.5*(T100-T88)</f>
        <v>0.011114187504746137</v>
      </c>
      <c r="W126" s="157">
        <f aca="true" t="shared" si="49" ref="W126:W133">AVERAGE(W100,W88)</f>
        <v>0.04546591463115245</v>
      </c>
      <c r="X126" s="76">
        <f aca="true" t="shared" si="50" ref="X126:X133">X100*2+0.5*(W100-W88)</f>
        <v>0.02675219135649198</v>
      </c>
      <c r="Z126" s="157">
        <f aca="true" t="shared" si="51" ref="Z126:Z133">AVERAGE(Z100,Z88)</f>
        <v>0.012478473986985926</v>
      </c>
      <c r="AA126" s="76">
        <f aca="true" t="shared" si="52" ref="AA126:AA133">AA100*2+0.5*(Z100-Z88)</f>
        <v>0.007342347044925007</v>
      </c>
      <c r="AC126" s="157">
        <f aca="true" t="shared" si="53" ref="AC126:AC133">AVERAGE(AC100,AC88)</f>
        <v>0.005906840467905105</v>
      </c>
      <c r="AD126" s="76">
        <f aca="true" t="shared" si="54" ref="AD126:AD133">AD100*2+0.5*(AC100-AC88)</f>
        <v>0.003475591061823593</v>
      </c>
      <c r="AF126" s="157">
        <f aca="true" t="shared" si="55" ref="AF126:AF133">AVERAGE(AF100,AF88)</f>
        <v>0.0028999033296770826</v>
      </c>
      <c r="AG126" s="76">
        <f aca="true" t="shared" si="56" ref="AG126:AG133">AG100*2+0.5*(AF100-AF88)</f>
        <v>0.006312515587462564</v>
      </c>
      <c r="AI126" s="157">
        <f aca="true" t="shared" si="57" ref="AI126:AI133">AVERAGE(AI100,AI88)</f>
        <v>0.007540453302930123</v>
      </c>
      <c r="AJ126" s="76">
        <f aca="true" t="shared" si="58" ref="AJ126:AJ133">AJ100*2+0.5*(AI100-AI88)</f>
        <v>0.004436810549423349</v>
      </c>
      <c r="AL126" s="157">
        <f aca="true" t="shared" si="59" ref="AL126:AL133">AVERAGE(AL100,AL88)</f>
        <v>1.089468987722369</v>
      </c>
      <c r="AM126" s="76">
        <f aca="true" t="shared" si="60" ref="AM126:AM133">AM100*2+0.5*(AL100-AL88)</f>
        <v>0.6410446830985407</v>
      </c>
      <c r="AO126" s="157">
        <f aca="true" t="shared" si="61" ref="AO126:AO133">AVERAGE(AO100,AO88)</f>
        <v>7.769589335909726E-05</v>
      </c>
      <c r="AP126" s="76">
        <f aca="true" t="shared" si="62" ref="AP126:AP133">AP100*2+0.5*(AO100-AO88)</f>
        <v>4.571634429041021E-05</v>
      </c>
      <c r="AR126" s="157">
        <f aca="true" t="shared" si="63" ref="AR126:AR133">AVERAGE(AR100,AR88)</f>
        <v>0.05041865557154104</v>
      </c>
      <c r="AS126" s="76">
        <f aca="true" t="shared" si="64" ref="AS126:AS133">AS100*2+0.5*(AR100-AR88)</f>
        <v>0.0296663892660975</v>
      </c>
    </row>
    <row r="127" spans="3:45" ht="12.75">
      <c r="C127" s="105" t="s">
        <v>19</v>
      </c>
      <c r="D127" s="89" t="s">
        <v>137</v>
      </c>
      <c r="H127" s="157">
        <f t="shared" si="39"/>
        <v>7.230461029646423</v>
      </c>
      <c r="I127" s="76">
        <f t="shared" si="40"/>
        <v>4.077739572098459</v>
      </c>
      <c r="K127" s="157">
        <f t="shared" si="41"/>
        <v>0.0019225609085266682</v>
      </c>
      <c r="L127" s="76">
        <f t="shared" si="42"/>
        <v>0.0037216223010120932</v>
      </c>
      <c r="N127" s="157">
        <f t="shared" si="43"/>
        <v>0.01979966509132845</v>
      </c>
      <c r="O127" s="76">
        <f t="shared" si="44"/>
        <v>0.011303641337357355</v>
      </c>
      <c r="Q127" s="157">
        <f t="shared" si="45"/>
        <v>1.6412524303712945</v>
      </c>
      <c r="R127" s="76">
        <f t="shared" si="46"/>
        <v>0.9280579289780793</v>
      </c>
      <c r="T127" s="157">
        <f t="shared" si="47"/>
        <v>0.021324408061942822</v>
      </c>
      <c r="U127" s="76">
        <f t="shared" si="48"/>
        <v>0.012337343334978672</v>
      </c>
      <c r="W127" s="157">
        <f t="shared" si="49"/>
        <v>0.003842391070417779</v>
      </c>
      <c r="X127" s="76">
        <f t="shared" si="50"/>
        <v>0.0022388924074318575</v>
      </c>
      <c r="Z127" s="157">
        <f t="shared" si="51"/>
        <v>0.03986347223756194</v>
      </c>
      <c r="AA127" s="76">
        <f t="shared" si="52"/>
        <v>0.022522608016114987</v>
      </c>
      <c r="AC127" s="157">
        <f t="shared" si="53"/>
        <v>0.008031526521102728</v>
      </c>
      <c r="AD127" s="76">
        <f t="shared" si="54"/>
        <v>0.00466618159183257</v>
      </c>
      <c r="AF127" s="157">
        <f t="shared" si="55"/>
        <v>0.0028999033296770826</v>
      </c>
      <c r="AG127" s="76">
        <f t="shared" si="56"/>
        <v>0.006278513906767047</v>
      </c>
      <c r="AI127" s="157">
        <f t="shared" si="57"/>
        <v>0.007737010718297998</v>
      </c>
      <c r="AJ127" s="76">
        <f t="shared" si="58"/>
        <v>0.004484983451895704</v>
      </c>
      <c r="AL127" s="157">
        <f t="shared" si="59"/>
        <v>1.0280474242490036</v>
      </c>
      <c r="AM127" s="76">
        <f t="shared" si="60"/>
        <v>0.5800722018831258</v>
      </c>
      <c r="AO127" s="157">
        <f t="shared" si="61"/>
        <v>6.055396159322111E-05</v>
      </c>
      <c r="AP127" s="76">
        <f t="shared" si="62"/>
        <v>7.808193376280068E-05</v>
      </c>
      <c r="AR127" s="157">
        <f t="shared" si="63"/>
        <v>0.02266913899600337</v>
      </c>
      <c r="AS127" s="76">
        <f t="shared" si="64"/>
        <v>0.012839766738114346</v>
      </c>
    </row>
    <row r="128" spans="3:45" ht="12.75">
      <c r="C128" s="105" t="s">
        <v>5</v>
      </c>
      <c r="D128" s="89" t="s">
        <v>137</v>
      </c>
      <c r="H128" s="157">
        <f t="shared" si="39"/>
        <v>9.953226916330891</v>
      </c>
      <c r="I128" s="76">
        <f t="shared" si="40"/>
        <v>5.7573198030187</v>
      </c>
      <c r="K128" s="157">
        <f t="shared" si="41"/>
        <v>0.0017399419978062496</v>
      </c>
      <c r="L128" s="76">
        <f t="shared" si="42"/>
        <v>0.0037830598932450115</v>
      </c>
      <c r="N128" s="157">
        <f t="shared" si="43"/>
        <v>0.02061885151351914</v>
      </c>
      <c r="O128" s="76">
        <f t="shared" si="44"/>
        <v>0.011975718538480446</v>
      </c>
      <c r="Q128" s="157">
        <f t="shared" si="45"/>
        <v>1.6354681943383982</v>
      </c>
      <c r="R128" s="76">
        <f t="shared" si="46"/>
        <v>0.9473099001477181</v>
      </c>
      <c r="T128" s="157">
        <f t="shared" si="47"/>
        <v>0.022676187372949352</v>
      </c>
      <c r="U128" s="76">
        <f t="shared" si="48"/>
        <v>0.013272795666997472</v>
      </c>
      <c r="W128" s="157">
        <f t="shared" si="49"/>
        <v>0.00205214436851028</v>
      </c>
      <c r="X128" s="76">
        <f t="shared" si="50"/>
        <v>0.0012144877427197256</v>
      </c>
      <c r="Z128" s="157">
        <f t="shared" si="51"/>
        <v>0.016830869132002088</v>
      </c>
      <c r="AA128" s="76">
        <f t="shared" si="52"/>
        <v>0.009760535100664849</v>
      </c>
      <c r="AC128" s="157">
        <f t="shared" si="53"/>
        <v>0.007230307721274178</v>
      </c>
      <c r="AD128" s="76">
        <f t="shared" si="54"/>
        <v>0.004238615978421169</v>
      </c>
      <c r="AF128" s="157">
        <f t="shared" si="55"/>
        <v>0.0028999033296770826</v>
      </c>
      <c r="AG128" s="76">
        <f t="shared" si="56"/>
        <v>0.006305099822075019</v>
      </c>
      <c r="AI128" s="157">
        <f t="shared" si="57"/>
        <v>0.007991504574058702</v>
      </c>
      <c r="AJ128" s="76">
        <f t="shared" si="58"/>
        <v>0.004685211452123744</v>
      </c>
      <c r="AL128" s="157">
        <f t="shared" si="59"/>
        <v>1.2008016184496675</v>
      </c>
      <c r="AM128" s="76">
        <f t="shared" si="60"/>
        <v>0.6946552926928289</v>
      </c>
      <c r="AO128" s="157">
        <f t="shared" si="61"/>
        <v>2.899903329677083E-05</v>
      </c>
      <c r="AP128" s="76">
        <f t="shared" si="62"/>
        <v>6.305099822075019E-05</v>
      </c>
      <c r="AR128" s="157">
        <f t="shared" si="63"/>
        <v>0.01607407672926066</v>
      </c>
      <c r="AS128" s="76">
        <f t="shared" si="64"/>
        <v>0.009434109423718867</v>
      </c>
    </row>
    <row r="129" spans="3:45" ht="12.75">
      <c r="C129" s="105" t="s">
        <v>21</v>
      </c>
      <c r="D129" s="89" t="s">
        <v>137</v>
      </c>
      <c r="H129" s="157">
        <f t="shared" si="39"/>
        <v>5.1165926349594155</v>
      </c>
      <c r="I129" s="76">
        <f t="shared" si="40"/>
        <v>2.9718689039819357</v>
      </c>
      <c r="K129" s="157">
        <f t="shared" si="41"/>
        <v>0.0017399419978062496</v>
      </c>
      <c r="L129" s="76">
        <f t="shared" si="42"/>
        <v>0.003760458330925242</v>
      </c>
      <c r="N129" s="157">
        <f t="shared" si="43"/>
        <v>0.0260104366095915</v>
      </c>
      <c r="O129" s="76">
        <f t="shared" si="44"/>
        <v>0.01648460293979178</v>
      </c>
      <c r="Q129" s="157">
        <f t="shared" si="45"/>
        <v>1.081273640598685</v>
      </c>
      <c r="R129" s="76">
        <f t="shared" si="46"/>
        <v>0.6341107838693911</v>
      </c>
      <c r="T129" s="157">
        <f t="shared" si="47"/>
        <v>0.023110884547791637</v>
      </c>
      <c r="U129" s="76">
        <f t="shared" si="48"/>
        <v>0.013399933696255861</v>
      </c>
      <c r="W129" s="157">
        <f t="shared" si="49"/>
        <v>0.011963076606077414</v>
      </c>
      <c r="X129" s="76">
        <f t="shared" si="50"/>
        <v>0.006959382996465813</v>
      </c>
      <c r="Z129" s="157">
        <f t="shared" si="51"/>
        <v>0.0034517921306649645</v>
      </c>
      <c r="AA129" s="76">
        <f t="shared" si="52"/>
        <v>0.0023138697403682316</v>
      </c>
      <c r="AC129" s="157">
        <f t="shared" si="53"/>
        <v>0.009235876531662263</v>
      </c>
      <c r="AD129" s="76">
        <f t="shared" si="54"/>
        <v>0.0053563683882410645</v>
      </c>
      <c r="AF129" s="157">
        <f t="shared" si="55"/>
        <v>0.3750250610001943</v>
      </c>
      <c r="AG129" s="76">
        <f t="shared" si="56"/>
        <v>0.2148709716957645</v>
      </c>
      <c r="AI129" s="157">
        <f t="shared" si="57"/>
        <v>0.007948168973748214</v>
      </c>
      <c r="AJ129" s="76">
        <f t="shared" si="58"/>
        <v>0.0046109454783433024</v>
      </c>
      <c r="AL129" s="157">
        <f t="shared" si="59"/>
        <v>0.970128524180271</v>
      </c>
      <c r="AM129" s="76">
        <f t="shared" si="60"/>
        <v>0.5608588520284368</v>
      </c>
      <c r="AO129" s="157">
        <f t="shared" si="61"/>
        <v>3.6506218025369574E-05</v>
      </c>
      <c r="AP129" s="76">
        <f t="shared" si="62"/>
        <v>6.651708868975277E-05</v>
      </c>
      <c r="AR129" s="157">
        <f t="shared" si="63"/>
        <v>0.030487548052821885</v>
      </c>
      <c r="AS129" s="76">
        <f t="shared" si="64"/>
        <v>0.017635214834043605</v>
      </c>
    </row>
    <row r="130" spans="3:45" ht="12.75">
      <c r="C130" s="105" t="s">
        <v>12</v>
      </c>
      <c r="D130" s="89" t="s">
        <v>137</v>
      </c>
      <c r="H130" s="157">
        <f t="shared" si="39"/>
        <v>0.8105431656691043</v>
      </c>
      <c r="I130" s="76">
        <f t="shared" si="40"/>
        <v>0.4771692341314438</v>
      </c>
      <c r="K130" s="157">
        <f t="shared" si="41"/>
        <v>0.0017399419978062498</v>
      </c>
      <c r="L130" s="76">
        <f t="shared" si="42"/>
        <v>0.003758289794790229</v>
      </c>
      <c r="N130" s="157">
        <f t="shared" si="43"/>
        <v>0.008046368992752084</v>
      </c>
      <c r="O130" s="76">
        <f t="shared" si="44"/>
        <v>0.004696554102603671</v>
      </c>
      <c r="Q130" s="157">
        <f t="shared" si="45"/>
        <v>0.6211480091342537</v>
      </c>
      <c r="R130" s="76">
        <f t="shared" si="46"/>
        <v>0.3689491591286796</v>
      </c>
      <c r="T130" s="157">
        <f t="shared" si="47"/>
        <v>0.02079011710592102</v>
      </c>
      <c r="U130" s="76">
        <f t="shared" si="48"/>
        <v>0.01207275323953538</v>
      </c>
      <c r="W130" s="157">
        <f t="shared" si="49"/>
        <v>0.0006423202604682849</v>
      </c>
      <c r="X130" s="76">
        <f t="shared" si="50"/>
        <v>0.0007334222340795938</v>
      </c>
      <c r="Z130" s="157">
        <f t="shared" si="51"/>
        <v>0.004942833989486866</v>
      </c>
      <c r="AA130" s="76">
        <f t="shared" si="52"/>
        <v>0.00330411249557779</v>
      </c>
      <c r="AC130" s="157">
        <f t="shared" si="53"/>
        <v>0.008639577485128586</v>
      </c>
      <c r="AD130" s="76">
        <f t="shared" si="54"/>
        <v>0.005024718858064271</v>
      </c>
      <c r="AF130" s="157">
        <f t="shared" si="55"/>
        <v>0.0028999033296770826</v>
      </c>
      <c r="AG130" s="76">
        <f t="shared" si="56"/>
        <v>0.006263816324650381</v>
      </c>
      <c r="AI130" s="157">
        <f t="shared" si="57"/>
        <v>0.0073456675873049115</v>
      </c>
      <c r="AJ130" s="76">
        <f t="shared" si="58"/>
        <v>0.0042573268852491</v>
      </c>
      <c r="AL130" s="157">
        <f t="shared" si="59"/>
        <v>0.12705012510292965</v>
      </c>
      <c r="AM130" s="76">
        <f t="shared" si="60"/>
        <v>0.07358116268723357</v>
      </c>
      <c r="AO130" s="157">
        <f t="shared" si="61"/>
        <v>2.8999033296770822E-05</v>
      </c>
      <c r="AP130" s="76">
        <f t="shared" si="62"/>
        <v>6.26381632465038E-05</v>
      </c>
      <c r="AR130" s="157">
        <f t="shared" si="63"/>
        <v>0.007492166822255564</v>
      </c>
      <c r="AS130" s="76">
        <f t="shared" si="64"/>
        <v>0.004929144904428501</v>
      </c>
    </row>
    <row r="131" spans="3:45" ht="12.75">
      <c r="C131" s="105" t="s">
        <v>20</v>
      </c>
      <c r="D131" s="89" t="s">
        <v>137</v>
      </c>
      <c r="H131" s="157">
        <f t="shared" si="39"/>
        <v>4.5539807647481565</v>
      </c>
      <c r="I131" s="76">
        <f t="shared" si="40"/>
        <v>2.57589903757196</v>
      </c>
      <c r="K131" s="157">
        <f t="shared" si="41"/>
        <v>0.00218421578906959</v>
      </c>
      <c r="L131" s="76">
        <f t="shared" si="42"/>
        <v>0.0028258198278318498</v>
      </c>
      <c r="N131" s="157">
        <f t="shared" si="43"/>
        <v>0.031218249897439286</v>
      </c>
      <c r="O131" s="76">
        <f t="shared" si="44"/>
        <v>0.017643774759024882</v>
      </c>
      <c r="Q131" s="157">
        <f t="shared" si="45"/>
        <v>3.0051021293455555</v>
      </c>
      <c r="R131" s="76">
        <f t="shared" si="46"/>
        <v>1.6975233888447596</v>
      </c>
      <c r="T131" s="157">
        <f t="shared" si="47"/>
        <v>0.015174550600309632</v>
      </c>
      <c r="U131" s="76">
        <f t="shared" si="48"/>
        <v>0.00877079734304641</v>
      </c>
      <c r="W131" s="157">
        <f t="shared" si="49"/>
        <v>0.028989386602347594</v>
      </c>
      <c r="X131" s="76">
        <f t="shared" si="50"/>
        <v>0.01646129910540437</v>
      </c>
      <c r="Z131" s="157">
        <f t="shared" si="51"/>
        <v>0.005538172550765269</v>
      </c>
      <c r="AA131" s="76">
        <f t="shared" si="52"/>
        <v>0.0032557610957754906</v>
      </c>
      <c r="AC131" s="157">
        <f t="shared" si="53"/>
        <v>0.0056751727454560355</v>
      </c>
      <c r="AD131" s="76">
        <f t="shared" si="54"/>
        <v>0.0032916426770992773</v>
      </c>
      <c r="AF131" s="157">
        <f t="shared" si="55"/>
        <v>0.3180360187385848</v>
      </c>
      <c r="AG131" s="76">
        <f t="shared" si="56"/>
        <v>0.18174803201623613</v>
      </c>
      <c r="AI131" s="157">
        <f t="shared" si="57"/>
        <v>0.006812034556327205</v>
      </c>
      <c r="AJ131" s="76">
        <f t="shared" si="58"/>
        <v>0.00396878204330119</v>
      </c>
      <c r="AL131" s="157">
        <f t="shared" si="59"/>
        <v>0.4181926489147858</v>
      </c>
      <c r="AM131" s="76">
        <f t="shared" si="60"/>
        <v>0.23589921649505238</v>
      </c>
      <c r="AO131" s="157">
        <f t="shared" si="61"/>
        <v>5.5401380948912234E-05</v>
      </c>
      <c r="AP131" s="76">
        <f t="shared" si="62"/>
        <v>5.779477867360176E-05</v>
      </c>
      <c r="AR131" s="157">
        <f t="shared" si="63"/>
        <v>0.023871391132644706</v>
      </c>
      <c r="AS131" s="76">
        <f t="shared" si="64"/>
        <v>0.0135839193031244</v>
      </c>
    </row>
    <row r="132" spans="3:45" ht="12.75">
      <c r="C132" s="105" t="s">
        <v>17</v>
      </c>
      <c r="D132" s="89" t="s">
        <v>137</v>
      </c>
      <c r="H132" s="157">
        <f t="shared" si="39"/>
        <v>10.879273936571446</v>
      </c>
      <c r="I132" s="76">
        <f t="shared" si="40"/>
        <v>6.139043181321542</v>
      </c>
      <c r="K132" s="157">
        <f t="shared" si="41"/>
        <v>0.0036400800532240284</v>
      </c>
      <c r="L132" s="76">
        <f t="shared" si="42"/>
        <v>0.0026170688322407357</v>
      </c>
      <c r="N132" s="157">
        <f t="shared" si="43"/>
        <v>0.10236738720938901</v>
      </c>
      <c r="O132" s="76">
        <f t="shared" si="44"/>
        <v>0.05796631800137317</v>
      </c>
      <c r="Q132" s="157">
        <f t="shared" si="45"/>
        <v>2.768320570699023</v>
      </c>
      <c r="R132" s="76">
        <f t="shared" si="46"/>
        <v>1.581277181826282</v>
      </c>
      <c r="T132" s="157">
        <f t="shared" si="47"/>
        <v>0.017963289885900496</v>
      </c>
      <c r="U132" s="76">
        <f t="shared" si="48"/>
        <v>0.01044264595696511</v>
      </c>
      <c r="W132" s="157">
        <f t="shared" si="49"/>
        <v>0.025879325440992102</v>
      </c>
      <c r="X132" s="76">
        <f t="shared" si="50"/>
        <v>0.014667376537377111</v>
      </c>
      <c r="Z132" s="157">
        <f t="shared" si="51"/>
        <v>0.001977360527325585</v>
      </c>
      <c r="AA132" s="76">
        <f t="shared" si="52"/>
        <v>0.0012080176539532453</v>
      </c>
      <c r="AC132" s="157">
        <f t="shared" si="53"/>
        <v>0.006729341746368372</v>
      </c>
      <c r="AD132" s="76">
        <f t="shared" si="54"/>
        <v>0.003925587212177801</v>
      </c>
      <c r="AF132" s="157">
        <f t="shared" si="55"/>
        <v>0.6623752758588768</v>
      </c>
      <c r="AG132" s="76">
        <f t="shared" si="56"/>
        <v>0.37540960959934155</v>
      </c>
      <c r="AI132" s="157">
        <f t="shared" si="57"/>
        <v>0.008049459593469116</v>
      </c>
      <c r="AJ132" s="76">
        <f t="shared" si="58"/>
        <v>0.004704194236371712</v>
      </c>
      <c r="AL132" s="157">
        <f t="shared" si="59"/>
        <v>1.0676763828417473</v>
      </c>
      <c r="AM132" s="76">
        <f t="shared" si="60"/>
        <v>0.6020837865243265</v>
      </c>
      <c r="AO132" s="157">
        <f t="shared" si="61"/>
        <v>0.0004675379691091854</v>
      </c>
      <c r="AP132" s="76">
        <f t="shared" si="62"/>
        <v>0.00026471466263039466</v>
      </c>
      <c r="AR132" s="157">
        <f t="shared" si="63"/>
        <v>0.03862116684887015</v>
      </c>
      <c r="AS132" s="76">
        <f t="shared" si="64"/>
        <v>0.022249508456542763</v>
      </c>
    </row>
    <row r="133" spans="3:45" ht="13.5" thickBot="1">
      <c r="C133" s="105" t="s">
        <v>22</v>
      </c>
      <c r="D133" s="89" t="s">
        <v>137</v>
      </c>
      <c r="H133" s="157">
        <f t="shared" si="39"/>
        <v>5.211153065577019</v>
      </c>
      <c r="I133" s="76">
        <f t="shared" si="40"/>
        <v>3.2176355818871665</v>
      </c>
      <c r="K133" s="157">
        <f t="shared" si="41"/>
        <v>0.0017399419978062494</v>
      </c>
      <c r="L133" s="76">
        <f t="shared" si="42"/>
        <v>0.003799995305334234</v>
      </c>
      <c r="N133" s="157">
        <f t="shared" si="43"/>
        <v>0.3972408582515544</v>
      </c>
      <c r="O133" s="76">
        <f t="shared" si="44"/>
        <v>0.22625171174531453</v>
      </c>
      <c r="Q133" s="157">
        <f t="shared" si="45"/>
        <v>1.5735562734376265</v>
      </c>
      <c r="R133" s="76">
        <f t="shared" si="46"/>
        <v>0.9885080247418263</v>
      </c>
      <c r="T133" s="157">
        <f t="shared" si="47"/>
        <v>0.029789657992163644</v>
      </c>
      <c r="U133" s="76">
        <f t="shared" si="48"/>
        <v>0.017501178706225442</v>
      </c>
      <c r="W133" s="157">
        <f t="shared" si="49"/>
        <v>0.020753110170013342</v>
      </c>
      <c r="X133" s="76">
        <f t="shared" si="50"/>
        <v>0.011873720326504472</v>
      </c>
      <c r="Z133" s="157">
        <f t="shared" si="51"/>
        <v>0.09131935461737335</v>
      </c>
      <c r="AA133" s="76">
        <f t="shared" si="52"/>
        <v>0.05276373706647912</v>
      </c>
      <c r="AC133" s="157">
        <f t="shared" si="53"/>
        <v>0.008685342482350812</v>
      </c>
      <c r="AD133" s="76">
        <f t="shared" si="54"/>
        <v>0.005154346801456524</v>
      </c>
      <c r="AF133" s="157">
        <f t="shared" si="55"/>
        <v>0.9091181282504727</v>
      </c>
      <c r="AG133" s="76">
        <f t="shared" si="56"/>
        <v>0.5313824269496005</v>
      </c>
      <c r="AI133" s="157">
        <f t="shared" si="57"/>
        <v>0.00882256714703103</v>
      </c>
      <c r="AJ133" s="76">
        <f t="shared" si="58"/>
        <v>0.005238783800555595</v>
      </c>
      <c r="AL133" s="157">
        <f t="shared" si="59"/>
        <v>0.9091181282504727</v>
      </c>
      <c r="AM133" s="76">
        <f t="shared" si="60"/>
        <v>0.5313824269496005</v>
      </c>
      <c r="AO133" s="157">
        <f t="shared" si="61"/>
        <v>0.0002080458240075323</v>
      </c>
      <c r="AP133" s="76">
        <f t="shared" si="62"/>
        <v>0.00012541453362697737</v>
      </c>
      <c r="AR133" s="157">
        <f t="shared" si="63"/>
        <v>0.036907112165032535</v>
      </c>
      <c r="AS133" s="76">
        <f t="shared" si="64"/>
        <v>0.021630600138784574</v>
      </c>
    </row>
    <row r="134" spans="4:45" ht="13.5" thickTop="1">
      <c r="D134" s="89" t="s">
        <v>207</v>
      </c>
      <c r="G134" s="200"/>
      <c r="H134" s="203">
        <f>MAX(H126:H133)</f>
        <v>10.879273936571446</v>
      </c>
      <c r="I134" s="204"/>
      <c r="J134" s="205"/>
      <c r="K134" s="203">
        <f>MAX(K126:K133)</f>
        <v>0.0036400800532240284</v>
      </c>
      <c r="L134" s="204"/>
      <c r="M134" s="205"/>
      <c r="N134" s="203">
        <f>MAX(N126:N133)</f>
        <v>0.3972408582515544</v>
      </c>
      <c r="O134" s="204"/>
      <c r="P134" s="205"/>
      <c r="Q134" s="203">
        <f>MAX(Q126:Q133)</f>
        <v>3.0051021293455555</v>
      </c>
      <c r="R134" s="204"/>
      <c r="S134" s="205"/>
      <c r="T134" s="203">
        <f>MAX(T126:T133)</f>
        <v>0.029789657992163644</v>
      </c>
      <c r="U134" s="204"/>
      <c r="V134" s="205"/>
      <c r="W134" s="203">
        <f>MAX(W126:W133)</f>
        <v>0.04546591463115245</v>
      </c>
      <c r="X134" s="204"/>
      <c r="Y134" s="205"/>
      <c r="Z134" s="203">
        <f>MAX(Z126:Z133)</f>
        <v>0.09131935461737335</v>
      </c>
      <c r="AA134" s="204"/>
      <c r="AB134" s="205"/>
      <c r="AC134" s="203">
        <f>MAX(AC126:AC133)</f>
        <v>0.009235876531662263</v>
      </c>
      <c r="AD134" s="204"/>
      <c r="AE134" s="205"/>
      <c r="AF134" s="203">
        <f>MAX(AF126:AF133)</f>
        <v>0.9091181282504727</v>
      </c>
      <c r="AG134" s="204"/>
      <c r="AH134" s="205"/>
      <c r="AI134" s="203">
        <f>MAX(AI126:AI133)</f>
        <v>0.00882256714703103</v>
      </c>
      <c r="AJ134" s="204"/>
      <c r="AK134" s="205"/>
      <c r="AL134" s="203">
        <f>MAX(AL126:AL133)</f>
        <v>1.2008016184496675</v>
      </c>
      <c r="AM134" s="202"/>
      <c r="AN134" s="205"/>
      <c r="AO134" s="207">
        <f>MAX(AO126:AO133)</f>
        <v>0.0004675379691091854</v>
      </c>
      <c r="AP134" s="204"/>
      <c r="AQ134" s="205"/>
      <c r="AR134" s="203">
        <f>MAX(AR126:AR133)</f>
        <v>0.05041865557154104</v>
      </c>
      <c r="AS134" s="202"/>
    </row>
    <row r="135" spans="4:45" ht="12.75">
      <c r="D135" s="89" t="s">
        <v>208</v>
      </c>
      <c r="H135" s="119">
        <f>MIN(H126:H133)</f>
        <v>0.8105431656691043</v>
      </c>
      <c r="I135" s="84"/>
      <c r="J135" s="206"/>
      <c r="K135" s="96">
        <f>MIN(K126:K133)</f>
        <v>0.0017399419978062494</v>
      </c>
      <c r="L135" s="84"/>
      <c r="M135" s="206"/>
      <c r="N135" s="119">
        <f>MIN(N126:N133)</f>
        <v>0.008046368992752084</v>
      </c>
      <c r="O135" s="84"/>
      <c r="P135" s="206"/>
      <c r="Q135" s="119">
        <f>MIN(Q126:Q133)</f>
        <v>0.6211480091342537</v>
      </c>
      <c r="R135" s="84"/>
      <c r="S135" s="206"/>
      <c r="T135" s="119">
        <f>MIN(T126:T133)</f>
        <v>0.015174550600309632</v>
      </c>
      <c r="U135" s="84"/>
      <c r="V135" s="206"/>
      <c r="W135" s="119">
        <f>MIN(W126:W133)</f>
        <v>0.0006423202604682849</v>
      </c>
      <c r="X135" s="84"/>
      <c r="Y135" s="206"/>
      <c r="Z135" s="119">
        <f>MIN(Z126:Z133)</f>
        <v>0.001977360527325585</v>
      </c>
      <c r="AA135" s="84"/>
      <c r="AB135" s="206"/>
      <c r="AC135" s="119">
        <f>MIN(AC126:AC133)</f>
        <v>0.0056751727454560355</v>
      </c>
      <c r="AD135" s="84"/>
      <c r="AE135" s="206"/>
      <c r="AF135" s="119">
        <f>MIN(AF126:AF133)</f>
        <v>0.0028999033296770826</v>
      </c>
      <c r="AG135" s="84"/>
      <c r="AH135" s="206"/>
      <c r="AI135" s="119">
        <f>MIN(AI126:AI133)</f>
        <v>0.006812034556327205</v>
      </c>
      <c r="AJ135" s="84"/>
      <c r="AK135" s="206"/>
      <c r="AL135" s="119">
        <f>MIN(AL126:AL133)</f>
        <v>0.12705012510292965</v>
      </c>
      <c r="AM135" s="88"/>
      <c r="AN135" s="206"/>
      <c r="AO135" s="157">
        <f>MIN(AO126:AO133)</f>
        <v>2.8999033296770822E-05</v>
      </c>
      <c r="AP135" s="84"/>
      <c r="AQ135" s="206"/>
      <c r="AR135" s="119">
        <f>MIN(AR126:AR133)</f>
        <v>0.007492166822255564</v>
      </c>
      <c r="AS135" s="88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S135"/>
  <sheetViews>
    <sheetView workbookViewId="0" topLeftCell="A94">
      <selection activeCell="H125" sqref="H125"/>
    </sheetView>
  </sheetViews>
  <sheetFormatPr defaultColWidth="9.6640625" defaultRowHeight="15"/>
  <cols>
    <col min="1" max="1" width="11.5546875" style="89" customWidth="1"/>
    <col min="2" max="2" width="9.6640625" style="89" customWidth="1"/>
    <col min="3" max="3" width="5.4453125" style="106" customWidth="1"/>
    <col min="4" max="4" width="5.4453125" style="89" customWidth="1"/>
    <col min="5" max="5" width="6.3359375" style="89" customWidth="1"/>
    <col min="6" max="6" width="5.77734375" style="89" customWidth="1"/>
    <col min="7" max="7" width="2.4453125" style="75" customWidth="1"/>
    <col min="8" max="8" width="6.6640625" style="89" customWidth="1"/>
    <col min="9" max="9" width="6.6640625" style="76" customWidth="1"/>
    <col min="10" max="10" width="2.4453125" style="75" customWidth="1"/>
    <col min="11" max="11" width="6.6640625" style="89" customWidth="1"/>
    <col min="12" max="12" width="6.6640625" style="76" customWidth="1"/>
    <col min="13" max="13" width="2.4453125" style="75" customWidth="1"/>
    <col min="14" max="14" width="6.6640625" style="89" customWidth="1"/>
    <col min="15" max="15" width="6.6640625" style="76" customWidth="1"/>
    <col min="16" max="16" width="2.4453125" style="75" customWidth="1"/>
    <col min="17" max="17" width="6.6640625" style="89" customWidth="1"/>
    <col min="18" max="18" width="6.6640625" style="76" customWidth="1"/>
    <col min="19" max="19" width="2.4453125" style="75" customWidth="1"/>
    <col min="20" max="20" width="6.6640625" style="89" customWidth="1"/>
    <col min="21" max="21" width="6.6640625" style="76" customWidth="1"/>
    <col min="22" max="22" width="2.4453125" style="75" customWidth="1"/>
    <col min="23" max="23" width="6.6640625" style="89" customWidth="1"/>
    <col min="24" max="24" width="6.6640625" style="76" customWidth="1"/>
    <col min="25" max="25" width="2.4453125" style="75" customWidth="1"/>
    <col min="26" max="26" width="6.6640625" style="89" customWidth="1"/>
    <col min="27" max="27" width="6.6640625" style="76" customWidth="1"/>
    <col min="28" max="28" width="2.4453125" style="75" customWidth="1"/>
    <col min="29" max="29" width="6.6640625" style="89" customWidth="1"/>
    <col min="30" max="30" width="6.6640625" style="76" customWidth="1"/>
    <col min="31" max="31" width="2.4453125" style="75" customWidth="1"/>
    <col min="32" max="32" width="6.6640625" style="89" customWidth="1"/>
    <col min="33" max="33" width="6.6640625" style="76" customWidth="1"/>
    <col min="34" max="34" width="2.4453125" style="75" customWidth="1"/>
    <col min="35" max="35" width="6.6640625" style="89" customWidth="1"/>
    <col min="36" max="36" width="6.6640625" style="76" customWidth="1"/>
    <col min="37" max="37" width="2.4453125" style="75" customWidth="1"/>
    <col min="38" max="38" width="6.6640625" style="89" customWidth="1"/>
    <col min="39" max="39" width="6.6640625" style="76" customWidth="1"/>
    <col min="40" max="40" width="2.4453125" style="75" customWidth="1"/>
    <col min="41" max="42" width="6.6640625" style="89" customWidth="1"/>
    <col min="43" max="43" width="2.4453125" style="75" customWidth="1"/>
    <col min="44" max="44" width="6.6640625" style="89" customWidth="1"/>
    <col min="45" max="45" width="6.6640625" style="76" customWidth="1"/>
    <col min="46" max="16384" width="9.6640625" style="2" customWidth="1"/>
  </cols>
  <sheetData>
    <row r="1" spans="1:45" ht="12.75">
      <c r="A1" s="101" t="s">
        <v>0</v>
      </c>
      <c r="B1" s="101" t="s">
        <v>2</v>
      </c>
      <c r="C1" s="102" t="s">
        <v>3</v>
      </c>
      <c r="D1" s="101" t="s">
        <v>4</v>
      </c>
      <c r="E1" s="101" t="s">
        <v>23</v>
      </c>
      <c r="F1" s="89" t="s">
        <v>0</v>
      </c>
      <c r="G1" s="66" t="s">
        <v>180</v>
      </c>
      <c r="H1" s="109" t="s">
        <v>75</v>
      </c>
      <c r="I1" s="67" t="s">
        <v>167</v>
      </c>
      <c r="J1" s="66"/>
      <c r="K1" s="109" t="s">
        <v>76</v>
      </c>
      <c r="L1" s="67" t="s">
        <v>168</v>
      </c>
      <c r="M1" s="66"/>
      <c r="N1" s="109" t="s">
        <v>77</v>
      </c>
      <c r="O1" s="67" t="s">
        <v>169</v>
      </c>
      <c r="P1" s="66"/>
      <c r="Q1" s="109" t="s">
        <v>78</v>
      </c>
      <c r="R1" s="67" t="s">
        <v>170</v>
      </c>
      <c r="S1" s="66"/>
      <c r="T1" s="109" t="s">
        <v>79</v>
      </c>
      <c r="U1" s="67" t="s">
        <v>171</v>
      </c>
      <c r="V1" s="66"/>
      <c r="W1" s="109" t="s">
        <v>80</v>
      </c>
      <c r="X1" s="67" t="s">
        <v>172</v>
      </c>
      <c r="Y1" s="66"/>
      <c r="Z1" s="109" t="s">
        <v>81</v>
      </c>
      <c r="AA1" s="67" t="s">
        <v>173</v>
      </c>
      <c r="AB1" s="66"/>
      <c r="AC1" s="109" t="s">
        <v>82</v>
      </c>
      <c r="AD1" s="67" t="s">
        <v>174</v>
      </c>
      <c r="AE1" s="66"/>
      <c r="AF1" s="109" t="s">
        <v>83</v>
      </c>
      <c r="AG1" s="67" t="s">
        <v>179</v>
      </c>
      <c r="AH1" s="66"/>
      <c r="AI1" s="109" t="s">
        <v>84</v>
      </c>
      <c r="AJ1" s="67" t="s">
        <v>178</v>
      </c>
      <c r="AK1" s="66"/>
      <c r="AL1" s="109" t="s">
        <v>85</v>
      </c>
      <c r="AM1" s="67" t="s">
        <v>177</v>
      </c>
      <c r="AN1" s="66"/>
      <c r="AO1" s="109" t="s">
        <v>86</v>
      </c>
      <c r="AP1" s="109" t="s">
        <v>176</v>
      </c>
      <c r="AQ1" s="66"/>
      <c r="AR1" s="109" t="s">
        <v>87</v>
      </c>
      <c r="AS1" s="67" t="s">
        <v>175</v>
      </c>
    </row>
    <row r="2" spans="1:45" ht="12.75">
      <c r="A2" s="101" t="s">
        <v>92</v>
      </c>
      <c r="B2" s="33">
        <v>38246</v>
      </c>
      <c r="C2" s="35">
        <v>101</v>
      </c>
      <c r="D2" s="24" t="s">
        <v>43</v>
      </c>
      <c r="E2" s="103"/>
      <c r="F2" s="90"/>
      <c r="G2" s="68"/>
      <c r="H2" s="90"/>
      <c r="I2" s="69"/>
      <c r="J2" s="68"/>
      <c r="K2" s="90"/>
      <c r="L2" s="69"/>
      <c r="M2" s="68"/>
      <c r="N2" s="90"/>
      <c r="O2" s="69"/>
      <c r="P2" s="68"/>
      <c r="Q2" s="90"/>
      <c r="R2" s="69"/>
      <c r="S2" s="68"/>
      <c r="T2" s="90"/>
      <c r="U2" s="69"/>
      <c r="V2" s="68"/>
      <c r="W2" s="90"/>
      <c r="X2" s="69"/>
      <c r="Y2" s="68"/>
      <c r="Z2" s="90"/>
      <c r="AA2" s="69"/>
      <c r="AB2" s="68"/>
      <c r="AC2" s="90"/>
      <c r="AD2" s="69"/>
      <c r="AE2" s="68"/>
      <c r="AF2" s="90"/>
      <c r="AG2" s="69"/>
      <c r="AH2" s="68"/>
      <c r="AI2" s="90"/>
      <c r="AJ2" s="69"/>
      <c r="AK2" s="68"/>
      <c r="AL2" s="90"/>
      <c r="AM2" s="69"/>
      <c r="AN2" s="68"/>
      <c r="AO2" s="90"/>
      <c r="AP2" s="90"/>
      <c r="AQ2" s="68"/>
      <c r="AR2" s="90"/>
      <c r="AS2" s="69"/>
    </row>
    <row r="3" spans="1:45" ht="12.75">
      <c r="A3" s="101" t="s">
        <v>93</v>
      </c>
      <c r="B3" s="104">
        <v>38246</v>
      </c>
      <c r="C3" s="105">
        <v>101</v>
      </c>
      <c r="D3" s="101" t="s">
        <v>10</v>
      </c>
      <c r="E3" s="101" t="s">
        <v>11</v>
      </c>
      <c r="F3" s="89">
        <v>4085</v>
      </c>
      <c r="G3" s="68"/>
      <c r="H3" s="90"/>
      <c r="I3" s="69"/>
      <c r="J3" s="68"/>
      <c r="K3" s="97"/>
      <c r="L3" s="71"/>
      <c r="M3" s="70"/>
      <c r="N3" s="97"/>
      <c r="O3" s="71"/>
      <c r="P3" s="70"/>
      <c r="Q3" s="97"/>
      <c r="R3" s="71"/>
      <c r="S3" s="70"/>
      <c r="T3" s="97"/>
      <c r="U3" s="71"/>
      <c r="V3" s="70"/>
      <c r="W3" s="97"/>
      <c r="X3" s="71"/>
      <c r="Y3" s="70"/>
      <c r="Z3" s="97"/>
      <c r="AA3" s="71"/>
      <c r="AB3" s="70"/>
      <c r="AC3" s="97"/>
      <c r="AD3" s="71"/>
      <c r="AE3" s="70"/>
      <c r="AF3" s="97"/>
      <c r="AG3" s="71"/>
      <c r="AH3" s="70"/>
      <c r="AI3" s="97"/>
      <c r="AJ3" s="71"/>
      <c r="AK3" s="70"/>
      <c r="AL3" s="97"/>
      <c r="AM3" s="71"/>
      <c r="AN3" s="70"/>
      <c r="AO3" s="97"/>
      <c r="AP3" s="97"/>
      <c r="AQ3" s="70"/>
      <c r="AR3" s="97"/>
      <c r="AS3" s="71"/>
    </row>
    <row r="4" spans="1:45" ht="12.75">
      <c r="A4" s="101" t="s">
        <v>94</v>
      </c>
      <c r="B4" s="104">
        <v>38246</v>
      </c>
      <c r="C4" s="105">
        <v>101</v>
      </c>
      <c r="D4" s="101" t="s">
        <v>6</v>
      </c>
      <c r="E4" s="101" t="s">
        <v>7</v>
      </c>
      <c r="F4" s="89">
        <v>4091</v>
      </c>
      <c r="G4" s="110">
        <v>1</v>
      </c>
      <c r="H4" s="91">
        <f>'HNO3 Hot Leach'!G4/1000*'Horizon Thicknesses'!$J4</f>
        <v>5674.550808988684</v>
      </c>
      <c r="I4" s="82">
        <f>'HNO3 Hot Leach'!G4/1000*'Horizon Thicknesses'!$L4</f>
        <v>1669.455792715829</v>
      </c>
      <c r="J4" s="110">
        <v>1</v>
      </c>
      <c r="K4" s="100">
        <f>'HNO3 Hot Leach'!H4/1000*'Horizon Thicknesses'!$J4</f>
        <v>12.62372294799732</v>
      </c>
      <c r="L4" s="80">
        <f>'HNO3 Hot Leach'!H4/1000*'Horizon Thicknesses'!$L4</f>
        <v>3.713905842166527</v>
      </c>
      <c r="M4" s="110">
        <v>1</v>
      </c>
      <c r="N4" s="91">
        <f>'HNO3 Hot Leach'!I4/1000*'Horizon Thicknesses'!$J4</f>
        <v>56.16073850044026</v>
      </c>
      <c r="O4" s="82">
        <f>'HNO3 Hot Leach'!I4/1000*'Horizon Thicknesses'!$L4</f>
        <v>16.5225184104869</v>
      </c>
      <c r="P4" s="110">
        <v>1</v>
      </c>
      <c r="Q4" s="98">
        <f>'HNO3 Hot Leach'!J4/1000*'Horizon Thicknesses'!$J4</f>
        <v>8848.967266781989</v>
      </c>
      <c r="R4" s="82">
        <f>'HNO3 Hot Leach'!J4/1000*'Horizon Thicknesses'!$L4</f>
        <v>2603.3707619078973</v>
      </c>
      <c r="S4" s="110">
        <v>1</v>
      </c>
      <c r="T4" s="98">
        <f>'HNO3 Hot Leach'!K4/1000*'Horizon Thicknesses'!$J4</f>
        <v>713.0707225137795</v>
      </c>
      <c r="U4" s="82">
        <f>'HNO3 Hot Leach'!K4/1000*'Horizon Thicknesses'!$L4</f>
        <v>209.78577659944332</v>
      </c>
      <c r="V4" s="110">
        <v>1</v>
      </c>
      <c r="W4" s="98">
        <f>'HNO3 Hot Leach'!L4/1000*'Horizon Thicknesses'!$J4</f>
        <v>1600.4983358994625</v>
      </c>
      <c r="X4" s="82">
        <f>'HNO3 Hot Leach'!L4/1000*'Horizon Thicknesses'!$L4</f>
        <v>470.8674409729354</v>
      </c>
      <c r="Y4" s="110">
        <v>1</v>
      </c>
      <c r="Z4" s="98">
        <f>'HNO3 Hot Leach'!M4/1000*'Horizon Thicknesses'!$J4</f>
        <v>53.916640188274</v>
      </c>
      <c r="AA4" s="82">
        <f>'HNO3 Hot Leach'!M4/1000*'Horizon Thicknesses'!$L4</f>
        <v>15.862303522511041</v>
      </c>
      <c r="AB4" s="110">
        <v>1</v>
      </c>
      <c r="AC4" s="98">
        <f>'HNO3 Hot Leach'!N4/1000*'Horizon Thicknesses'!$J4</f>
        <v>15.6798487347779</v>
      </c>
      <c r="AD4" s="82">
        <f>'HNO3 Hot Leach'!N4/1000*'Horizon Thicknesses'!$L4</f>
        <v>4.613019634561725</v>
      </c>
      <c r="AE4" s="177">
        <v>1</v>
      </c>
      <c r="AF4" s="176">
        <f>'HNO3 Hot Leach'!Q4/1000*'Horizon Thicknesses'!$J4</f>
        <v>95.00169028199015</v>
      </c>
      <c r="AG4" s="178">
        <f>'HNO3 Hot Leach'!Q4/1000*'Horizon Thicknesses'!$L4</f>
        <v>27.949546580468336</v>
      </c>
      <c r="AH4" s="110">
        <v>1</v>
      </c>
      <c r="AI4" s="98">
        <f>'HNO3 Hot Leach'!P4/1000*'Horizon Thicknesses'!$J4</f>
        <v>12.183497582150386</v>
      </c>
      <c r="AJ4" s="80">
        <f>'HNO3 Hot Leach'!P4/1000*'Horizon Thicknesses'!$L4</f>
        <v>3.5843913110869137</v>
      </c>
      <c r="AK4" s="110">
        <v>1</v>
      </c>
      <c r="AL4" s="98">
        <f>'HNO3 Hot Leach'!Q4/1000*'Horizon Thicknesses'!$J4</f>
        <v>95.00169028199015</v>
      </c>
      <c r="AM4" s="80">
        <f>'HNO3 Hot Leach'!Q4/1000*'Horizon Thicknesses'!$L4</f>
        <v>27.949546580468336</v>
      </c>
      <c r="AN4" s="113">
        <v>1</v>
      </c>
      <c r="AO4" s="176">
        <f>'HNO3 Hot Leach'!R4/1000*'Horizon Thicknesses'!$J4</f>
        <v>0.29736466201374495</v>
      </c>
      <c r="AP4" s="176">
        <f>'HNO3 Hot Leach'!R4/1000*'Horizon Thicknesses'!$L4</f>
        <v>0.08748483787676331</v>
      </c>
      <c r="AQ4" s="113">
        <v>1</v>
      </c>
      <c r="AR4" s="176">
        <f>'HNO3 Hot Leach'!S4/1000*'Horizon Thicknesses'!$J4</f>
        <v>308.4656457053216</v>
      </c>
      <c r="AS4" s="183">
        <f>'HNO3 Hot Leach'!S4/1000*'Horizon Thicknesses'!$L4</f>
        <v>90.7507530394913</v>
      </c>
    </row>
    <row r="5" spans="1:45" ht="12.75">
      <c r="A5" s="101" t="s">
        <v>95</v>
      </c>
      <c r="B5" s="104">
        <v>38246</v>
      </c>
      <c r="C5" s="105">
        <v>101</v>
      </c>
      <c r="D5" s="101" t="s">
        <v>8</v>
      </c>
      <c r="E5" s="101" t="s">
        <v>7</v>
      </c>
      <c r="F5" s="89">
        <v>4089</v>
      </c>
      <c r="G5" s="111"/>
      <c r="H5" s="92"/>
      <c r="I5" s="83"/>
      <c r="J5" s="111"/>
      <c r="K5" s="114"/>
      <c r="L5" s="81"/>
      <c r="M5" s="111"/>
      <c r="N5" s="92"/>
      <c r="O5" s="83"/>
      <c r="P5" s="111"/>
      <c r="Q5" s="97"/>
      <c r="R5" s="71"/>
      <c r="S5" s="111"/>
      <c r="T5" s="97"/>
      <c r="U5" s="71"/>
      <c r="V5" s="111"/>
      <c r="W5" s="97"/>
      <c r="X5" s="71"/>
      <c r="Y5" s="111"/>
      <c r="Z5" s="97"/>
      <c r="AA5" s="71"/>
      <c r="AB5" s="111"/>
      <c r="AC5" s="97"/>
      <c r="AD5" s="71"/>
      <c r="AE5" s="118"/>
      <c r="AF5" s="97"/>
      <c r="AG5" s="71"/>
      <c r="AH5" s="111"/>
      <c r="AI5" s="97"/>
      <c r="AJ5" s="71"/>
      <c r="AK5" s="111"/>
      <c r="AL5" s="97"/>
      <c r="AM5" s="71"/>
      <c r="AN5" s="111"/>
      <c r="AO5" s="97"/>
      <c r="AP5" s="97"/>
      <c r="AQ5" s="111"/>
      <c r="AR5" s="97"/>
      <c r="AS5" s="71"/>
    </row>
    <row r="6" spans="1:45" ht="12.75">
      <c r="A6" s="101" t="s">
        <v>96</v>
      </c>
      <c r="B6" s="104">
        <v>38245</v>
      </c>
      <c r="C6" s="105" t="s">
        <v>19</v>
      </c>
      <c r="D6" s="24" t="s">
        <v>43</v>
      </c>
      <c r="E6" s="103"/>
      <c r="F6" s="90"/>
      <c r="G6" s="111"/>
      <c r="H6" s="92"/>
      <c r="I6" s="83"/>
      <c r="J6" s="111"/>
      <c r="K6" s="114"/>
      <c r="L6" s="81"/>
      <c r="M6" s="111"/>
      <c r="N6" s="92"/>
      <c r="O6" s="83"/>
      <c r="P6" s="111"/>
      <c r="Q6" s="97"/>
      <c r="R6" s="71"/>
      <c r="S6" s="111"/>
      <c r="T6" s="97"/>
      <c r="U6" s="71"/>
      <c r="V6" s="111"/>
      <c r="W6" s="97"/>
      <c r="X6" s="71"/>
      <c r="Y6" s="111"/>
      <c r="Z6" s="97"/>
      <c r="AA6" s="71"/>
      <c r="AB6" s="111"/>
      <c r="AC6" s="97"/>
      <c r="AD6" s="71"/>
      <c r="AE6" s="118"/>
      <c r="AF6" s="97"/>
      <c r="AG6" s="71"/>
      <c r="AH6" s="111"/>
      <c r="AI6" s="97"/>
      <c r="AJ6" s="71"/>
      <c r="AK6" s="111"/>
      <c r="AL6" s="97"/>
      <c r="AM6" s="71"/>
      <c r="AN6" s="111"/>
      <c r="AO6" s="97"/>
      <c r="AP6" s="97"/>
      <c r="AQ6" s="111"/>
      <c r="AR6" s="97"/>
      <c r="AS6" s="71"/>
    </row>
    <row r="7" spans="1:45" ht="12.75">
      <c r="A7" s="101" t="s">
        <v>97</v>
      </c>
      <c r="B7" s="104">
        <v>38245</v>
      </c>
      <c r="C7" s="105" t="s">
        <v>19</v>
      </c>
      <c r="D7" s="101" t="s">
        <v>10</v>
      </c>
      <c r="E7" s="101" t="s">
        <v>11</v>
      </c>
      <c r="F7" s="89">
        <v>4009</v>
      </c>
      <c r="G7" s="111"/>
      <c r="H7" s="92"/>
      <c r="I7" s="83"/>
      <c r="J7" s="111"/>
      <c r="K7" s="114"/>
      <c r="L7" s="81"/>
      <c r="M7" s="111"/>
      <c r="N7" s="92"/>
      <c r="O7" s="83"/>
      <c r="P7" s="111"/>
      <c r="Q7" s="97"/>
      <c r="R7" s="71"/>
      <c r="S7" s="111"/>
      <c r="T7" s="97"/>
      <c r="U7" s="71"/>
      <c r="V7" s="111"/>
      <c r="W7" s="97"/>
      <c r="X7" s="71"/>
      <c r="Y7" s="111"/>
      <c r="Z7" s="97"/>
      <c r="AA7" s="71"/>
      <c r="AB7" s="111"/>
      <c r="AC7" s="97"/>
      <c r="AD7" s="71"/>
      <c r="AE7" s="118"/>
      <c r="AF7" s="97"/>
      <c r="AG7" s="71"/>
      <c r="AH7" s="111"/>
      <c r="AI7" s="97"/>
      <c r="AJ7" s="71"/>
      <c r="AK7" s="111"/>
      <c r="AL7" s="97"/>
      <c r="AM7" s="71"/>
      <c r="AN7" s="111"/>
      <c r="AO7" s="97"/>
      <c r="AP7" s="97"/>
      <c r="AQ7" s="111"/>
      <c r="AR7" s="97"/>
      <c r="AS7" s="71"/>
    </row>
    <row r="8" spans="1:45" ht="12.75">
      <c r="A8" s="101" t="s">
        <v>98</v>
      </c>
      <c r="B8" s="104">
        <v>38245</v>
      </c>
      <c r="C8" s="105" t="s">
        <v>19</v>
      </c>
      <c r="D8" s="101" t="s">
        <v>9</v>
      </c>
      <c r="E8" s="101" t="s">
        <v>7</v>
      </c>
      <c r="F8" s="89">
        <v>4007</v>
      </c>
      <c r="G8" s="110">
        <v>1</v>
      </c>
      <c r="H8" s="91">
        <f>'HNO3 Hot Leach'!G8/1000*'Horizon Thicknesses'!$J8</f>
        <v>34.36960509295959</v>
      </c>
      <c r="I8" s="82">
        <f>'HNO3 Hot Leach'!G8/1000*'Horizon Thicknesses'!$L8</f>
        <v>12.04396858015236</v>
      </c>
      <c r="J8" s="112">
        <v>0</v>
      </c>
      <c r="K8" s="115">
        <f>K$48/1000*'Horizon Thicknesses'!$J8</f>
        <v>0.28587585456585624</v>
      </c>
      <c r="L8" s="116">
        <f>K$48/1000*'Horizon Thicknesses'!$L8</f>
        <v>0.10017804396945695</v>
      </c>
      <c r="M8" s="113">
        <v>1</v>
      </c>
      <c r="N8" s="91">
        <f>'HNO3 Hot Leach'!I8/1000*'Horizon Thicknesses'!$J8</f>
        <v>1.045085998932795</v>
      </c>
      <c r="O8" s="82">
        <f>'HNO3 Hot Leach'!I8/1000*'Horizon Thicknesses'!$L8</f>
        <v>0.3662242525236955</v>
      </c>
      <c r="P8" s="110">
        <v>1</v>
      </c>
      <c r="Q8" s="98">
        <f>'HNO3 Hot Leach'!J8/1000*'Horizon Thicknesses'!$J8</f>
        <v>114.03339928847268</v>
      </c>
      <c r="R8" s="77">
        <f>'HNO3 Hot Leach'!J8/1000*'Horizon Thicknesses'!$L8</f>
        <v>39.960153001573744</v>
      </c>
      <c r="S8" s="113">
        <v>1</v>
      </c>
      <c r="T8" s="98">
        <f>'HNO3 Hot Leach'!K8/1000*'Horizon Thicknesses'!$J8</f>
        <v>4.166975816443809</v>
      </c>
      <c r="U8" s="77">
        <f>'HNO3 Hot Leach'!K8/1000*'Horizon Thicknesses'!$L8</f>
        <v>1.4602124659786813</v>
      </c>
      <c r="V8" s="110">
        <v>1</v>
      </c>
      <c r="W8" s="98">
        <f>'HNO3 Hot Leach'!L8/1000*'Horizon Thicknesses'!$J8</f>
        <v>1.1761767719692262</v>
      </c>
      <c r="X8" s="77">
        <f>'HNO3 Hot Leach'!L8/1000*'Horizon Thicknesses'!$L8</f>
        <v>0.41216173557967867</v>
      </c>
      <c r="Y8" s="110">
        <v>1</v>
      </c>
      <c r="Z8" s="98">
        <f>'HNO3 Hot Leach'!M8/1000*'Horizon Thicknesses'!$J8</f>
        <v>0.3890221273417146</v>
      </c>
      <c r="AA8" s="77">
        <f>'HNO3 Hot Leach'!M8/1000*'Horizon Thicknesses'!$L8</f>
        <v>0.136323075752983</v>
      </c>
      <c r="AB8" s="113">
        <v>1</v>
      </c>
      <c r="AC8" s="98">
        <f>'HNO3 Hot Leach'!N8/1000*'Horizon Thicknesses'!$J8</f>
        <v>1.380756314546212</v>
      </c>
      <c r="AD8" s="77">
        <f>'HNO3 Hot Leach'!N8/1000*'Horizon Thicknesses'!$L8</f>
        <v>0.4838515200934927</v>
      </c>
      <c r="AE8" s="177">
        <v>1</v>
      </c>
      <c r="AF8" s="176">
        <f>'HNO3 Hot Leach'!Q8/1000*'Horizon Thicknesses'!$J8</f>
        <v>2.360724475343875</v>
      </c>
      <c r="AG8" s="178">
        <f>'HNO3 Hot Leach'!Q8/1000*'Horizon Thicknesses'!$L8</f>
        <v>0.8272568547277991</v>
      </c>
      <c r="AH8" s="113">
        <v>1</v>
      </c>
      <c r="AI8" s="98">
        <f>'HNO3 Hot Leach'!P8/1000*'Horizon Thicknesses'!$J8</f>
        <v>0.732031469894101</v>
      </c>
      <c r="AJ8" s="77">
        <f>'HNO3 Hot Leach'!P8/1000*'Horizon Thicknesses'!$L8</f>
        <v>0.25652212177710826</v>
      </c>
      <c r="AK8" s="113">
        <v>1</v>
      </c>
      <c r="AL8" s="98">
        <f>'HNO3 Hot Leach'!Q8/1000*'Horizon Thicknesses'!$J8</f>
        <v>2.360724475343875</v>
      </c>
      <c r="AM8" s="77">
        <f>'HNO3 Hot Leach'!Q8/1000*'Horizon Thicknesses'!$L8</f>
        <v>0.8272568547277991</v>
      </c>
      <c r="AN8" s="110">
        <v>1</v>
      </c>
      <c r="AO8" s="98">
        <f>'HNO3 Hot Leach'!R8/1000*'Horizon Thicknesses'!$J8</f>
        <v>0.006581995109351553</v>
      </c>
      <c r="AP8" s="98">
        <f>'HNO3 Hot Leach'!R8/1000*'Horizon Thicknesses'!$L8</f>
        <v>0.0023064955817017887</v>
      </c>
      <c r="AQ8" s="113">
        <v>1</v>
      </c>
      <c r="AR8" s="176">
        <f>'HNO3 Hot Leach'!S8/1000*'Horizon Thicknesses'!$J8</f>
        <v>1.0620777624509274</v>
      </c>
      <c r="AS8" s="183">
        <f>'HNO3 Hot Leach'!S8/1000*'Horizon Thicknesses'!$L8</f>
        <v>0.37217859111386126</v>
      </c>
    </row>
    <row r="9" spans="1:45" ht="12.75">
      <c r="A9" s="101" t="s">
        <v>99</v>
      </c>
      <c r="B9" s="104">
        <v>38245</v>
      </c>
      <c r="C9" s="105" t="s">
        <v>19</v>
      </c>
      <c r="D9" s="101" t="s">
        <v>18</v>
      </c>
      <c r="E9" s="101" t="s">
        <v>7</v>
      </c>
      <c r="F9" s="89">
        <v>4001</v>
      </c>
      <c r="G9" s="110">
        <v>1</v>
      </c>
      <c r="H9" s="91">
        <f>'HNO3 Hot Leach'!G9/1000*'Horizon Thicknesses'!$J9</f>
        <v>66.39921684639151</v>
      </c>
      <c r="I9" s="82">
        <f>'HNO3 Hot Leach'!G9/1000*'Horizon Thicknesses'!$L9</f>
        <v>18.69492513150829</v>
      </c>
      <c r="J9" s="112">
        <v>0</v>
      </c>
      <c r="K9" s="115">
        <f>K$48/1000*'Horizon Thicknesses'!$J9</f>
        <v>0.11051299731643983</v>
      </c>
      <c r="L9" s="116">
        <f>K$48/1000*'Horizon Thicknesses'!$L9</f>
        <v>0.031115309924046167</v>
      </c>
      <c r="M9" s="110">
        <v>1</v>
      </c>
      <c r="N9" s="91">
        <f>'HNO3 Hot Leach'!I9/1000*'Horizon Thicknesses'!$J9</f>
        <v>0.3130359419644047</v>
      </c>
      <c r="O9" s="82">
        <f>'HNO3 Hot Leach'!I9/1000*'Horizon Thicknesses'!$L9</f>
        <v>0.08813633317444405</v>
      </c>
      <c r="P9" s="110">
        <v>1</v>
      </c>
      <c r="Q9" s="98">
        <f>'HNO3 Hot Leach'!J9/1000*'Horizon Thicknesses'!$J9</f>
        <v>275.0792522885157</v>
      </c>
      <c r="R9" s="77">
        <f>'HNO3 Hot Leach'!J9/1000*'Horizon Thicknesses'!$L9</f>
        <v>77.44949821715491</v>
      </c>
      <c r="S9" s="110">
        <v>1</v>
      </c>
      <c r="T9" s="98">
        <f>'HNO3 Hot Leach'!K9/1000*'Horizon Thicknesses'!$J9</f>
        <v>1.8656277129560639</v>
      </c>
      <c r="U9" s="77">
        <f>'HNO3 Hot Leach'!K9/1000*'Horizon Thicknesses'!$L9</f>
        <v>0.5252738220944257</v>
      </c>
      <c r="V9" s="110">
        <v>1</v>
      </c>
      <c r="W9" s="98">
        <f>'HNO3 Hot Leach'!L9/1000*'Horizon Thicknesses'!$J9</f>
        <v>1.6509706479719553</v>
      </c>
      <c r="X9" s="77">
        <f>'HNO3 Hot Leach'!L9/1000*'Horizon Thicknesses'!$L9</f>
        <v>0.46483639603093885</v>
      </c>
      <c r="Y9" s="110">
        <v>1</v>
      </c>
      <c r="Z9" s="98">
        <f>'HNO3 Hot Leach'!M9/1000*'Horizon Thicknesses'!$J9</f>
        <v>0.5645528720096026</v>
      </c>
      <c r="AA9" s="77">
        <f>'HNO3 Hot Leach'!M9/1000*'Horizon Thicknesses'!$L9</f>
        <v>0.15895177949784925</v>
      </c>
      <c r="AB9" s="110">
        <v>1</v>
      </c>
      <c r="AC9" s="98">
        <f>'HNO3 Hot Leach'!N9/1000*'Horizon Thicknesses'!$J9</f>
        <v>0.28287968650838785</v>
      </c>
      <c r="AD9" s="77">
        <f>'HNO3 Hot Leach'!N9/1000*'Horizon Thicknesses'!$L9</f>
        <v>0.07964573697808978</v>
      </c>
      <c r="AE9" s="177">
        <v>1</v>
      </c>
      <c r="AF9" s="176">
        <f>'HNO3 Hot Leach'!Q9/1000*'Horizon Thicknesses'!$J9</f>
        <v>1.7357761407340095</v>
      </c>
      <c r="AG9" s="178">
        <f>'HNO3 Hot Leach'!Q9/1000*'Horizon Thicknesses'!$L9</f>
        <v>0.48871367069209976</v>
      </c>
      <c r="AH9" s="110">
        <v>1</v>
      </c>
      <c r="AI9" s="98">
        <f>'HNO3 Hot Leach'!P9/1000*'Horizon Thicknesses'!$J9</f>
        <v>0.3413376667705083</v>
      </c>
      <c r="AJ9" s="77">
        <f>'HNO3 Hot Leach'!P9/1000*'Horizon Thicknesses'!$L9</f>
        <v>0.09610477996451205</v>
      </c>
      <c r="AK9" s="110">
        <v>1</v>
      </c>
      <c r="AL9" s="98">
        <f>'HNO3 Hot Leach'!Q9/1000*'Horizon Thicknesses'!$J9</f>
        <v>1.7357761407340095</v>
      </c>
      <c r="AM9" s="77">
        <f>'HNO3 Hot Leach'!Q9/1000*'Horizon Thicknesses'!$L9</f>
        <v>0.48871367069209976</v>
      </c>
      <c r="AN9" s="112">
        <v>0</v>
      </c>
      <c r="AO9" s="99">
        <f>AO$48/1000*'Horizon Thicknesses'!$J9</f>
        <v>0.0018418832886073315</v>
      </c>
      <c r="AP9" s="72">
        <f>AO$48/1000*'Horizon Thicknesses'!$L9</f>
        <v>0.000518588498734103</v>
      </c>
      <c r="AQ9" s="113">
        <v>1</v>
      </c>
      <c r="AR9" s="176">
        <f>'HNO3 Hot Leach'!S9/1000*'Horizon Thicknesses'!$J9</f>
        <v>3.2182832447693706</v>
      </c>
      <c r="AS9" s="183">
        <f>'HNO3 Hot Leach'!S9/1000*'Horizon Thicknesses'!$L9</f>
        <v>0.9061185834787548</v>
      </c>
    </row>
    <row r="10" spans="1:45" ht="12.75">
      <c r="A10" s="101" t="s">
        <v>100</v>
      </c>
      <c r="B10" s="104">
        <v>38245</v>
      </c>
      <c r="C10" s="105" t="s">
        <v>19</v>
      </c>
      <c r="D10" s="101" t="s">
        <v>6</v>
      </c>
      <c r="E10" s="101" t="s">
        <v>7</v>
      </c>
      <c r="F10" s="89">
        <v>4003</v>
      </c>
      <c r="G10" s="110">
        <v>1</v>
      </c>
      <c r="H10" s="91">
        <f>'HNO3 Hot Leach'!G10/1000*'Horizon Thicknesses'!$J10</f>
        <v>1663.9208446857126</v>
      </c>
      <c r="I10" s="82">
        <f>'HNO3 Hot Leach'!G10/1000*'Horizon Thicknesses'!$L10</f>
        <v>468.48256792122004</v>
      </c>
      <c r="J10" s="112">
        <v>0</v>
      </c>
      <c r="K10" s="115">
        <f>K$48/1000*'Horizon Thicknesses'!$J10</f>
        <v>1.6300667104174875</v>
      </c>
      <c r="L10" s="116">
        <f>K$48/1000*'Horizon Thicknesses'!$L10</f>
        <v>0.45895082137968096</v>
      </c>
      <c r="M10" s="110">
        <v>1</v>
      </c>
      <c r="N10" s="91">
        <f>'HNO3 Hot Leach'!I10/1000*'Horizon Thicknesses'!$J10</f>
        <v>13.094677444437437</v>
      </c>
      <c r="O10" s="82">
        <f>'HNO3 Hot Leach'!I10/1000*'Horizon Thicknesses'!$L10</f>
        <v>3.686850930958113</v>
      </c>
      <c r="P10" s="110">
        <v>1</v>
      </c>
      <c r="Q10" s="98">
        <f>'HNO3 Hot Leach'!J10/1000*'Horizon Thicknesses'!$J10</f>
        <v>3458.059652405614</v>
      </c>
      <c r="R10" s="77">
        <f>'HNO3 Hot Leach'!J10/1000*'Horizon Thicknesses'!$L10</f>
        <v>973.62844582294</v>
      </c>
      <c r="S10" s="110">
        <v>1</v>
      </c>
      <c r="T10" s="98">
        <f>'HNO3 Hot Leach'!K10/1000*'Horizon Thicknesses'!$J10</f>
        <v>63.854380059580016</v>
      </c>
      <c r="U10" s="77">
        <f>'HNO3 Hot Leach'!K10/1000*'Horizon Thicknesses'!$L10</f>
        <v>17.97841768667787</v>
      </c>
      <c r="V10" s="110">
        <v>1</v>
      </c>
      <c r="W10" s="98">
        <f>'HNO3 Hot Leach'!L10/1000*'Horizon Thicknesses'!$J10</f>
        <v>96.84422966662476</v>
      </c>
      <c r="X10" s="77">
        <f>'HNO3 Hot Leach'!L10/1000*'Horizon Thicknesses'!$L10</f>
        <v>27.266821944972016</v>
      </c>
      <c r="Y10" s="110">
        <v>1</v>
      </c>
      <c r="Z10" s="98">
        <f>'HNO3 Hot Leach'!M10/1000*'Horizon Thicknesses'!$J10</f>
        <v>14.865912891740656</v>
      </c>
      <c r="AA10" s="77">
        <f>'HNO3 Hot Leach'!M10/1000*'Horizon Thicknesses'!$L10</f>
        <v>4.185548289907564</v>
      </c>
      <c r="AB10" s="110">
        <v>1</v>
      </c>
      <c r="AC10" s="98">
        <f>'HNO3 Hot Leach'!N10/1000*'Horizon Thicknesses'!$J10</f>
        <v>5.640728883789371</v>
      </c>
      <c r="AD10" s="77">
        <f>'HNO3 Hot Leach'!N10/1000*'Horizon Thicknesses'!$L10</f>
        <v>1.5881663847562306</v>
      </c>
      <c r="AE10" s="177">
        <v>1</v>
      </c>
      <c r="AF10" s="176">
        <f>'HNO3 Hot Leach'!Q10/1000*'Horizon Thicknesses'!$J10</f>
        <v>33.5820249601442</v>
      </c>
      <c r="AG10" s="178">
        <f>'HNO3 Hot Leach'!Q10/1000*'Horizon Thicknesses'!$L10</f>
        <v>9.45513324120565</v>
      </c>
      <c r="AH10" s="110">
        <v>1</v>
      </c>
      <c r="AI10" s="98">
        <f>'HNO3 Hot Leach'!P10/1000*'Horizon Thicknesses'!$J10</f>
        <v>5.610836075321501</v>
      </c>
      <c r="AJ10" s="77">
        <f>'HNO3 Hot Leach'!P10/1000*'Horizon Thicknesses'!$L10</f>
        <v>1.5797499629545972</v>
      </c>
      <c r="AK10" s="110">
        <v>1</v>
      </c>
      <c r="AL10" s="98">
        <f>'HNO3 Hot Leach'!Q10/1000*'Horizon Thicknesses'!$J10</f>
        <v>33.5820249601442</v>
      </c>
      <c r="AM10" s="77">
        <f>'HNO3 Hot Leach'!Q10/1000*'Horizon Thicknesses'!$L10</f>
        <v>9.45513324120565</v>
      </c>
      <c r="AN10" s="112">
        <v>0</v>
      </c>
      <c r="AO10" s="99">
        <f>AO$48/1000*'Horizon Thicknesses'!$J10</f>
        <v>0.02716777850695814</v>
      </c>
      <c r="AP10" s="72">
        <f>AO$48/1000*'Horizon Thicknesses'!$L10</f>
        <v>0.007649180356328019</v>
      </c>
      <c r="AQ10" s="113">
        <v>1</v>
      </c>
      <c r="AR10" s="176">
        <f>'HNO3 Hot Leach'!S10/1000*'Horizon Thicknesses'!$J10</f>
        <v>43.263001985389174</v>
      </c>
      <c r="AS10" s="183">
        <f>'HNO3 Hot Leach'!S10/1000*'Horizon Thicknesses'!$L10</f>
        <v>12.180845219187242</v>
      </c>
    </row>
    <row r="11" spans="1:45" ht="12.75">
      <c r="A11" s="101" t="s">
        <v>101</v>
      </c>
      <c r="B11" s="104">
        <v>38245</v>
      </c>
      <c r="C11" s="105" t="s">
        <v>19</v>
      </c>
      <c r="D11" s="101" t="s">
        <v>8</v>
      </c>
      <c r="E11" s="101" t="s">
        <v>7</v>
      </c>
      <c r="F11" s="89">
        <v>4005</v>
      </c>
      <c r="G11" s="111"/>
      <c r="H11" s="92"/>
      <c r="I11" s="83"/>
      <c r="J11" s="111"/>
      <c r="K11" s="114"/>
      <c r="L11" s="81"/>
      <c r="M11" s="111"/>
      <c r="N11" s="92"/>
      <c r="O11" s="83"/>
      <c r="P11" s="111"/>
      <c r="Q11" s="97"/>
      <c r="R11" s="71"/>
      <c r="S11" s="111"/>
      <c r="T11" s="97"/>
      <c r="U11" s="71"/>
      <c r="V11" s="111"/>
      <c r="W11" s="97"/>
      <c r="X11" s="71"/>
      <c r="Y11" s="111"/>
      <c r="Z11" s="97"/>
      <c r="AA11" s="71"/>
      <c r="AB11" s="111"/>
      <c r="AC11" s="97"/>
      <c r="AD11" s="71"/>
      <c r="AE11" s="118"/>
      <c r="AF11" s="97"/>
      <c r="AG11" s="71"/>
      <c r="AH11" s="111"/>
      <c r="AI11" s="97"/>
      <c r="AJ11" s="71"/>
      <c r="AK11" s="111"/>
      <c r="AL11" s="97"/>
      <c r="AM11" s="71"/>
      <c r="AN11" s="111"/>
      <c r="AO11" s="97"/>
      <c r="AP11" s="97"/>
      <c r="AQ11" s="111"/>
      <c r="AR11" s="97"/>
      <c r="AS11" s="71"/>
    </row>
    <row r="12" spans="1:45" ht="12.75">
      <c r="A12" s="101" t="s">
        <v>102</v>
      </c>
      <c r="B12" s="104">
        <v>38161</v>
      </c>
      <c r="C12" s="105" t="s">
        <v>5</v>
      </c>
      <c r="D12" s="24" t="s">
        <v>43</v>
      </c>
      <c r="E12" s="103"/>
      <c r="F12" s="90"/>
      <c r="G12" s="111"/>
      <c r="H12" s="92"/>
      <c r="I12" s="83"/>
      <c r="J12" s="111"/>
      <c r="K12" s="114"/>
      <c r="L12" s="81"/>
      <c r="M12" s="111"/>
      <c r="N12" s="92"/>
      <c r="O12" s="83"/>
      <c r="P12" s="111"/>
      <c r="Q12" s="97"/>
      <c r="R12" s="71"/>
      <c r="S12" s="111"/>
      <c r="T12" s="97"/>
      <c r="U12" s="71"/>
      <c r="V12" s="111"/>
      <c r="W12" s="97"/>
      <c r="X12" s="71"/>
      <c r="Y12" s="111"/>
      <c r="Z12" s="97"/>
      <c r="AA12" s="71"/>
      <c r="AB12" s="111"/>
      <c r="AC12" s="97"/>
      <c r="AD12" s="71"/>
      <c r="AE12" s="118"/>
      <c r="AF12" s="97"/>
      <c r="AG12" s="71"/>
      <c r="AH12" s="111"/>
      <c r="AI12" s="97"/>
      <c r="AJ12" s="71"/>
      <c r="AK12" s="111"/>
      <c r="AL12" s="97"/>
      <c r="AM12" s="71"/>
      <c r="AN12" s="111"/>
      <c r="AO12" s="97"/>
      <c r="AP12" s="97"/>
      <c r="AQ12" s="111"/>
      <c r="AR12" s="97"/>
      <c r="AS12" s="71"/>
    </row>
    <row r="13" spans="1:45" ht="12.75">
      <c r="A13" s="101" t="s">
        <v>103</v>
      </c>
      <c r="B13" s="104">
        <v>38161</v>
      </c>
      <c r="C13" s="105" t="s">
        <v>5</v>
      </c>
      <c r="D13" s="101" t="s">
        <v>10</v>
      </c>
      <c r="E13" s="101" t="s">
        <v>11</v>
      </c>
      <c r="F13" s="89">
        <v>4059</v>
      </c>
      <c r="G13" s="111"/>
      <c r="H13" s="92"/>
      <c r="I13" s="83"/>
      <c r="J13" s="111"/>
      <c r="K13" s="114"/>
      <c r="L13" s="81"/>
      <c r="M13" s="111"/>
      <c r="N13" s="92"/>
      <c r="O13" s="83"/>
      <c r="P13" s="111"/>
      <c r="Q13" s="97"/>
      <c r="R13" s="71"/>
      <c r="S13" s="111"/>
      <c r="T13" s="97"/>
      <c r="U13" s="71"/>
      <c r="V13" s="111"/>
      <c r="W13" s="97"/>
      <c r="X13" s="71"/>
      <c r="Y13" s="111"/>
      <c r="Z13" s="97"/>
      <c r="AA13" s="71"/>
      <c r="AB13" s="111"/>
      <c r="AC13" s="97"/>
      <c r="AD13" s="71"/>
      <c r="AE13" s="118"/>
      <c r="AF13" s="97"/>
      <c r="AG13" s="71"/>
      <c r="AH13" s="111"/>
      <c r="AI13" s="97"/>
      <c r="AJ13" s="71"/>
      <c r="AK13" s="111"/>
      <c r="AL13" s="97"/>
      <c r="AM13" s="71"/>
      <c r="AN13" s="111"/>
      <c r="AO13" s="97"/>
      <c r="AP13" s="97"/>
      <c r="AQ13" s="111"/>
      <c r="AR13" s="97"/>
      <c r="AS13" s="71"/>
    </row>
    <row r="14" spans="1:45" ht="12.75">
      <c r="A14" s="101" t="s">
        <v>104</v>
      </c>
      <c r="B14" s="104">
        <v>38161</v>
      </c>
      <c r="C14" s="105" t="s">
        <v>5</v>
      </c>
      <c r="D14" s="101" t="s">
        <v>9</v>
      </c>
      <c r="E14" s="101" t="s">
        <v>7</v>
      </c>
      <c r="F14" s="89">
        <v>4057</v>
      </c>
      <c r="G14" s="110">
        <v>1</v>
      </c>
      <c r="H14" s="91">
        <f>'HNO3 Hot Leach'!G14/1000*'Horizon Thicknesses'!$J14</f>
        <v>5.723264061789584</v>
      </c>
      <c r="I14" s="82">
        <f>'HNO3 Hot Leach'!G14/1000*'Horizon Thicknesses'!$L14</f>
        <v>2.166521257747009</v>
      </c>
      <c r="J14" s="112">
        <v>0</v>
      </c>
      <c r="K14" s="115">
        <f>K$48/1000*'Horizon Thicknesses'!$J14</f>
        <v>0.08119644263141053</v>
      </c>
      <c r="L14" s="116">
        <f>K$48/1000*'Horizon Thicknesses'!$L14</f>
        <v>0.030736624610568933</v>
      </c>
      <c r="M14" s="113">
        <v>1</v>
      </c>
      <c r="N14" s="91">
        <f>'HNO3 Hot Leach'!I14/1000*'Horizon Thicknesses'!$J14</f>
        <v>0.09179900448044793</v>
      </c>
      <c r="O14" s="82">
        <f>'HNO3 Hot Leach'!I14/1000*'Horizon Thicknesses'!$L14</f>
        <v>0.03475018669411437</v>
      </c>
      <c r="P14" s="110">
        <v>1</v>
      </c>
      <c r="Q14" s="98">
        <f>'HNO3 Hot Leach'!J14/1000*'Horizon Thicknesses'!$J14</f>
        <v>26.669307478868223</v>
      </c>
      <c r="R14" s="77">
        <f>'HNO3 Hot Leach'!J14/1000*'Horizon Thicknesses'!$L14</f>
        <v>10.095571505797764</v>
      </c>
      <c r="S14" s="113">
        <v>1</v>
      </c>
      <c r="T14" s="98">
        <f>'HNO3 Hot Leach'!K14/1000*'Horizon Thicknesses'!$J14</f>
        <v>1.0128407997175848</v>
      </c>
      <c r="U14" s="77">
        <f>'HNO3 Hot Leach'!K14/1000*'Horizon Thicknesses'!$L14</f>
        <v>0.38340728290902737</v>
      </c>
      <c r="V14" s="110">
        <v>1</v>
      </c>
      <c r="W14" s="98">
        <f>'HNO3 Hot Leach'!L14/1000*'Horizon Thicknesses'!$J14</f>
        <v>0.024130923102138727</v>
      </c>
      <c r="X14" s="77">
        <f>'HNO3 Hot Leach'!L14/1000*'Horizon Thicknesses'!$L14</f>
        <v>0.009134675126888115</v>
      </c>
      <c r="Y14" s="110">
        <v>1</v>
      </c>
      <c r="Z14" s="98">
        <f>'HNO3 Hot Leach'!M14/1000*'Horizon Thicknesses'!$J14</f>
        <v>0.12831097916822326</v>
      </c>
      <c r="AA14" s="77">
        <f>'HNO3 Hot Leach'!M14/1000*'Horizon Thicknesses'!$L14</f>
        <v>0.04857166486974328</v>
      </c>
      <c r="AB14" s="113">
        <v>1</v>
      </c>
      <c r="AC14" s="98">
        <f>'HNO3 Hot Leach'!N14/1000*'Horizon Thicknesses'!$J14</f>
        <v>0.31018047405029375</v>
      </c>
      <c r="AD14" s="77">
        <f>'HNO3 Hot Leach'!N14/1000*'Horizon Thicknesses'!$L14</f>
        <v>0.11741771540030553</v>
      </c>
      <c r="AE14" s="177">
        <v>1</v>
      </c>
      <c r="AF14" s="176">
        <f>'HNO3 Hot Leach'!Q14/1000*'Horizon Thicknesses'!$J14</f>
        <v>0.6515210905612343</v>
      </c>
      <c r="AG14" s="178">
        <f>'HNO3 Hot Leach'!Q14/1000*'Horizon Thicknesses'!$L14</f>
        <v>0.2466309919186328</v>
      </c>
      <c r="AH14" s="113">
        <v>1</v>
      </c>
      <c r="AI14" s="98">
        <f>'HNO3 Hot Leach'!P14/1000*'Horizon Thicknesses'!$J14</f>
        <v>0.22351890282590234</v>
      </c>
      <c r="AJ14" s="77">
        <f>'HNO3 Hot Leach'!P14/1000*'Horizon Thicknesses'!$L14</f>
        <v>0.08461228579573606</v>
      </c>
      <c r="AK14" s="113">
        <v>1</v>
      </c>
      <c r="AL14" s="98">
        <f>'HNO3 Hot Leach'!Q14/1000*'Horizon Thicknesses'!$J14</f>
        <v>0.6515210905612343</v>
      </c>
      <c r="AM14" s="77">
        <f>'HNO3 Hot Leach'!Q14/1000*'Horizon Thicknesses'!$L14</f>
        <v>0.2466309919186328</v>
      </c>
      <c r="AN14" s="112">
        <v>0</v>
      </c>
      <c r="AO14" s="99">
        <f>AO$48/1000*'Horizon Thicknesses'!$J14</f>
        <v>0.0013532740438568429</v>
      </c>
      <c r="AP14" s="72">
        <f>AO$48/1000*'Horizon Thicknesses'!$L14</f>
        <v>0.0005122770768428157</v>
      </c>
      <c r="AQ14" s="113">
        <v>1</v>
      </c>
      <c r="AR14" s="176">
        <f>'HNO3 Hot Leach'!S14/1000*'Horizon Thicknesses'!$J14</f>
        <v>0.22667956441991188</v>
      </c>
      <c r="AS14" s="183">
        <f>'HNO3 Hot Leach'!S14/1000*'Horizon Thicknesses'!$L14</f>
        <v>0.08580874300232964</v>
      </c>
    </row>
    <row r="15" spans="1:45" ht="12.75">
      <c r="A15" s="101" t="s">
        <v>105</v>
      </c>
      <c r="B15" s="104">
        <v>38161</v>
      </c>
      <c r="C15" s="105" t="s">
        <v>5</v>
      </c>
      <c r="D15" s="101" t="s">
        <v>6</v>
      </c>
      <c r="E15" s="101" t="s">
        <v>7</v>
      </c>
      <c r="F15" s="89">
        <v>4053</v>
      </c>
      <c r="G15" s="110">
        <v>1</v>
      </c>
      <c r="H15" s="91">
        <f>'HNO3 Hot Leach'!G15/1000*'Horizon Thicknesses'!$J15</f>
        <v>1343.5981589312137</v>
      </c>
      <c r="I15" s="82">
        <f>'HNO3 Hot Leach'!G15/1000*'Horizon Thicknesses'!$L15</f>
        <v>388.47917124214194</v>
      </c>
      <c r="J15" s="112">
        <v>0</v>
      </c>
      <c r="K15" s="115">
        <f>K$48/1000*'Horizon Thicknesses'!$J15</f>
        <v>1.5584636290608336</v>
      </c>
      <c r="L15" s="116">
        <f>K$48/1000*'Horizon Thicknesses'!$L15</f>
        <v>0.4506039659284536</v>
      </c>
      <c r="M15" s="110">
        <v>1</v>
      </c>
      <c r="N15" s="91">
        <f>'HNO3 Hot Leach'!I15/1000*'Horizon Thicknesses'!$J15</f>
        <v>6.90465706973993</v>
      </c>
      <c r="O15" s="82">
        <f>'HNO3 Hot Leach'!I15/1000*'Horizon Thicknesses'!$L15</f>
        <v>1.9963673203433487</v>
      </c>
      <c r="P15" s="110">
        <v>1</v>
      </c>
      <c r="Q15" s="98">
        <f>'HNO3 Hot Leach'!J15/1000*'Horizon Thicknesses'!$J15</f>
        <v>498.1369926970884</v>
      </c>
      <c r="R15" s="77">
        <f>'HNO3 Hot Leach'!J15/1000*'Horizon Thicknesses'!$L15</f>
        <v>144.02806732181966</v>
      </c>
      <c r="S15" s="110">
        <v>1</v>
      </c>
      <c r="T15" s="98">
        <f>'HNO3 Hot Leach'!K15/1000*'Horizon Thicknesses'!$J15</f>
        <v>61.50182810057161</v>
      </c>
      <c r="U15" s="77">
        <f>'HNO3 Hot Leach'!K15/1000*'Horizon Thicknesses'!$L15</f>
        <v>17.782235746283057</v>
      </c>
      <c r="V15" s="110">
        <v>1</v>
      </c>
      <c r="W15" s="98">
        <f>'HNO3 Hot Leach'!L15/1000*'Horizon Thicknesses'!$J15</f>
        <v>60.73644508417874</v>
      </c>
      <c r="X15" s="77">
        <f>'HNO3 Hot Leach'!L15/1000*'Horizon Thicknesses'!$L15</f>
        <v>17.5609379141041</v>
      </c>
      <c r="Y15" s="110">
        <v>1</v>
      </c>
      <c r="Z15" s="98">
        <f>'HNO3 Hot Leach'!M15/1000*'Horizon Thicknesses'!$J15</f>
        <v>14.518868589808305</v>
      </c>
      <c r="AA15" s="77">
        <f>'HNO3 Hot Leach'!M15/1000*'Horizon Thicknesses'!$L15</f>
        <v>4.197890566945213</v>
      </c>
      <c r="AB15" s="110">
        <v>1</v>
      </c>
      <c r="AC15" s="98">
        <f>'HNO3 Hot Leach'!N15/1000*'Horizon Thicknesses'!$J15</f>
        <v>4.6112451981121145</v>
      </c>
      <c r="AD15" s="77">
        <f>'HNO3 Hot Leach'!N15/1000*'Horizon Thicknesses'!$L15</f>
        <v>1.333265233395286</v>
      </c>
      <c r="AE15" s="177">
        <v>1</v>
      </c>
      <c r="AF15" s="176">
        <f>'HNO3 Hot Leach'!Q15/1000*'Horizon Thicknesses'!$J15</f>
        <v>35.33952492926722</v>
      </c>
      <c r="AG15" s="178">
        <f>'HNO3 Hot Leach'!Q15/1000*'Horizon Thicknesses'!$L15</f>
        <v>10.217838767755852</v>
      </c>
      <c r="AH15" s="110">
        <v>1</v>
      </c>
      <c r="AI15" s="98">
        <f>'HNO3 Hot Leach'!P15/1000*'Horizon Thicknesses'!$J15</f>
        <v>5.397347566464787</v>
      </c>
      <c r="AJ15" s="77">
        <f>'HNO3 Hot Leach'!P15/1000*'Horizon Thicknesses'!$L15</f>
        <v>1.5605537232902509</v>
      </c>
      <c r="AK15" s="110">
        <v>1</v>
      </c>
      <c r="AL15" s="98">
        <f>'HNO3 Hot Leach'!Q15/1000*'Horizon Thicknesses'!$J15</f>
        <v>35.33952492926722</v>
      </c>
      <c r="AM15" s="77">
        <f>'HNO3 Hot Leach'!Q15/1000*'Horizon Thicknesses'!$L15</f>
        <v>10.217838767755852</v>
      </c>
      <c r="AN15" s="112">
        <v>0</v>
      </c>
      <c r="AO15" s="99">
        <f>AO$48/1000*'Horizon Thicknesses'!$J15</f>
        <v>0.02597439381768057</v>
      </c>
      <c r="AP15" s="72">
        <f>AO$48/1000*'Horizon Thicknesses'!$L15</f>
        <v>0.007510066098807563</v>
      </c>
      <c r="AQ15" s="113">
        <v>1</v>
      </c>
      <c r="AR15" s="176">
        <f>'HNO3 Hot Leach'!S15/1000*'Horizon Thicknesses'!$J15</f>
        <v>36.932885251396925</v>
      </c>
      <c r="AS15" s="183">
        <f>'HNO3 Hot Leach'!S15/1000*'Horizon Thicknesses'!$L15</f>
        <v>10.678532534948449</v>
      </c>
    </row>
    <row r="16" spans="1:45" ht="12.75">
      <c r="A16" s="101" t="s">
        <v>106</v>
      </c>
      <c r="B16" s="104">
        <v>38161</v>
      </c>
      <c r="C16" s="105" t="s">
        <v>5</v>
      </c>
      <c r="D16" s="101" t="s">
        <v>8</v>
      </c>
      <c r="E16" s="101" t="s">
        <v>7</v>
      </c>
      <c r="F16" s="89">
        <v>4055</v>
      </c>
      <c r="G16" s="111"/>
      <c r="H16" s="92"/>
      <c r="I16" s="83"/>
      <c r="J16" s="111"/>
      <c r="K16" s="114"/>
      <c r="L16" s="81"/>
      <c r="M16" s="111"/>
      <c r="N16" s="92"/>
      <c r="O16" s="83"/>
      <c r="P16" s="111"/>
      <c r="Q16" s="97"/>
      <c r="R16" s="71"/>
      <c r="S16" s="111"/>
      <c r="T16" s="97"/>
      <c r="U16" s="71"/>
      <c r="V16" s="111"/>
      <c r="W16" s="97"/>
      <c r="X16" s="71"/>
      <c r="Y16" s="111"/>
      <c r="Z16" s="97"/>
      <c r="AA16" s="71"/>
      <c r="AB16" s="111"/>
      <c r="AC16" s="97"/>
      <c r="AD16" s="71"/>
      <c r="AE16" s="118"/>
      <c r="AF16" s="97"/>
      <c r="AG16" s="71"/>
      <c r="AH16" s="111"/>
      <c r="AI16" s="97"/>
      <c r="AJ16" s="71"/>
      <c r="AK16" s="111"/>
      <c r="AL16" s="97"/>
      <c r="AM16" s="71"/>
      <c r="AN16" s="111"/>
      <c r="AO16" s="97"/>
      <c r="AP16" s="97"/>
      <c r="AQ16" s="111"/>
      <c r="AR16" s="97"/>
      <c r="AS16" s="71"/>
    </row>
    <row r="17" spans="1:45" ht="12.75">
      <c r="A17" s="101" t="s">
        <v>107</v>
      </c>
      <c r="B17" s="104">
        <v>38236</v>
      </c>
      <c r="C17" s="105" t="s">
        <v>21</v>
      </c>
      <c r="D17" s="24" t="s">
        <v>43</v>
      </c>
      <c r="E17" s="103"/>
      <c r="F17" s="90"/>
      <c r="G17" s="111"/>
      <c r="H17" s="92"/>
      <c r="I17" s="83"/>
      <c r="J17" s="111"/>
      <c r="K17" s="114"/>
      <c r="L17" s="81"/>
      <c r="M17" s="111"/>
      <c r="N17" s="92"/>
      <c r="O17" s="83"/>
      <c r="P17" s="111"/>
      <c r="Q17" s="97"/>
      <c r="R17" s="71"/>
      <c r="S17" s="111"/>
      <c r="T17" s="97"/>
      <c r="U17" s="71"/>
      <c r="V17" s="111"/>
      <c r="W17" s="97"/>
      <c r="X17" s="71"/>
      <c r="Y17" s="111"/>
      <c r="Z17" s="97"/>
      <c r="AA17" s="71"/>
      <c r="AB17" s="111"/>
      <c r="AC17" s="97"/>
      <c r="AD17" s="71"/>
      <c r="AE17" s="118"/>
      <c r="AF17" s="97"/>
      <c r="AG17" s="71"/>
      <c r="AH17" s="111"/>
      <c r="AI17" s="97"/>
      <c r="AJ17" s="71"/>
      <c r="AK17" s="111"/>
      <c r="AL17" s="97"/>
      <c r="AM17" s="71"/>
      <c r="AN17" s="111"/>
      <c r="AO17" s="97"/>
      <c r="AP17" s="97"/>
      <c r="AQ17" s="111"/>
      <c r="AR17" s="97"/>
      <c r="AS17" s="71"/>
    </row>
    <row r="18" spans="1:45" ht="12.75">
      <c r="A18" s="101" t="s">
        <v>108</v>
      </c>
      <c r="B18" s="104">
        <v>38236</v>
      </c>
      <c r="C18" s="105" t="s">
        <v>21</v>
      </c>
      <c r="D18" s="101" t="s">
        <v>10</v>
      </c>
      <c r="E18" s="101" t="s">
        <v>11</v>
      </c>
      <c r="F18" s="89">
        <v>4071</v>
      </c>
      <c r="G18" s="111"/>
      <c r="H18" s="92"/>
      <c r="I18" s="83"/>
      <c r="J18" s="111"/>
      <c r="K18" s="114"/>
      <c r="L18" s="81"/>
      <c r="M18" s="111"/>
      <c r="N18" s="92"/>
      <c r="O18" s="83"/>
      <c r="P18" s="111"/>
      <c r="Q18" s="97"/>
      <c r="R18" s="71"/>
      <c r="S18" s="111"/>
      <c r="T18" s="97"/>
      <c r="U18" s="71"/>
      <c r="V18" s="111"/>
      <c r="W18" s="97"/>
      <c r="X18" s="71"/>
      <c r="Y18" s="111"/>
      <c r="Z18" s="97"/>
      <c r="AA18" s="71"/>
      <c r="AB18" s="111"/>
      <c r="AC18" s="97"/>
      <c r="AD18" s="71"/>
      <c r="AE18" s="118"/>
      <c r="AF18" s="97"/>
      <c r="AG18" s="71"/>
      <c r="AH18" s="111"/>
      <c r="AI18" s="97"/>
      <c r="AJ18" s="71"/>
      <c r="AK18" s="111"/>
      <c r="AL18" s="97"/>
      <c r="AM18" s="71"/>
      <c r="AN18" s="111"/>
      <c r="AO18" s="97"/>
      <c r="AP18" s="97"/>
      <c r="AQ18" s="111"/>
      <c r="AR18" s="97"/>
      <c r="AS18" s="71"/>
    </row>
    <row r="19" spans="1:45" ht="12.75">
      <c r="A19" s="101" t="s">
        <v>109</v>
      </c>
      <c r="B19" s="104">
        <v>38236</v>
      </c>
      <c r="C19" s="105" t="s">
        <v>21</v>
      </c>
      <c r="D19" s="101" t="s">
        <v>9</v>
      </c>
      <c r="E19" s="101" t="s">
        <v>7</v>
      </c>
      <c r="F19" s="89">
        <v>4069</v>
      </c>
      <c r="G19" s="110">
        <v>1</v>
      </c>
      <c r="H19" s="91">
        <f>'HNO3 Hot Leach'!G19/1000*'Horizon Thicknesses'!$J19</f>
        <v>9.065327502771728</v>
      </c>
      <c r="I19" s="82">
        <f>'HNO3 Hot Leach'!G19/1000*'Horizon Thicknesses'!$L19</f>
        <v>3.431647488418058</v>
      </c>
      <c r="J19" s="112">
        <v>0</v>
      </c>
      <c r="K19" s="115">
        <f>K$48/1000*'Horizon Thicknesses'!$J19</f>
        <v>0.08119644263141053</v>
      </c>
      <c r="L19" s="116">
        <f>K$48/1000*'Horizon Thicknesses'!$L19</f>
        <v>0.030736624610568933</v>
      </c>
      <c r="M19" s="113">
        <v>1</v>
      </c>
      <c r="N19" s="91">
        <f>'HNO3 Hot Leach'!I19/1000*'Horizon Thicknesses'!$J19</f>
        <v>0.09980929763407174</v>
      </c>
      <c r="O19" s="82">
        <f>'HNO3 Hot Leach'!I19/1000*'Horizon Thicknesses'!$L19</f>
        <v>0.03778245468153357</v>
      </c>
      <c r="P19" s="110">
        <v>1</v>
      </c>
      <c r="Q19" s="98">
        <f>'HNO3 Hot Leach'!J19/1000*'Horizon Thicknesses'!$J19</f>
        <v>29.300121775494567</v>
      </c>
      <c r="R19" s="77">
        <f>'HNO3 Hot Leach'!J19/1000*'Horizon Thicknesses'!$L19</f>
        <v>11.09145690218877</v>
      </c>
      <c r="S19" s="113">
        <v>1</v>
      </c>
      <c r="T19" s="98">
        <f>'HNO3 Hot Leach'!K19/1000*'Horizon Thicknesses'!$J19</f>
        <v>0.9759216284890043</v>
      </c>
      <c r="U19" s="77">
        <f>'HNO3 Hot Leach'!K19/1000*'Horizon Thicknesses'!$L19</f>
        <v>0.36943166193093285</v>
      </c>
      <c r="V19" s="113">
        <v>1</v>
      </c>
      <c r="W19" s="98">
        <f>'HNO3 Hot Leach'!L19/1000*'Horizon Thicknesses'!$J19</f>
        <v>0.12457045977924525</v>
      </c>
      <c r="X19" s="77">
        <f>'HNO3 Hot Leach'!L19/1000*'Horizon Thicknesses'!$L19</f>
        <v>0.04715570455693155</v>
      </c>
      <c r="Y19" s="113">
        <v>1</v>
      </c>
      <c r="Z19" s="98">
        <f>'HNO3 Hot Leach'!M19/1000*'Horizon Thicknesses'!$J19</f>
        <v>0.07378729967349452</v>
      </c>
      <c r="AA19" s="77">
        <f>'HNO3 Hot Leach'!M19/1000*'Horizon Thicknesses'!$L19</f>
        <v>0.027931919891948567</v>
      </c>
      <c r="AB19" s="113">
        <v>1</v>
      </c>
      <c r="AC19" s="98">
        <f>'HNO3 Hot Leach'!N19/1000*'Horizon Thicknesses'!$J19</f>
        <v>0.3307606024757654</v>
      </c>
      <c r="AD19" s="77">
        <f>'HNO3 Hot Leach'!N19/1000*'Horizon Thicknesses'!$L19</f>
        <v>0.12520824982953574</v>
      </c>
      <c r="AE19" s="177">
        <v>1</v>
      </c>
      <c r="AF19" s="176">
        <f>'HNO3 Hot Leach'!Q19/1000*'Horizon Thicknesses'!$J19</f>
        <v>0.6555418074700802</v>
      </c>
      <c r="AG19" s="178">
        <f>'HNO3 Hot Leach'!Q19/1000*'Horizon Thicknesses'!$L19</f>
        <v>0.2481530200061633</v>
      </c>
      <c r="AH19" s="113">
        <v>1</v>
      </c>
      <c r="AI19" s="98">
        <f>'HNO3 Hot Leach'!P19/1000*'Horizon Thicknesses'!$J19</f>
        <v>0.1922403105497842</v>
      </c>
      <c r="AJ19" s="77">
        <f>'HNO3 Hot Leach'!P19/1000*'Horizon Thicknesses'!$L19</f>
        <v>0.07277188592129413</v>
      </c>
      <c r="AK19" s="113">
        <v>1</v>
      </c>
      <c r="AL19" s="98">
        <f>'HNO3 Hot Leach'!Q19/1000*'Horizon Thicknesses'!$J19</f>
        <v>0.6555418074700802</v>
      </c>
      <c r="AM19" s="77">
        <f>'HNO3 Hot Leach'!Q19/1000*'Horizon Thicknesses'!$L19</f>
        <v>0.2481530200061633</v>
      </c>
      <c r="AN19" s="112">
        <v>0</v>
      </c>
      <c r="AO19" s="99">
        <f>AO$48/1000*'Horizon Thicknesses'!$J19</f>
        <v>0.0013532740438568429</v>
      </c>
      <c r="AP19" s="72">
        <f>AO$48/1000*'Horizon Thicknesses'!$L19</f>
        <v>0.0005122770768428157</v>
      </c>
      <c r="AQ19" s="113">
        <v>1</v>
      </c>
      <c r="AR19" s="176">
        <f>'HNO3 Hot Leach'!S19/1000*'Horizon Thicknesses'!$J19</f>
        <v>0.2268123239554084</v>
      </c>
      <c r="AS19" s="183">
        <f>'HNO3 Hot Leach'!S19/1000*'Horizon Thicknesses'!$L19</f>
        <v>0.08585899865237769</v>
      </c>
    </row>
    <row r="20" spans="1:45" ht="12.75">
      <c r="A20" s="101" t="s">
        <v>110</v>
      </c>
      <c r="B20" s="104">
        <v>38236</v>
      </c>
      <c r="C20" s="105" t="s">
        <v>21</v>
      </c>
      <c r="D20" s="101" t="s">
        <v>15</v>
      </c>
      <c r="E20" s="101" t="s">
        <v>7</v>
      </c>
      <c r="F20" s="89">
        <v>4063</v>
      </c>
      <c r="G20" s="110">
        <v>1</v>
      </c>
      <c r="H20" s="91">
        <f>'HNO3 Hot Leach'!G20/1000*'Horizon Thicknesses'!$J20</f>
        <v>1084.4896828865535</v>
      </c>
      <c r="I20" s="82">
        <f>'HNO3 Hot Leach'!G20/1000*'Horizon Thicknesses'!$L20</f>
        <v>317.25961418159</v>
      </c>
      <c r="J20" s="110">
        <v>1</v>
      </c>
      <c r="K20" s="100">
        <f>'HNO3 Hot Leach'!H20/1000*'Horizon Thicknesses'!$J20</f>
        <v>1.1849699772233622</v>
      </c>
      <c r="L20" s="80">
        <f>'HNO3 Hot Leach'!H20/1000*'Horizon Thicknesses'!$L20</f>
        <v>0.3466543976610408</v>
      </c>
      <c r="M20" s="110">
        <v>1</v>
      </c>
      <c r="N20" s="91">
        <f>'HNO3 Hot Leach'!I20/1000*'Horizon Thicknesses'!$J20</f>
        <v>6.270810582298042</v>
      </c>
      <c r="O20" s="82">
        <f>'HNO3 Hot Leach'!I20/1000*'Horizon Thicknesses'!$L20</f>
        <v>1.8344802881391946</v>
      </c>
      <c r="P20" s="110">
        <v>1</v>
      </c>
      <c r="Q20" s="98">
        <f>'HNO3 Hot Leach'!J20/1000*'Horizon Thicknesses'!$J20</f>
        <v>2273.428303184613</v>
      </c>
      <c r="R20" s="77">
        <f>'HNO3 Hot Leach'!J20/1000*'Horizon Thicknesses'!$L20</f>
        <v>665.0750096746726</v>
      </c>
      <c r="S20" s="110">
        <v>1</v>
      </c>
      <c r="T20" s="98">
        <f>'HNO3 Hot Leach'!K20/1000*'Horizon Thicknesses'!$J20</f>
        <v>59.87485627395732</v>
      </c>
      <c r="U20" s="77">
        <f>'HNO3 Hot Leach'!K20/1000*'Horizon Thicknesses'!$L20</f>
        <v>17.515956214625398</v>
      </c>
      <c r="V20" s="110">
        <v>1</v>
      </c>
      <c r="W20" s="98">
        <f>'HNO3 Hot Leach'!L20/1000*'Horizon Thicknesses'!$J20</f>
        <v>109.22193222477506</v>
      </c>
      <c r="X20" s="77">
        <f>'HNO3 Hot Leach'!L20/1000*'Horizon Thicknesses'!$L20</f>
        <v>31.952086427939545</v>
      </c>
      <c r="Y20" s="110">
        <v>1</v>
      </c>
      <c r="Z20" s="98">
        <f>'HNO3 Hot Leach'!M20/1000*'Horizon Thicknesses'!$J20</f>
        <v>14.0099068392315</v>
      </c>
      <c r="AA20" s="77">
        <f>'HNO3 Hot Leach'!M20/1000*'Horizon Thicknesses'!$L20</f>
        <v>4.098496932404257</v>
      </c>
      <c r="AB20" s="110">
        <v>1</v>
      </c>
      <c r="AC20" s="98">
        <f>'HNO3 Hot Leach'!N20/1000*'Horizon Thicknesses'!$J20</f>
        <v>4.243275053452197</v>
      </c>
      <c r="AD20" s="77">
        <f>'HNO3 Hot Leach'!N20/1000*'Horizon Thicknesses'!$L20</f>
        <v>1.2413394314101882</v>
      </c>
      <c r="AE20" s="177">
        <v>1</v>
      </c>
      <c r="AF20" s="176">
        <f>'HNO3 Hot Leach'!Q20/1000*'Horizon Thicknesses'!$J20</f>
        <v>18.324334438007842</v>
      </c>
      <c r="AG20" s="178">
        <f>'HNO3 Hot Leach'!Q20/1000*'Horizon Thicknesses'!$L20</f>
        <v>5.360651526405474</v>
      </c>
      <c r="AH20" s="110">
        <v>1</v>
      </c>
      <c r="AI20" s="98">
        <f>'HNO3 Hot Leach'!P20/1000*'Horizon Thicknesses'!$J20</f>
        <v>5.101756839097635</v>
      </c>
      <c r="AJ20" s="77">
        <f>'HNO3 Hot Leach'!P20/1000*'Horizon Thicknesses'!$L20</f>
        <v>1.4924820696424463</v>
      </c>
      <c r="AK20" s="110">
        <v>1</v>
      </c>
      <c r="AL20" s="98">
        <f>'HNO3 Hot Leach'!Q20/1000*'Horizon Thicknesses'!$J20</f>
        <v>18.324334438007842</v>
      </c>
      <c r="AM20" s="77">
        <f>'HNO3 Hot Leach'!Q20/1000*'Horizon Thicknesses'!$L20</f>
        <v>5.360651526405474</v>
      </c>
      <c r="AN20" s="110">
        <v>1</v>
      </c>
      <c r="AO20" s="98">
        <f>'HNO3 Hot Leach'!R20/1000*'Horizon Thicknesses'!$J20</f>
        <v>0.03969106737444466</v>
      </c>
      <c r="AP20" s="98">
        <f>'HNO3 Hot Leach'!R20/1000*'Horizon Thicknesses'!$L20</f>
        <v>0.01161133473225404</v>
      </c>
      <c r="AQ20" s="113">
        <v>1</v>
      </c>
      <c r="AR20" s="176">
        <f>'HNO3 Hot Leach'!S20/1000*'Horizon Thicknesses'!$J20</f>
        <v>37.368491920776066</v>
      </c>
      <c r="AS20" s="183">
        <f>'HNO3 Hot Leach'!S20/1000*'Horizon Thicknesses'!$L20</f>
        <v>10.931882079115605</v>
      </c>
    </row>
    <row r="21" spans="1:45" ht="12.75">
      <c r="A21" s="101" t="s">
        <v>111</v>
      </c>
      <c r="B21" s="104">
        <v>38236</v>
      </c>
      <c r="C21" s="105" t="s">
        <v>21</v>
      </c>
      <c r="D21" s="101" t="s">
        <v>16</v>
      </c>
      <c r="E21" s="101" t="s">
        <v>7</v>
      </c>
      <c r="F21" s="89">
        <v>4065</v>
      </c>
      <c r="G21" s="110">
        <v>1</v>
      </c>
      <c r="H21" s="91">
        <f>'HNO3 Hot Leach'!G21/1000*'Horizon Thicknesses'!$J21</f>
        <v>815.2805992848678</v>
      </c>
      <c r="I21" s="82">
        <f>'HNO3 Hot Leach'!G21/1000*'Horizon Thicknesses'!$L21</f>
        <v>229.54502309962297</v>
      </c>
      <c r="J21" s="110">
        <v>1</v>
      </c>
      <c r="K21" s="100">
        <f>'HNO3 Hot Leach'!H21/1000*'Horizon Thicknesses'!$J21</f>
        <v>1.3687474793022925</v>
      </c>
      <c r="L21" s="80">
        <f>'HNO3 Hot Leach'!H21/1000*'Horizon Thicknesses'!$L21</f>
        <v>0.385375503881228</v>
      </c>
      <c r="M21" s="110">
        <v>1</v>
      </c>
      <c r="N21" s="91">
        <f>'HNO3 Hot Leach'!I21/1000*'Horizon Thicknesses'!$J21</f>
        <v>8.690351674580288</v>
      </c>
      <c r="O21" s="82">
        <f>'HNO3 Hot Leach'!I21/1000*'Horizon Thicknesses'!$L21</f>
        <v>2.4467980442993045</v>
      </c>
      <c r="P21" s="110">
        <v>1</v>
      </c>
      <c r="Q21" s="98">
        <f>'HNO3 Hot Leach'!J21/1000*'Horizon Thicknesses'!$J21</f>
        <v>1439.6949682048</v>
      </c>
      <c r="R21" s="77">
        <f>'HNO3 Hot Leach'!J21/1000*'Horizon Thicknesses'!$L21</f>
        <v>405.3510104654291</v>
      </c>
      <c r="S21" s="110">
        <v>1</v>
      </c>
      <c r="T21" s="98">
        <f>'HNO3 Hot Leach'!K21/1000*'Horizon Thicknesses'!$J21</f>
        <v>89.54114388097665</v>
      </c>
      <c r="U21" s="77">
        <f>'HNO3 Hot Leach'!K21/1000*'Horizon Thicknesses'!$L21</f>
        <v>25.210613325711872</v>
      </c>
      <c r="V21" s="110">
        <v>1</v>
      </c>
      <c r="W21" s="98">
        <f>'HNO3 Hot Leach'!L21/1000*'Horizon Thicknesses'!$J21</f>
        <v>146.73540414803074</v>
      </c>
      <c r="X21" s="77">
        <f>'HNO3 Hot Leach'!L21/1000*'Horizon Thicknesses'!$L21</f>
        <v>41.313851653329046</v>
      </c>
      <c r="Y21" s="110">
        <v>1</v>
      </c>
      <c r="Z21" s="98">
        <f>'HNO3 Hot Leach'!M21/1000*'Horizon Thicknesses'!$J21</f>
        <v>16.082620863581745</v>
      </c>
      <c r="AA21" s="77">
        <f>'HNO3 Hot Leach'!M21/1000*'Horizon Thicknesses'!$L21</f>
        <v>4.528116553823987</v>
      </c>
      <c r="AB21" s="110">
        <v>1</v>
      </c>
      <c r="AC21" s="98">
        <f>'HNO3 Hot Leach'!N21/1000*'Horizon Thicknesses'!$J21</f>
        <v>5.835019323635218</v>
      </c>
      <c r="AD21" s="77">
        <f>'HNO3 Hot Leach'!N21/1000*'Horizon Thicknesses'!$L21</f>
        <v>1.6428695183050614</v>
      </c>
      <c r="AE21" s="177">
        <v>1</v>
      </c>
      <c r="AF21" s="176">
        <f>'HNO3 Hot Leach'!Q21/1000*'Horizon Thicknesses'!$J21</f>
        <v>20.902471673960296</v>
      </c>
      <c r="AG21" s="178">
        <f>'HNO3 Hot Leach'!Q21/1000*'Horizon Thicknesses'!$L21</f>
        <v>5.8851619276198885</v>
      </c>
      <c r="AH21" s="110">
        <v>1</v>
      </c>
      <c r="AI21" s="98">
        <f>'HNO3 Hot Leach'!P21/1000*'Horizon Thicknesses'!$J21</f>
        <v>5.208600314055385</v>
      </c>
      <c r="AJ21" s="77">
        <f>'HNO3 Hot Leach'!P21/1000*'Horizon Thicknesses'!$L21</f>
        <v>1.4664991175495745</v>
      </c>
      <c r="AK21" s="110">
        <v>1</v>
      </c>
      <c r="AL21" s="98">
        <f>'HNO3 Hot Leach'!Q21/1000*'Horizon Thicknesses'!$J21</f>
        <v>20.902471673960296</v>
      </c>
      <c r="AM21" s="77">
        <f>'HNO3 Hot Leach'!Q21/1000*'Horizon Thicknesses'!$L21</f>
        <v>5.8851619276198885</v>
      </c>
      <c r="AN21" s="110">
        <v>1</v>
      </c>
      <c r="AO21" s="98">
        <f>'HNO3 Hot Leach'!R21/1000*'Horizon Thicknesses'!$J21</f>
        <v>0.06741099220875676</v>
      </c>
      <c r="AP21" s="98">
        <f>'HNO3 Hot Leach'!R21/1000*'Horizon Thicknesses'!$L21</f>
        <v>0.018979793922853847</v>
      </c>
      <c r="AQ21" s="113">
        <v>1</v>
      </c>
      <c r="AR21" s="176">
        <f>'HNO3 Hot Leach'!S21/1000*'Horizon Thicknesses'!$J21</f>
        <v>42.8507897014924</v>
      </c>
      <c r="AS21" s="183">
        <f>'HNO3 Hot Leach'!S21/1000*'Horizon Thicknesses'!$L21</f>
        <v>12.064785449934753</v>
      </c>
    </row>
    <row r="22" spans="1:45" ht="12.75">
      <c r="A22" s="101" t="s">
        <v>112</v>
      </c>
      <c r="B22" s="104">
        <v>38236</v>
      </c>
      <c r="C22" s="105" t="s">
        <v>21</v>
      </c>
      <c r="D22" s="101" t="s">
        <v>8</v>
      </c>
      <c r="E22" s="101" t="s">
        <v>7</v>
      </c>
      <c r="F22" s="89">
        <v>4067</v>
      </c>
      <c r="G22" s="111"/>
      <c r="H22" s="92"/>
      <c r="I22" s="83"/>
      <c r="J22" s="111"/>
      <c r="K22" s="114"/>
      <c r="L22" s="81"/>
      <c r="M22" s="111"/>
      <c r="N22" s="92"/>
      <c r="O22" s="83"/>
      <c r="P22" s="111"/>
      <c r="Q22" s="97"/>
      <c r="R22" s="71"/>
      <c r="S22" s="111"/>
      <c r="T22" s="97"/>
      <c r="U22" s="71"/>
      <c r="V22" s="111"/>
      <c r="W22" s="97"/>
      <c r="X22" s="71"/>
      <c r="Y22" s="111"/>
      <c r="Z22" s="97"/>
      <c r="AA22" s="71"/>
      <c r="AB22" s="111"/>
      <c r="AC22" s="97"/>
      <c r="AD22" s="71"/>
      <c r="AE22" s="118"/>
      <c r="AF22" s="97"/>
      <c r="AG22" s="71"/>
      <c r="AH22" s="111"/>
      <c r="AI22" s="97"/>
      <c r="AJ22" s="71"/>
      <c r="AK22" s="111"/>
      <c r="AL22" s="97"/>
      <c r="AM22" s="71"/>
      <c r="AN22" s="111"/>
      <c r="AO22" s="97"/>
      <c r="AP22" s="97"/>
      <c r="AQ22" s="111"/>
      <c r="AR22" s="97"/>
      <c r="AS22" s="71"/>
    </row>
    <row r="23" spans="1:45" ht="12.75">
      <c r="A23" s="101" t="s">
        <v>113</v>
      </c>
      <c r="B23" s="104">
        <v>38236</v>
      </c>
      <c r="C23" s="105" t="s">
        <v>12</v>
      </c>
      <c r="D23" s="24" t="s">
        <v>43</v>
      </c>
      <c r="E23" s="103"/>
      <c r="F23" s="90"/>
      <c r="G23" s="111"/>
      <c r="H23" s="92"/>
      <c r="I23" s="83"/>
      <c r="J23" s="111"/>
      <c r="K23" s="114"/>
      <c r="L23" s="81"/>
      <c r="M23" s="111"/>
      <c r="N23" s="92"/>
      <c r="O23" s="83"/>
      <c r="P23" s="111"/>
      <c r="Q23" s="97"/>
      <c r="R23" s="71"/>
      <c r="S23" s="111"/>
      <c r="T23" s="97"/>
      <c r="U23" s="71"/>
      <c r="V23" s="111"/>
      <c r="W23" s="97"/>
      <c r="X23" s="71"/>
      <c r="Y23" s="111"/>
      <c r="Z23" s="97"/>
      <c r="AA23" s="71"/>
      <c r="AB23" s="111"/>
      <c r="AC23" s="97"/>
      <c r="AD23" s="71"/>
      <c r="AE23" s="118"/>
      <c r="AF23" s="97"/>
      <c r="AG23" s="71"/>
      <c r="AH23" s="111"/>
      <c r="AI23" s="97"/>
      <c r="AJ23" s="71"/>
      <c r="AK23" s="111"/>
      <c r="AL23" s="97"/>
      <c r="AM23" s="71"/>
      <c r="AN23" s="111"/>
      <c r="AO23" s="97"/>
      <c r="AP23" s="97"/>
      <c r="AQ23" s="111"/>
      <c r="AR23" s="97"/>
      <c r="AS23" s="71"/>
    </row>
    <row r="24" spans="1:45" ht="12.75">
      <c r="A24" s="101" t="s">
        <v>114</v>
      </c>
      <c r="B24" s="104">
        <v>38236</v>
      </c>
      <c r="C24" s="105" t="s">
        <v>12</v>
      </c>
      <c r="D24" s="101" t="s">
        <v>10</v>
      </c>
      <c r="E24" s="101" t="s">
        <v>11</v>
      </c>
      <c r="F24" s="89">
        <v>4015</v>
      </c>
      <c r="G24" s="111"/>
      <c r="H24" s="92"/>
      <c r="I24" s="83"/>
      <c r="J24" s="111"/>
      <c r="K24" s="114"/>
      <c r="L24" s="81"/>
      <c r="M24" s="111"/>
      <c r="N24" s="92"/>
      <c r="O24" s="83"/>
      <c r="P24" s="111"/>
      <c r="Q24" s="97"/>
      <c r="R24" s="71"/>
      <c r="S24" s="111"/>
      <c r="T24" s="97"/>
      <c r="U24" s="71"/>
      <c r="V24" s="111"/>
      <c r="W24" s="97"/>
      <c r="X24" s="71"/>
      <c r="Y24" s="111"/>
      <c r="Z24" s="97"/>
      <c r="AA24" s="71"/>
      <c r="AB24" s="111"/>
      <c r="AC24" s="97"/>
      <c r="AD24" s="71"/>
      <c r="AE24" s="118"/>
      <c r="AF24" s="97"/>
      <c r="AG24" s="71"/>
      <c r="AH24" s="111"/>
      <c r="AI24" s="97"/>
      <c r="AJ24" s="71"/>
      <c r="AK24" s="111"/>
      <c r="AL24" s="97"/>
      <c r="AM24" s="71"/>
      <c r="AN24" s="111"/>
      <c r="AO24" s="97"/>
      <c r="AP24" s="97"/>
      <c r="AQ24" s="111"/>
      <c r="AR24" s="97"/>
      <c r="AS24" s="71"/>
    </row>
    <row r="25" spans="1:45" ht="12.75">
      <c r="A25" s="101" t="s">
        <v>115</v>
      </c>
      <c r="B25" s="104">
        <v>38236</v>
      </c>
      <c r="C25" s="105" t="s">
        <v>12</v>
      </c>
      <c r="D25" s="101" t="s">
        <v>14</v>
      </c>
      <c r="E25" s="101" t="s">
        <v>7</v>
      </c>
      <c r="F25" s="89">
        <v>4079</v>
      </c>
      <c r="G25" s="110">
        <v>1</v>
      </c>
      <c r="H25" s="91">
        <f>'HNO3 Hot Leach'!G25/1000*'Horizon Thicknesses'!$J25</f>
        <v>54.39935743371963</v>
      </c>
      <c r="I25" s="82">
        <f>'HNO3 Hot Leach'!G25/1000*'Horizon Thicknesses'!$L25</f>
        <v>20.592683303708867</v>
      </c>
      <c r="J25" s="112">
        <v>0</v>
      </c>
      <c r="K25" s="115">
        <f>K$48/1000*'Horizon Thicknesses'!$J25</f>
        <v>0.20299110657852634</v>
      </c>
      <c r="L25" s="116">
        <f>K$48/1000*'Horizon Thicknesses'!$L25</f>
        <v>0.07684156152642233</v>
      </c>
      <c r="M25" s="110">
        <v>1</v>
      </c>
      <c r="N25" s="91">
        <f>'HNO3 Hot Leach'!I25/1000*'Horizon Thicknesses'!$J25</f>
        <v>0.45544221665619905</v>
      </c>
      <c r="O25" s="82">
        <f>'HNO3 Hot Leach'!I25/1000*'Horizon Thicknesses'!$L25</f>
        <v>0.1724060314897543</v>
      </c>
      <c r="P25" s="110">
        <v>1</v>
      </c>
      <c r="Q25" s="98">
        <f>'HNO3 Hot Leach'!J25/1000*'Horizon Thicknesses'!$J25</f>
        <v>229.59998126573407</v>
      </c>
      <c r="R25" s="77">
        <f>'HNO3 Hot Leach'!J25/1000*'Horizon Thicknesses'!$L25</f>
        <v>86.9142564138457</v>
      </c>
      <c r="S25" s="110">
        <v>1</v>
      </c>
      <c r="T25" s="98">
        <f>'HNO3 Hot Leach'!K25/1000*'Horizon Thicknesses'!$J25</f>
        <v>3.157177087283639</v>
      </c>
      <c r="U25" s="77">
        <f>'HNO3 Hot Leach'!K25/1000*'Horizon Thicknesses'!$L25</f>
        <v>1.195138158963958</v>
      </c>
      <c r="V25" s="110">
        <v>1</v>
      </c>
      <c r="W25" s="98">
        <f>'HNO3 Hot Leach'!L25/1000*'Horizon Thicknesses'!$J25</f>
        <v>1.459684493524438</v>
      </c>
      <c r="X25" s="77">
        <f>'HNO3 Hot Leach'!L25/1000*'Horizon Thicknesses'!$L25</f>
        <v>0.552558374151886</v>
      </c>
      <c r="Y25" s="110">
        <v>1</v>
      </c>
      <c r="Z25" s="98">
        <f>'HNO3 Hot Leach'!M25/1000*'Horizon Thicknesses'!$J25</f>
        <v>0.597607604580459</v>
      </c>
      <c r="AA25" s="77">
        <f>'HNO3 Hot Leach'!M25/1000*'Horizon Thicknesses'!$L25</f>
        <v>0.22622223352559934</v>
      </c>
      <c r="AB25" s="110">
        <v>1</v>
      </c>
      <c r="AC25" s="98">
        <f>'HNO3 Hot Leach'!N25/1000*'Horizon Thicknesses'!$J25</f>
        <v>0.7504103505761522</v>
      </c>
      <c r="AD25" s="77">
        <f>'HNO3 Hot Leach'!N25/1000*'Horizon Thicknesses'!$L25</f>
        <v>0.2840651696312368</v>
      </c>
      <c r="AE25" s="177">
        <v>1</v>
      </c>
      <c r="AF25" s="176">
        <f>'HNO3 Hot Leach'!Q25/1000*'Horizon Thicknesses'!$J25</f>
        <v>2.4329094175535317</v>
      </c>
      <c r="AG25" s="178">
        <f>'HNO3 Hot Leach'!Q25/1000*'Horizon Thicknesses'!$L25</f>
        <v>0.9209692081994326</v>
      </c>
      <c r="AH25" s="110">
        <v>1</v>
      </c>
      <c r="AI25" s="98">
        <f>'HNO3 Hot Leach'!P25/1000*'Horizon Thicknesses'!$J25</f>
        <v>0.5681156935919829</v>
      </c>
      <c r="AJ25" s="77">
        <f>'HNO3 Hot Leach'!P25/1000*'Horizon Thicknesses'!$L25</f>
        <v>0.21505817549886952</v>
      </c>
      <c r="AK25" s="110">
        <v>1</v>
      </c>
      <c r="AL25" s="98">
        <f>'HNO3 Hot Leach'!Q25/1000*'Horizon Thicknesses'!$J25</f>
        <v>2.4329094175535317</v>
      </c>
      <c r="AM25" s="77">
        <f>'HNO3 Hot Leach'!Q25/1000*'Horizon Thicknesses'!$L25</f>
        <v>0.9209692081994326</v>
      </c>
      <c r="AN25" s="112">
        <v>0</v>
      </c>
      <c r="AO25" s="99">
        <f>AO$48/1000*'Horizon Thicknesses'!$J25</f>
        <v>0.003383185109642107</v>
      </c>
      <c r="AP25" s="72">
        <f>AO$48/1000*'Horizon Thicknesses'!$L25</f>
        <v>0.0012806926921070394</v>
      </c>
      <c r="AQ25" s="113">
        <v>1</v>
      </c>
      <c r="AR25" s="176">
        <f>'HNO3 Hot Leach'!S25/1000*'Horizon Thicknesses'!$J25</f>
        <v>4.139163459099428</v>
      </c>
      <c r="AS25" s="183">
        <f>'HNO3 Hot Leach'!S25/1000*'Horizon Thicknesses'!$L25</f>
        <v>1.566865607914047</v>
      </c>
    </row>
    <row r="26" spans="1:45" ht="12.75">
      <c r="A26" s="101" t="s">
        <v>116</v>
      </c>
      <c r="B26" s="104">
        <v>38236</v>
      </c>
      <c r="C26" s="105" t="s">
        <v>12</v>
      </c>
      <c r="D26" s="101" t="s">
        <v>13</v>
      </c>
      <c r="E26" s="101" t="s">
        <v>7</v>
      </c>
      <c r="F26" s="89">
        <v>4076</v>
      </c>
      <c r="G26" s="110">
        <v>1</v>
      </c>
      <c r="H26" s="91">
        <f>'HNO3 Hot Leach'!G26/1000*'Horizon Thicknesses'!$J26</f>
        <v>130.9589426056922</v>
      </c>
      <c r="I26" s="82">
        <f>'HNO3 Hot Leach'!G26/1000*'Horizon Thicknesses'!$L26</f>
        <v>36.87193529674828</v>
      </c>
      <c r="J26" s="112">
        <v>0</v>
      </c>
      <c r="K26" s="115">
        <f>K$48/1000*'Horizon Thicknesses'!$J26</f>
        <v>0.5249367372530892</v>
      </c>
      <c r="L26" s="116">
        <f>K$48/1000*'Horizon Thicknesses'!$L26</f>
        <v>0.1477977221392193</v>
      </c>
      <c r="M26" s="113">
        <v>1</v>
      </c>
      <c r="N26" s="91">
        <f>'HNO3 Hot Leach'!I26/1000*'Horizon Thicknesses'!$J26</f>
        <v>2.178110795270477</v>
      </c>
      <c r="O26" s="82">
        <f>'HNO3 Hot Leach'!I26/1000*'Horizon Thicknesses'!$L26</f>
        <v>0.6132544957557653</v>
      </c>
      <c r="P26" s="110">
        <v>1</v>
      </c>
      <c r="Q26" s="98">
        <f>'HNO3 Hot Leach'!J26/1000*'Horizon Thicknesses'!$J26</f>
        <v>229.92408882268384</v>
      </c>
      <c r="R26" s="77">
        <f>'HNO3 Hot Leach'!J26/1000*'Horizon Thicknesses'!$L26</f>
        <v>64.73590850347409</v>
      </c>
      <c r="S26" s="113">
        <v>1</v>
      </c>
      <c r="T26" s="98">
        <f>'HNO3 Hot Leach'!K26/1000*'Horizon Thicknesses'!$J26</f>
        <v>15.2675413470866</v>
      </c>
      <c r="U26" s="77">
        <f>'HNO3 Hot Leach'!K26/1000*'Horizon Thicknesses'!$L26</f>
        <v>4.298628146267101</v>
      </c>
      <c r="V26" s="110">
        <v>1</v>
      </c>
      <c r="W26" s="98">
        <f>'HNO3 Hot Leach'!L26/1000*'Horizon Thicknesses'!$J26</f>
        <v>8.50366012052635</v>
      </c>
      <c r="X26" s="77">
        <f>'HNO3 Hot Leach'!L26/1000*'Horizon Thicknesses'!$L26</f>
        <v>2.3942344028666422</v>
      </c>
      <c r="Y26" s="110">
        <v>1</v>
      </c>
      <c r="Z26" s="98">
        <f>'HNO3 Hot Leach'!M26/1000*'Horizon Thicknesses'!$J26</f>
        <v>1.6407037482385791</v>
      </c>
      <c r="AA26" s="77">
        <f>'HNO3 Hot Leach'!M26/1000*'Horizon Thicknesses'!$L26</f>
        <v>0.4619457155234834</v>
      </c>
      <c r="AB26" s="113">
        <v>1</v>
      </c>
      <c r="AC26" s="98">
        <f>'HNO3 Hot Leach'!N26/1000*'Horizon Thicknesses'!$J26</f>
        <v>2.0811503003643166</v>
      </c>
      <c r="AD26" s="77">
        <f>'HNO3 Hot Leach'!N26/1000*'Horizon Thicknesses'!$L26</f>
        <v>0.585954938937526</v>
      </c>
      <c r="AE26" s="177">
        <v>1</v>
      </c>
      <c r="AF26" s="176">
        <f>'HNO3 Hot Leach'!Q26/1000*'Horizon Thicknesses'!$J26</f>
        <v>3.0978827530113744</v>
      </c>
      <c r="AG26" s="178">
        <f>'HNO3 Hot Leach'!Q26/1000*'Horizon Thicknesses'!$L26</f>
        <v>0.8722194158964064</v>
      </c>
      <c r="AH26" s="113">
        <v>1</v>
      </c>
      <c r="AI26" s="98">
        <f>'HNO3 Hot Leach'!P26/1000*'Horizon Thicknesses'!$J26</f>
        <v>2.415692362044535</v>
      </c>
      <c r="AJ26" s="77">
        <f>'HNO3 Hot Leach'!P26/1000*'Horizon Thicknesses'!$L26</f>
        <v>0.6801463931970051</v>
      </c>
      <c r="AK26" s="113">
        <v>1</v>
      </c>
      <c r="AL26" s="98">
        <f>'HNO3 Hot Leach'!Q26/1000*'Horizon Thicknesses'!$J26</f>
        <v>3.0978827530113744</v>
      </c>
      <c r="AM26" s="77">
        <f>'HNO3 Hot Leach'!Q26/1000*'Horizon Thicknesses'!$L26</f>
        <v>0.8722194158964064</v>
      </c>
      <c r="AN26" s="110">
        <v>1</v>
      </c>
      <c r="AO26" s="98">
        <f>'HNO3 Hot Leach'!R26/1000*'Horizon Thicknesses'!$J26</f>
        <v>0.013059290950951988</v>
      </c>
      <c r="AP26" s="98">
        <f>'HNO3 Hot Leach'!R26/1000*'Horizon Thicknesses'!$L26</f>
        <v>0.0036768877434719192</v>
      </c>
      <c r="AQ26" s="113">
        <v>1</v>
      </c>
      <c r="AR26" s="176">
        <f>'HNO3 Hot Leach'!S26/1000*'Horizon Thicknesses'!$J26</f>
        <v>4.4422726104947134</v>
      </c>
      <c r="AS26" s="183">
        <f>'HNO3 Hot Leach'!S26/1000*'Horizon Thicknesses'!$L26</f>
        <v>1.2507369485858901</v>
      </c>
    </row>
    <row r="27" spans="1:45" ht="12.75">
      <c r="A27" s="101" t="s">
        <v>117</v>
      </c>
      <c r="B27" s="104">
        <v>38236</v>
      </c>
      <c r="C27" s="105" t="s">
        <v>12</v>
      </c>
      <c r="D27" s="101" t="s">
        <v>15</v>
      </c>
      <c r="E27" s="101" t="s">
        <v>7</v>
      </c>
      <c r="F27" s="89">
        <v>4081</v>
      </c>
      <c r="G27" s="110">
        <v>1</v>
      </c>
      <c r="H27" s="91">
        <f>'HNO3 Hot Leach'!G27/1000*'Horizon Thicknesses'!$J27</f>
        <v>347.5595810774664</v>
      </c>
      <c r="I27" s="82">
        <f>'HNO3 Hot Leach'!G27/1000*'Horizon Thicknesses'!$L27</f>
        <v>97.85658108006336</v>
      </c>
      <c r="J27" s="112">
        <v>0</v>
      </c>
      <c r="K27" s="115">
        <f>K$48/1000*'Horizon Thicknesses'!$J27</f>
        <v>0.4696802385948693</v>
      </c>
      <c r="L27" s="116">
        <f>K$48/1000*'Horizon Thicknesses'!$L27</f>
        <v>0.13224006717719622</v>
      </c>
      <c r="M27" s="110">
        <v>1</v>
      </c>
      <c r="N27" s="91">
        <f>'HNO3 Hot Leach'!I27/1000*'Horizon Thicknesses'!$J27</f>
        <v>2.3166159014600747</v>
      </c>
      <c r="O27" s="82">
        <f>'HNO3 Hot Leach'!I27/1000*'Horizon Thicknesses'!$L27</f>
        <v>0.6522510790518657</v>
      </c>
      <c r="P27" s="110">
        <v>1</v>
      </c>
      <c r="Q27" s="98">
        <f>'HNO3 Hot Leach'!J27/1000*'Horizon Thicknesses'!$J27</f>
        <v>877.8942367762746</v>
      </c>
      <c r="R27" s="77">
        <f>'HNO3 Hot Leach'!J27/1000*'Horizon Thicknesses'!$L27</f>
        <v>247.17410550011616</v>
      </c>
      <c r="S27" s="110">
        <v>1</v>
      </c>
      <c r="T27" s="98">
        <f>'HNO3 Hot Leach'!K27/1000*'Horizon Thicknesses'!$J27</f>
        <v>13.251869540964416</v>
      </c>
      <c r="U27" s="77">
        <f>'HNO3 Hot Leach'!K27/1000*'Horizon Thicknesses'!$L27</f>
        <v>3.731108899883185</v>
      </c>
      <c r="V27" s="110">
        <v>1</v>
      </c>
      <c r="W27" s="98">
        <f>'HNO3 Hot Leach'!L27/1000*'Horizon Thicknesses'!$J27</f>
        <v>20.62705157706756</v>
      </c>
      <c r="X27" s="77">
        <f>'HNO3 Hot Leach'!L27/1000*'Horizon Thicknesses'!$L27</f>
        <v>5.807616463446206</v>
      </c>
      <c r="Y27" s="110">
        <v>1</v>
      </c>
      <c r="Z27" s="98">
        <f>'HNO3 Hot Leach'!M27/1000*'Horizon Thicknesses'!$J27</f>
        <v>3.2530521904305356</v>
      </c>
      <c r="AA27" s="77">
        <f>'HNO3 Hot Leach'!M27/1000*'Horizon Thicknesses'!$L27</f>
        <v>0.9159078982765586</v>
      </c>
      <c r="AB27" s="110">
        <v>1</v>
      </c>
      <c r="AC27" s="98">
        <f>'HNO3 Hot Leach'!N27/1000*'Horizon Thicknesses'!$J27</f>
        <v>1.711748514560068</v>
      </c>
      <c r="AD27" s="77">
        <f>'HNO3 Hot Leach'!N27/1000*'Horizon Thicknesses'!$L27</f>
        <v>0.48194861089555313</v>
      </c>
      <c r="AE27" s="177">
        <v>1</v>
      </c>
      <c r="AF27" s="176">
        <f>'HNO3 Hot Leach'!Q27/1000*'Horizon Thicknesses'!$J27</f>
        <v>7.3511694794625315</v>
      </c>
      <c r="AG27" s="178">
        <f>'HNO3 Hot Leach'!Q27/1000*'Horizon Thicknesses'!$L27</f>
        <v>2.0697467466447903</v>
      </c>
      <c r="AH27" s="110">
        <v>1</v>
      </c>
      <c r="AI27" s="98">
        <f>'HNO3 Hot Leach'!P27/1000*'Horizon Thicknesses'!$J27</f>
        <v>1.5894848345513235</v>
      </c>
      <c r="AJ27" s="77">
        <f>'HNO3 Hot Leach'!P27/1000*'Horizon Thicknesses'!$L27</f>
        <v>0.4475248563299843</v>
      </c>
      <c r="AK27" s="110">
        <v>1</v>
      </c>
      <c r="AL27" s="98">
        <f>'HNO3 Hot Leach'!Q27/1000*'Horizon Thicknesses'!$J27</f>
        <v>7.3511694794625315</v>
      </c>
      <c r="AM27" s="77">
        <f>'HNO3 Hot Leach'!Q27/1000*'Horizon Thicknesses'!$L27</f>
        <v>2.0697467466447903</v>
      </c>
      <c r="AN27" s="110">
        <v>1</v>
      </c>
      <c r="AO27" s="98">
        <f>'HNO3 Hot Leach'!R27/1000*'Horizon Thicknesses'!$J27</f>
        <v>0.01271356906870934</v>
      </c>
      <c r="AP27" s="98">
        <f>'HNO3 Hot Leach'!R27/1000*'Horizon Thicknesses'!$L27</f>
        <v>0.003579548572743406</v>
      </c>
      <c r="AQ27" s="113">
        <v>1</v>
      </c>
      <c r="AR27" s="176">
        <f>'HNO3 Hot Leach'!S27/1000*'Horizon Thicknesses'!$J27</f>
        <v>14.649033595429358</v>
      </c>
      <c r="AS27" s="183">
        <f>'HNO3 Hot Leach'!S27/1000*'Horizon Thicknesses'!$L27</f>
        <v>4.124485187062635</v>
      </c>
    </row>
    <row r="28" spans="1:45" ht="12.75">
      <c r="A28" s="101" t="s">
        <v>118</v>
      </c>
      <c r="B28" s="104">
        <v>38236</v>
      </c>
      <c r="C28" s="105" t="s">
        <v>12</v>
      </c>
      <c r="D28" s="101" t="s">
        <v>16</v>
      </c>
      <c r="E28" s="101" t="s">
        <v>7</v>
      </c>
      <c r="F28" s="89">
        <v>4083</v>
      </c>
      <c r="G28" s="110">
        <v>1</v>
      </c>
      <c r="H28" s="91">
        <f>'HNO3 Hot Leach'!G28/1000*'Horizon Thicknesses'!$J28</f>
        <v>551.9696236135953</v>
      </c>
      <c r="I28" s="82">
        <f>'HNO3 Hot Leach'!G28/1000*'Horizon Thicknesses'!$L28</f>
        <v>155.40892315334236</v>
      </c>
      <c r="J28" s="112">
        <v>0</v>
      </c>
      <c r="K28" s="115">
        <f>K$48/1000*'Horizon Thicknesses'!$J28</f>
        <v>1.1327582224935082</v>
      </c>
      <c r="L28" s="116">
        <f>K$48/1000*'Horizon Thicknesses'!$L28</f>
        <v>0.3189319267214732</v>
      </c>
      <c r="M28" s="110">
        <v>1</v>
      </c>
      <c r="N28" s="91">
        <f>'HNO3 Hot Leach'!I28/1000*'Horizon Thicknesses'!$J28</f>
        <v>10.06798286877446</v>
      </c>
      <c r="O28" s="82">
        <f>'HNO3 Hot Leach'!I28/1000*'Horizon Thicknesses'!$L28</f>
        <v>2.8346747882957213</v>
      </c>
      <c r="P28" s="110">
        <v>1</v>
      </c>
      <c r="Q28" s="98">
        <f>'HNO3 Hot Leach'!J28/1000*'Horizon Thicknesses'!$J28</f>
        <v>1528.636615480953</v>
      </c>
      <c r="R28" s="77">
        <f>'HNO3 Hot Leach'!J28/1000*'Horizon Thicknesses'!$L28</f>
        <v>430.3928334849285</v>
      </c>
      <c r="S28" s="110">
        <v>1</v>
      </c>
      <c r="T28" s="98">
        <f>'HNO3 Hot Leach'!K28/1000*'Horizon Thicknesses'!$J28</f>
        <v>66.89258877500964</v>
      </c>
      <c r="U28" s="77">
        <f>'HNO3 Hot Leach'!K28/1000*'Horizon Thicknesses'!$L28</f>
        <v>18.833835674517278</v>
      </c>
      <c r="V28" s="110">
        <v>1</v>
      </c>
      <c r="W28" s="98">
        <f>'HNO3 Hot Leach'!L28/1000*'Horizon Thicknesses'!$J28</f>
        <v>114.46207669355668</v>
      </c>
      <c r="X28" s="77">
        <f>'HNO3 Hot Leach'!L28/1000*'Horizon Thicknesses'!$L28</f>
        <v>32.227186641875186</v>
      </c>
      <c r="Y28" s="110">
        <v>1</v>
      </c>
      <c r="Z28" s="98">
        <f>'HNO3 Hot Leach'!M28/1000*'Horizon Thicknesses'!$J28</f>
        <v>31.749738151090273</v>
      </c>
      <c r="AA28" s="77">
        <f>'HNO3 Hot Leach'!M28/1000*'Horizon Thicknesses'!$L28</f>
        <v>8.939246663899203</v>
      </c>
      <c r="AB28" s="110">
        <v>1</v>
      </c>
      <c r="AC28" s="98">
        <f>'HNO3 Hot Leach'!N28/1000*'Horizon Thicknesses'!$J28</f>
        <v>4.307054875486103</v>
      </c>
      <c r="AD28" s="77">
        <f>'HNO3 Hot Leach'!N28/1000*'Horizon Thicknesses'!$L28</f>
        <v>1.2126659358164757</v>
      </c>
      <c r="AE28" s="177">
        <v>1</v>
      </c>
      <c r="AF28" s="176">
        <f>'HNO3 Hot Leach'!Q28/1000*'Horizon Thicknesses'!$J28</f>
        <v>12.220448267725754</v>
      </c>
      <c r="AG28" s="178">
        <f>'HNO3 Hot Leach'!Q28/1000*'Horizon Thicknesses'!$L28</f>
        <v>3.4407087355732706</v>
      </c>
      <c r="AH28" s="110">
        <v>1</v>
      </c>
      <c r="AI28" s="98">
        <f>'HNO3 Hot Leach'!P28/1000*'Horizon Thicknesses'!$J28</f>
        <v>4.086585099453555</v>
      </c>
      <c r="AJ28" s="77">
        <f>'HNO3 Hot Leach'!P28/1000*'Horizon Thicknesses'!$L28</f>
        <v>1.15059192120537</v>
      </c>
      <c r="AK28" s="110">
        <v>1</v>
      </c>
      <c r="AL28" s="98">
        <f>'HNO3 Hot Leach'!Q28/1000*'Horizon Thicknesses'!$J28</f>
        <v>12.220448267725754</v>
      </c>
      <c r="AM28" s="77">
        <f>'HNO3 Hot Leach'!Q28/1000*'Horizon Thicknesses'!$L28</f>
        <v>3.4407087355732706</v>
      </c>
      <c r="AN28" s="110">
        <v>1</v>
      </c>
      <c r="AO28" s="98">
        <f>'HNO3 Hot Leach'!R28/1000*'Horizon Thicknesses'!$J28</f>
        <v>0.07912220406435576</v>
      </c>
      <c r="AP28" s="98">
        <f>'HNO3 Hot Leach'!R28/1000*'Horizon Thicknesses'!$L28</f>
        <v>0.022277125416177837</v>
      </c>
      <c r="AQ28" s="113">
        <v>1</v>
      </c>
      <c r="AR28" s="176">
        <f>'HNO3 Hot Leach'!S28/1000*'Horizon Thicknesses'!$J28</f>
        <v>39.26832787822347</v>
      </c>
      <c r="AS28" s="183">
        <f>'HNO3 Hot Leach'!S28/1000*'Horizon Thicknesses'!$L28</f>
        <v>11.056131150179423</v>
      </c>
    </row>
    <row r="29" spans="1:45" ht="12.75">
      <c r="A29" s="101" t="s">
        <v>119</v>
      </c>
      <c r="B29" s="104">
        <v>38236</v>
      </c>
      <c r="C29" s="105" t="s">
        <v>12</v>
      </c>
      <c r="D29" s="101" t="s">
        <v>8</v>
      </c>
      <c r="E29" s="101" t="s">
        <v>7</v>
      </c>
      <c r="F29" s="89">
        <v>4013</v>
      </c>
      <c r="G29" s="111"/>
      <c r="H29" s="92"/>
      <c r="I29" s="83"/>
      <c r="J29" s="111"/>
      <c r="K29" s="114"/>
      <c r="L29" s="81"/>
      <c r="M29" s="111"/>
      <c r="N29" s="92"/>
      <c r="O29" s="83"/>
      <c r="P29" s="111"/>
      <c r="Q29" s="97"/>
      <c r="R29" s="71"/>
      <c r="S29" s="111"/>
      <c r="T29" s="97"/>
      <c r="U29" s="71"/>
      <c r="V29" s="111"/>
      <c r="W29" s="97"/>
      <c r="X29" s="71"/>
      <c r="Y29" s="111"/>
      <c r="Z29" s="97"/>
      <c r="AA29" s="71"/>
      <c r="AB29" s="111"/>
      <c r="AC29" s="97"/>
      <c r="AD29" s="71"/>
      <c r="AE29" s="118"/>
      <c r="AF29" s="97"/>
      <c r="AG29" s="71"/>
      <c r="AH29" s="111"/>
      <c r="AI29" s="97"/>
      <c r="AJ29" s="71"/>
      <c r="AK29" s="111"/>
      <c r="AL29" s="97"/>
      <c r="AM29" s="71"/>
      <c r="AN29" s="111"/>
      <c r="AO29" s="97"/>
      <c r="AP29" s="97"/>
      <c r="AQ29" s="111"/>
      <c r="AR29" s="97"/>
      <c r="AS29" s="71"/>
    </row>
    <row r="30" spans="1:45" ht="12.75">
      <c r="A30" s="101" t="s">
        <v>120</v>
      </c>
      <c r="B30" s="104">
        <v>38247</v>
      </c>
      <c r="C30" s="105" t="s">
        <v>20</v>
      </c>
      <c r="D30" s="24" t="s">
        <v>43</v>
      </c>
      <c r="E30" s="103"/>
      <c r="F30" s="90"/>
      <c r="G30" s="111"/>
      <c r="H30" s="92"/>
      <c r="I30" s="83"/>
      <c r="J30" s="111"/>
      <c r="K30" s="114"/>
      <c r="L30" s="81"/>
      <c r="M30" s="111"/>
      <c r="N30" s="92"/>
      <c r="O30" s="83"/>
      <c r="P30" s="111"/>
      <c r="Q30" s="97"/>
      <c r="R30" s="71"/>
      <c r="S30" s="111"/>
      <c r="T30" s="97"/>
      <c r="U30" s="71"/>
      <c r="V30" s="111"/>
      <c r="W30" s="97"/>
      <c r="X30" s="71"/>
      <c r="Y30" s="111"/>
      <c r="Z30" s="97"/>
      <c r="AA30" s="71"/>
      <c r="AB30" s="111"/>
      <c r="AC30" s="97"/>
      <c r="AD30" s="71"/>
      <c r="AE30" s="118"/>
      <c r="AF30" s="97"/>
      <c r="AG30" s="71"/>
      <c r="AH30" s="111"/>
      <c r="AI30" s="97"/>
      <c r="AJ30" s="71"/>
      <c r="AK30" s="111"/>
      <c r="AL30" s="97"/>
      <c r="AM30" s="71"/>
      <c r="AN30" s="111"/>
      <c r="AO30" s="97"/>
      <c r="AP30" s="97"/>
      <c r="AQ30" s="111"/>
      <c r="AR30" s="97"/>
      <c r="AS30" s="71"/>
    </row>
    <row r="31" spans="1:45" ht="12.75">
      <c r="A31" s="101" t="s">
        <v>121</v>
      </c>
      <c r="B31" s="104">
        <v>38247</v>
      </c>
      <c r="C31" s="105" t="s">
        <v>20</v>
      </c>
      <c r="D31" s="101" t="s">
        <v>10</v>
      </c>
      <c r="E31" s="101" t="s">
        <v>11</v>
      </c>
      <c r="F31" s="89">
        <v>4049</v>
      </c>
      <c r="G31" s="111"/>
      <c r="H31" s="92"/>
      <c r="I31" s="83"/>
      <c r="J31" s="111"/>
      <c r="K31" s="114"/>
      <c r="L31" s="81"/>
      <c r="M31" s="111"/>
      <c r="N31" s="92"/>
      <c r="O31" s="83"/>
      <c r="P31" s="111"/>
      <c r="Q31" s="97"/>
      <c r="R31" s="71"/>
      <c r="S31" s="111"/>
      <c r="T31" s="97"/>
      <c r="U31" s="71"/>
      <c r="V31" s="111"/>
      <c r="W31" s="97"/>
      <c r="X31" s="71"/>
      <c r="Y31" s="111"/>
      <c r="Z31" s="97"/>
      <c r="AA31" s="71"/>
      <c r="AB31" s="111"/>
      <c r="AC31" s="97"/>
      <c r="AD31" s="71"/>
      <c r="AE31" s="118"/>
      <c r="AF31" s="97"/>
      <c r="AG31" s="71"/>
      <c r="AH31" s="111"/>
      <c r="AI31" s="97"/>
      <c r="AJ31" s="71"/>
      <c r="AK31" s="111"/>
      <c r="AL31" s="97"/>
      <c r="AM31" s="71"/>
      <c r="AN31" s="111"/>
      <c r="AO31" s="97"/>
      <c r="AP31" s="97"/>
      <c r="AQ31" s="111"/>
      <c r="AR31" s="97"/>
      <c r="AS31" s="71"/>
    </row>
    <row r="32" spans="1:45" ht="12.75">
      <c r="A32" s="101" t="s">
        <v>122</v>
      </c>
      <c r="B32" s="104">
        <v>38247</v>
      </c>
      <c r="C32" s="105" t="s">
        <v>20</v>
      </c>
      <c r="D32" s="101" t="s">
        <v>9</v>
      </c>
      <c r="E32" s="101" t="s">
        <v>7</v>
      </c>
      <c r="F32" s="89">
        <v>4047</v>
      </c>
      <c r="G32" s="110">
        <v>1</v>
      </c>
      <c r="H32" s="91">
        <f>'HNO3 Hot Leach'!G32/1000*'Horizon Thicknesses'!$J32</f>
        <v>67.82870074390853</v>
      </c>
      <c r="I32" s="82">
        <f>'HNO3 Hot Leach'!G32/1000*'Horizon Thicknesses'!$L32</f>
        <v>21.88382772972193</v>
      </c>
      <c r="J32" s="112">
        <v>0</v>
      </c>
      <c r="K32" s="115">
        <f>K$48/1000*'Horizon Thicknesses'!$J32</f>
        <v>0.4792735998696259</v>
      </c>
      <c r="L32" s="116">
        <f>K$48/1000*'Horizon Thicknesses'!$L32</f>
        <v>0.15462983633653773</v>
      </c>
      <c r="M32" s="110">
        <v>1</v>
      </c>
      <c r="N32" s="91">
        <f>'HNO3 Hot Leach'!I32/1000*'Horizon Thicknesses'!$J32</f>
        <v>0.3835214961202776</v>
      </c>
      <c r="O32" s="82">
        <f>'HNO3 Hot Leach'!I32/1000*'Horizon Thicknesses'!$L32</f>
        <v>0.12373697652604841</v>
      </c>
      <c r="P32" s="110">
        <v>1</v>
      </c>
      <c r="Q32" s="98">
        <f>'HNO3 Hot Leach'!J32/1000*'Horizon Thicknesses'!$J32</f>
        <v>594.3643497839498</v>
      </c>
      <c r="R32" s="77">
        <f>'HNO3 Hot Leach'!J32/1000*'Horizon Thicknesses'!$L32</f>
        <v>191.76199597967764</v>
      </c>
      <c r="S32" s="110">
        <v>1</v>
      </c>
      <c r="T32" s="98">
        <f>'HNO3 Hot Leach'!K32/1000*'Horizon Thicknesses'!$J32</f>
        <v>3.9869088030111235</v>
      </c>
      <c r="U32" s="77">
        <f>'HNO3 Hot Leach'!K32/1000*'Horizon Thicknesses'!$L32</f>
        <v>1.2863113175147</v>
      </c>
      <c r="V32" s="110">
        <v>1</v>
      </c>
      <c r="W32" s="98">
        <f>'HNO3 Hot Leach'!L32/1000*'Horizon Thicknesses'!$J32</f>
        <v>4.185422559561313</v>
      </c>
      <c r="X32" s="77">
        <f>'HNO3 Hot Leach'!L32/1000*'Horizon Thicknesses'!$L32</f>
        <v>1.350358554195913</v>
      </c>
      <c r="Y32" s="110">
        <v>1</v>
      </c>
      <c r="Z32" s="98">
        <f>'HNO3 Hot Leach'!M32/1000*'Horizon Thicknesses'!$J32</f>
        <v>1.0292963740069878</v>
      </c>
      <c r="AA32" s="77">
        <f>'HNO3 Hot Leach'!M32/1000*'Horizon Thicknesses'!$L32</f>
        <v>0.33208574371254257</v>
      </c>
      <c r="AB32" s="110">
        <v>1</v>
      </c>
      <c r="AC32" s="98">
        <f>'HNO3 Hot Leach'!N32/1000*'Horizon Thicknesses'!$J32</f>
        <v>0.82821720971681</v>
      </c>
      <c r="AD32" s="77">
        <f>'HNO3 Hot Leach'!N32/1000*'Horizon Thicknesses'!$L32</f>
        <v>0.26721081992509427</v>
      </c>
      <c r="AE32" s="177">
        <v>1</v>
      </c>
      <c r="AF32" s="176">
        <f>'HNO3 Hot Leach'!Q32/1000*'Horizon Thicknesses'!$J32</f>
        <v>2.2535517615246348</v>
      </c>
      <c r="AG32" s="178">
        <f>'HNO3 Hot Leach'!Q32/1000*'Horizon Thicknesses'!$L32</f>
        <v>0.7270718440474542</v>
      </c>
      <c r="AH32" s="110">
        <v>1</v>
      </c>
      <c r="AI32" s="98">
        <f>'HNO3 Hot Leach'!P32/1000*'Horizon Thicknesses'!$J32</f>
        <v>1.011555203017462</v>
      </c>
      <c r="AJ32" s="77">
        <f>'HNO3 Hot Leach'!P32/1000*'Horizon Thicknesses'!$L32</f>
        <v>0.3263618432780618</v>
      </c>
      <c r="AK32" s="110">
        <v>1</v>
      </c>
      <c r="AL32" s="98">
        <f>'HNO3 Hot Leach'!Q32/1000*'Horizon Thicknesses'!$J32</f>
        <v>2.2535517615246348</v>
      </c>
      <c r="AM32" s="77">
        <f>'HNO3 Hot Leach'!Q32/1000*'Horizon Thicknesses'!$L32</f>
        <v>0.7270718440474542</v>
      </c>
      <c r="AN32" s="110">
        <v>1</v>
      </c>
      <c r="AO32" s="98">
        <f>'HNO3 Hot Leach'!R32/1000*'Horizon Thicknesses'!$J32</f>
        <v>0.01900809972360733</v>
      </c>
      <c r="AP32" s="98">
        <f>'HNO3 Hot Leach'!R32/1000*'Horizon Thicknesses'!$L32</f>
        <v>0.006132654396423106</v>
      </c>
      <c r="AQ32" s="113">
        <v>1</v>
      </c>
      <c r="AR32" s="176">
        <f>'HNO3 Hot Leach'!S32/1000*'Horizon Thicknesses'!$J32</f>
        <v>4.650616849371827</v>
      </c>
      <c r="AS32" s="183">
        <f>'HNO3 Hot Leach'!S32/1000*'Horizon Thicknesses'!$L32</f>
        <v>1.5004459300030917</v>
      </c>
    </row>
    <row r="33" spans="1:45" ht="12.75">
      <c r="A33" s="101" t="s">
        <v>123</v>
      </c>
      <c r="B33" s="104">
        <v>38247</v>
      </c>
      <c r="C33" s="105" t="s">
        <v>20</v>
      </c>
      <c r="D33" s="101" t="s">
        <v>18</v>
      </c>
      <c r="E33" s="101" t="s">
        <v>7</v>
      </c>
      <c r="F33" s="89">
        <v>4041</v>
      </c>
      <c r="G33" s="110">
        <v>1</v>
      </c>
      <c r="H33" s="91">
        <f>'HNO3 Hot Leach'!G33/1000*'Horizon Thicknesses'!$J33</f>
        <v>696.0687053719719</v>
      </c>
      <c r="I33" s="82">
        <f>'HNO3 Hot Leach'!G33/1000*'Horizon Thicknesses'!$L33</f>
        <v>195.98050927948722</v>
      </c>
      <c r="J33" s="110">
        <v>1</v>
      </c>
      <c r="K33" s="100">
        <f>'HNO3 Hot Leach'!H33/1000*'Horizon Thicknesses'!$J33</f>
        <v>0.9097395842055894</v>
      </c>
      <c r="L33" s="80">
        <f>'HNO3 Hot Leach'!H33/1000*'Horizon Thicknesses'!$L33</f>
        <v>0.2561402712811854</v>
      </c>
      <c r="M33" s="110">
        <v>1</v>
      </c>
      <c r="N33" s="91">
        <f>'HNO3 Hot Leach'!I33/1000*'Horizon Thicknesses'!$J33</f>
        <v>2.2634095971610178</v>
      </c>
      <c r="O33" s="82">
        <f>'HNO3 Hot Leach'!I33/1000*'Horizon Thicknesses'!$L33</f>
        <v>0.6372706632783448</v>
      </c>
      <c r="P33" s="110">
        <v>1</v>
      </c>
      <c r="Q33" s="98">
        <f>'HNO3 Hot Leach'!J33/1000*'Horizon Thicknesses'!$J33</f>
        <v>2658.405919238231</v>
      </c>
      <c r="R33" s="77">
        <f>'HNO3 Hot Leach'!J33/1000*'Horizon Thicknesses'!$L33</f>
        <v>748.4832199796961</v>
      </c>
      <c r="S33" s="110">
        <v>1</v>
      </c>
      <c r="T33" s="98">
        <f>'HNO3 Hot Leach'!K33/1000*'Horizon Thicknesses'!$J33</f>
        <v>77.64055697870947</v>
      </c>
      <c r="U33" s="77">
        <f>'HNO3 Hot Leach'!K33/1000*'Horizon Thicknesses'!$L33</f>
        <v>21.859962644491016</v>
      </c>
      <c r="V33" s="110">
        <v>1</v>
      </c>
      <c r="W33" s="98">
        <f>'HNO3 Hot Leach'!L33/1000*'Horizon Thicknesses'!$J33</f>
        <v>186.4018152697183</v>
      </c>
      <c r="X33" s="77">
        <f>'HNO3 Hot Leach'!L33/1000*'Horizon Thicknesses'!$L33</f>
        <v>52.482064493415834</v>
      </c>
      <c r="Y33" s="110">
        <v>1</v>
      </c>
      <c r="Z33" s="98">
        <f>'HNO3 Hot Leach'!M33/1000*'Horizon Thicknesses'!$J33</f>
        <v>6.642202385793616</v>
      </c>
      <c r="AA33" s="77">
        <f>'HNO3 Hot Leach'!M33/1000*'Horizon Thicknesses'!$L33</f>
        <v>1.8701346523108238</v>
      </c>
      <c r="AB33" s="110">
        <v>1</v>
      </c>
      <c r="AC33" s="98">
        <f>'HNO3 Hot Leach'!N33/1000*'Horizon Thicknesses'!$J33</f>
        <v>1.6357370756425997</v>
      </c>
      <c r="AD33" s="77">
        <f>'HNO3 Hot Leach'!N33/1000*'Horizon Thicknesses'!$L33</f>
        <v>0.4605473319770426</v>
      </c>
      <c r="AE33" s="177">
        <v>1</v>
      </c>
      <c r="AF33" s="176">
        <f>'HNO3 Hot Leach'!Q33/1000*'Horizon Thicknesses'!$J33</f>
        <v>16.222074836356754</v>
      </c>
      <c r="AG33" s="178">
        <f>'HNO3 Hot Leach'!Q33/1000*'Horizon Thicknesses'!$L33</f>
        <v>4.567380293731514</v>
      </c>
      <c r="AH33" s="110">
        <v>1</v>
      </c>
      <c r="AI33" s="98">
        <f>'HNO3 Hot Leach'!P33/1000*'Horizon Thicknesses'!$J33</f>
        <v>2.4557281175481247</v>
      </c>
      <c r="AJ33" s="77">
        <f>'HNO3 Hot Leach'!P33/1000*'Horizon Thicknesses'!$L33</f>
        <v>0.69141859620287</v>
      </c>
      <c r="AK33" s="110">
        <v>1</v>
      </c>
      <c r="AL33" s="98">
        <f>'HNO3 Hot Leach'!Q33/1000*'Horizon Thicknesses'!$J33</f>
        <v>16.222074836356754</v>
      </c>
      <c r="AM33" s="77">
        <f>'HNO3 Hot Leach'!Q33/1000*'Horizon Thicknesses'!$L33</f>
        <v>4.567380293731514</v>
      </c>
      <c r="AN33" s="110">
        <v>1</v>
      </c>
      <c r="AO33" s="98">
        <f>'HNO3 Hot Leach'!R33/1000*'Horizon Thicknesses'!$J33</f>
        <v>0.03296321600168406</v>
      </c>
      <c r="AP33" s="98">
        <f>'HNO3 Hot Leach'!R33/1000*'Horizon Thicknesses'!$L33</f>
        <v>0.009280905476202308</v>
      </c>
      <c r="AQ33" s="113">
        <v>1</v>
      </c>
      <c r="AR33" s="176">
        <f>'HNO3 Hot Leach'!S33/1000*'Horizon Thicknesses'!$J33</f>
        <v>22.894515215968358</v>
      </c>
      <c r="AS33" s="183">
        <f>'HNO3 Hot Leach'!S33/1000*'Horizon Thicknesses'!$L33</f>
        <v>6.446028555952257</v>
      </c>
    </row>
    <row r="34" spans="1:45" ht="12.75">
      <c r="A34" s="101" t="s">
        <v>124</v>
      </c>
      <c r="B34" s="104">
        <v>38247</v>
      </c>
      <c r="C34" s="105" t="s">
        <v>20</v>
      </c>
      <c r="D34" s="101" t="s">
        <v>6</v>
      </c>
      <c r="E34" s="101" t="s">
        <v>7</v>
      </c>
      <c r="F34" s="89">
        <v>4043</v>
      </c>
      <c r="G34" s="110">
        <v>1</v>
      </c>
      <c r="H34" s="91">
        <f>'HNO3 Hot Leach'!G34/1000*'Horizon Thicknesses'!$J34</f>
        <v>1501.0723811643713</v>
      </c>
      <c r="I34" s="82">
        <f>'HNO3 Hot Leach'!G34/1000*'Horizon Thicknesses'!$L34</f>
        <v>422.6320296482211</v>
      </c>
      <c r="J34" s="110">
        <v>1</v>
      </c>
      <c r="K34" s="100">
        <f>'HNO3 Hot Leach'!H34/1000*'Horizon Thicknesses'!$J34</f>
        <v>3.005393338875216</v>
      </c>
      <c r="L34" s="80">
        <f>'HNO3 Hot Leach'!H34/1000*'Horizon Thicknesses'!$L34</f>
        <v>0.8461787070619541</v>
      </c>
      <c r="M34" s="110">
        <v>1</v>
      </c>
      <c r="N34" s="91">
        <f>'HNO3 Hot Leach'!I34/1000*'Horizon Thicknesses'!$J34</f>
        <v>5.0979368348924625</v>
      </c>
      <c r="O34" s="82">
        <f>'HNO3 Hot Leach'!I34/1000*'Horizon Thicknesses'!$L34</f>
        <v>1.435341438950305</v>
      </c>
      <c r="P34" s="110">
        <v>1</v>
      </c>
      <c r="Q34" s="98">
        <f>'HNO3 Hot Leach'!J34/1000*'Horizon Thicknesses'!$J34</f>
        <v>4849.095605953</v>
      </c>
      <c r="R34" s="77">
        <f>'HNO3 Hot Leach'!J34/1000*'Horizon Thicknesses'!$L34</f>
        <v>1365.2793453654076</v>
      </c>
      <c r="S34" s="110">
        <v>1</v>
      </c>
      <c r="T34" s="98">
        <f>'HNO3 Hot Leach'!K34/1000*'Horizon Thicknesses'!$J34</f>
        <v>285.78351658409605</v>
      </c>
      <c r="U34" s="77">
        <f>'HNO3 Hot Leach'!K34/1000*'Horizon Thicknesses'!$L34</f>
        <v>80.46332020328919</v>
      </c>
      <c r="V34" s="110">
        <v>1</v>
      </c>
      <c r="W34" s="98">
        <f>'HNO3 Hot Leach'!L34/1000*'Horizon Thicknesses'!$J34</f>
        <v>594.7281489521558</v>
      </c>
      <c r="X34" s="77">
        <f>'HNO3 Hot Leach'!L34/1000*'Horizon Thicknesses'!$L34</f>
        <v>167.44773125837398</v>
      </c>
      <c r="Y34" s="110">
        <v>1</v>
      </c>
      <c r="Z34" s="98">
        <f>'HNO3 Hot Leach'!M34/1000*'Horizon Thicknesses'!$J34</f>
        <v>20.646996175580675</v>
      </c>
      <c r="AA34" s="77">
        <f>'HNO3 Hot Leach'!M34/1000*'Horizon Thicknesses'!$L34</f>
        <v>5.813231932930481</v>
      </c>
      <c r="AB34" s="110">
        <v>1</v>
      </c>
      <c r="AC34" s="98">
        <f>'HNO3 Hot Leach'!N34/1000*'Horizon Thicknesses'!$J34</f>
        <v>4.6269612570206515</v>
      </c>
      <c r="AD34" s="77">
        <f>'HNO3 Hot Leach'!N34/1000*'Horizon Thicknesses'!$L34</f>
        <v>1.3027366645980476</v>
      </c>
      <c r="AE34" s="177">
        <v>1</v>
      </c>
      <c r="AF34" s="176">
        <f>'HNO3 Hot Leach'!Q34/1000*'Horizon Thicknesses'!$J34</f>
        <v>34.049919619116004</v>
      </c>
      <c r="AG34" s="178">
        <f>'HNO3 Hot Leach'!Q34/1000*'Horizon Thicknesses'!$L34</f>
        <v>9.586870572372467</v>
      </c>
      <c r="AH34" s="110">
        <v>1</v>
      </c>
      <c r="AI34" s="98">
        <f>'HNO3 Hot Leach'!P34/1000*'Horizon Thicknesses'!$J34</f>
        <v>4.737123535564793</v>
      </c>
      <c r="AJ34" s="77">
        <f>'HNO3 Hot Leach'!P34/1000*'Horizon Thicknesses'!$L34</f>
        <v>1.3337532284599902</v>
      </c>
      <c r="AK34" s="110">
        <v>1</v>
      </c>
      <c r="AL34" s="98">
        <f>'HNO3 Hot Leach'!Q34/1000*'Horizon Thicknesses'!$J34</f>
        <v>34.049919619116004</v>
      </c>
      <c r="AM34" s="77">
        <f>'HNO3 Hot Leach'!Q34/1000*'Horizon Thicknesses'!$L34</f>
        <v>9.586870572372467</v>
      </c>
      <c r="AN34" s="110">
        <v>1</v>
      </c>
      <c r="AO34" s="98">
        <f>'HNO3 Hot Leach'!R34/1000*'Horizon Thicknesses'!$J34</f>
        <v>0.08082498499420357</v>
      </c>
      <c r="AP34" s="98">
        <f>'HNO3 Hot Leach'!R34/1000*'Horizon Thicknesses'!$L34</f>
        <v>0.022756549173125275</v>
      </c>
      <c r="AQ34" s="113">
        <v>1</v>
      </c>
      <c r="AR34" s="176">
        <f>'HNO3 Hot Leach'!S34/1000*'Horizon Thicknesses'!$J34</f>
        <v>62.24265830880879</v>
      </c>
      <c r="AS34" s="183">
        <f>'HNO3 Hot Leach'!S34/1000*'Horizon Thicknesses'!$L34</f>
        <v>17.524631951023835</v>
      </c>
    </row>
    <row r="35" spans="1:45" ht="12.75">
      <c r="A35" s="101" t="s">
        <v>125</v>
      </c>
      <c r="B35" s="104">
        <v>38237</v>
      </c>
      <c r="C35" s="105" t="s">
        <v>20</v>
      </c>
      <c r="D35" s="101" t="s">
        <v>8</v>
      </c>
      <c r="E35" s="101" t="s">
        <v>7</v>
      </c>
      <c r="F35" s="89">
        <v>4045</v>
      </c>
      <c r="G35" s="111"/>
      <c r="H35" s="92"/>
      <c r="I35" s="83"/>
      <c r="J35" s="111"/>
      <c r="K35" s="114"/>
      <c r="L35" s="81"/>
      <c r="M35" s="111"/>
      <c r="N35" s="92"/>
      <c r="O35" s="83"/>
      <c r="P35" s="111"/>
      <c r="Q35" s="97"/>
      <c r="R35" s="71"/>
      <c r="S35" s="111"/>
      <c r="T35" s="97"/>
      <c r="U35" s="71"/>
      <c r="V35" s="111"/>
      <c r="W35" s="97"/>
      <c r="X35" s="71"/>
      <c r="Y35" s="111"/>
      <c r="Z35" s="97"/>
      <c r="AA35" s="71"/>
      <c r="AB35" s="111"/>
      <c r="AC35" s="97"/>
      <c r="AD35" s="71"/>
      <c r="AE35" s="118"/>
      <c r="AF35" s="97"/>
      <c r="AG35" s="71"/>
      <c r="AH35" s="111"/>
      <c r="AI35" s="97"/>
      <c r="AJ35" s="71"/>
      <c r="AK35" s="111"/>
      <c r="AL35" s="97"/>
      <c r="AM35" s="71"/>
      <c r="AN35" s="111"/>
      <c r="AO35" s="97"/>
      <c r="AP35" s="97"/>
      <c r="AQ35" s="111"/>
      <c r="AR35" s="97"/>
      <c r="AS35" s="71"/>
    </row>
    <row r="36" spans="1:45" ht="12.75">
      <c r="A36" s="101" t="s">
        <v>126</v>
      </c>
      <c r="B36" s="104">
        <v>38244</v>
      </c>
      <c r="C36" s="105" t="s">
        <v>17</v>
      </c>
      <c r="D36" s="24" t="s">
        <v>43</v>
      </c>
      <c r="E36" s="103"/>
      <c r="F36" s="90"/>
      <c r="G36" s="111"/>
      <c r="H36" s="92"/>
      <c r="I36" s="83"/>
      <c r="J36" s="111"/>
      <c r="K36" s="114"/>
      <c r="L36" s="81"/>
      <c r="M36" s="111"/>
      <c r="N36" s="92"/>
      <c r="O36" s="83"/>
      <c r="P36" s="111"/>
      <c r="Q36" s="97"/>
      <c r="R36" s="71"/>
      <c r="S36" s="111"/>
      <c r="T36" s="97"/>
      <c r="U36" s="71"/>
      <c r="V36" s="111"/>
      <c r="W36" s="97"/>
      <c r="X36" s="71"/>
      <c r="Y36" s="111"/>
      <c r="Z36" s="97"/>
      <c r="AA36" s="71"/>
      <c r="AB36" s="111"/>
      <c r="AC36" s="97"/>
      <c r="AD36" s="71"/>
      <c r="AE36" s="118"/>
      <c r="AF36" s="97"/>
      <c r="AG36" s="71"/>
      <c r="AH36" s="111"/>
      <c r="AI36" s="97"/>
      <c r="AJ36" s="71"/>
      <c r="AK36" s="111"/>
      <c r="AL36" s="97"/>
      <c r="AM36" s="71"/>
      <c r="AN36" s="111"/>
      <c r="AO36" s="97"/>
      <c r="AP36" s="97"/>
      <c r="AQ36" s="111"/>
      <c r="AR36" s="97"/>
      <c r="AS36" s="71"/>
    </row>
    <row r="37" spans="1:45" ht="12.75">
      <c r="A37" s="101" t="s">
        <v>127</v>
      </c>
      <c r="B37" s="104">
        <v>38244</v>
      </c>
      <c r="C37" s="105" t="s">
        <v>17</v>
      </c>
      <c r="D37" s="101" t="s">
        <v>10</v>
      </c>
      <c r="E37" s="101" t="s">
        <v>11</v>
      </c>
      <c r="F37" s="89">
        <v>4037</v>
      </c>
      <c r="G37" s="111"/>
      <c r="H37" s="92"/>
      <c r="I37" s="83"/>
      <c r="J37" s="111"/>
      <c r="K37" s="114"/>
      <c r="L37" s="81"/>
      <c r="M37" s="111"/>
      <c r="N37" s="92"/>
      <c r="O37" s="83"/>
      <c r="P37" s="111"/>
      <c r="Q37" s="97"/>
      <c r="R37" s="71"/>
      <c r="S37" s="111"/>
      <c r="T37" s="97"/>
      <c r="U37" s="71"/>
      <c r="V37" s="111"/>
      <c r="W37" s="97"/>
      <c r="X37" s="71"/>
      <c r="Y37" s="111"/>
      <c r="Z37" s="97"/>
      <c r="AA37" s="71"/>
      <c r="AB37" s="111"/>
      <c r="AC37" s="97"/>
      <c r="AD37" s="71"/>
      <c r="AE37" s="118"/>
      <c r="AF37" s="97"/>
      <c r="AG37" s="71"/>
      <c r="AH37" s="111"/>
      <c r="AI37" s="97"/>
      <c r="AJ37" s="71"/>
      <c r="AK37" s="111"/>
      <c r="AL37" s="97"/>
      <c r="AM37" s="71"/>
      <c r="AN37" s="111"/>
      <c r="AO37" s="97"/>
      <c r="AP37" s="97"/>
      <c r="AQ37" s="111"/>
      <c r="AR37" s="97"/>
      <c r="AS37" s="71"/>
    </row>
    <row r="38" spans="1:45" ht="12.75">
      <c r="A38" s="101" t="s">
        <v>128</v>
      </c>
      <c r="B38" s="104">
        <v>38244</v>
      </c>
      <c r="C38" s="105" t="s">
        <v>17</v>
      </c>
      <c r="D38" s="101" t="s">
        <v>9</v>
      </c>
      <c r="E38" s="101" t="s">
        <v>7</v>
      </c>
      <c r="F38" s="89">
        <v>4035</v>
      </c>
      <c r="G38" s="110">
        <v>1</v>
      </c>
      <c r="H38" s="91">
        <f>'HNO3 Hot Leach'!G38/1000*'Horizon Thicknesses'!$J38</f>
        <v>45.05015203909946</v>
      </c>
      <c r="I38" s="82">
        <f>'HNO3 Hot Leach'!G38/1000*'Horizon Thicknesses'!$L38</f>
        <v>15.78669915532854</v>
      </c>
      <c r="J38" s="112">
        <v>0</v>
      </c>
      <c r="K38" s="115">
        <f>K$48/1000*'Horizon Thicknesses'!$J38</f>
        <v>0.28587585456585624</v>
      </c>
      <c r="L38" s="116">
        <f>K$48/1000*'Horizon Thicknesses'!$L38</f>
        <v>0.10017804396945695</v>
      </c>
      <c r="M38" s="110">
        <v>1</v>
      </c>
      <c r="N38" s="91">
        <f>'HNO3 Hot Leach'!I38/1000*'Horizon Thicknesses'!$J38</f>
        <v>0.32584262394620434</v>
      </c>
      <c r="O38" s="82">
        <f>'HNO3 Hot Leach'!I38/1000*'Horizon Thicknesses'!$L38</f>
        <v>0.1141833987986782</v>
      </c>
      <c r="P38" s="110">
        <v>1</v>
      </c>
      <c r="Q38" s="98">
        <f>'HNO3 Hot Leach'!J38/1000*'Horizon Thicknesses'!$J38</f>
        <v>294.60625620346514</v>
      </c>
      <c r="R38" s="77">
        <f>'HNO3 Hot Leach'!J38/1000*'Horizon Thicknesses'!$L38</f>
        <v>103.23739489103654</v>
      </c>
      <c r="S38" s="110">
        <v>1</v>
      </c>
      <c r="T38" s="98">
        <f>'HNO3 Hot Leach'!K38/1000*'Horizon Thicknesses'!$J38</f>
        <v>2.6849993893619595</v>
      </c>
      <c r="U38" s="77">
        <f>'HNO3 Hot Leach'!K38/1000*'Horizon Thicknesses'!$L38</f>
        <v>0.9408908887878948</v>
      </c>
      <c r="V38" s="110">
        <v>1</v>
      </c>
      <c r="W38" s="98">
        <f>'HNO3 Hot Leach'!L38/1000*'Horizon Thicknesses'!$J38</f>
        <v>2.1258883096187726</v>
      </c>
      <c r="X38" s="77">
        <f>'HNO3 Hot Leach'!L38/1000*'Horizon Thicknesses'!$L38</f>
        <v>0.7449643932978025</v>
      </c>
      <c r="Y38" s="110">
        <v>1</v>
      </c>
      <c r="Z38" s="98">
        <f>'HNO3 Hot Leach'!M38/1000*'Horizon Thicknesses'!$J38</f>
        <v>0.22594432761373914</v>
      </c>
      <c r="AA38" s="77">
        <f>'HNO3 Hot Leach'!M38/1000*'Horizon Thicknesses'!$L38</f>
        <v>0.079176539133438</v>
      </c>
      <c r="AB38" s="110">
        <v>1</v>
      </c>
      <c r="AC38" s="98">
        <f>'HNO3 Hot Leach'!N38/1000*'Horizon Thicknesses'!$J38</f>
        <v>0.6431226081953586</v>
      </c>
      <c r="AD38" s="77">
        <f>'HNO3 Hot Leach'!N38/1000*'Horizon Thicknesses'!$L38</f>
        <v>0.2253662346524082</v>
      </c>
      <c r="AE38" s="177">
        <v>1</v>
      </c>
      <c r="AF38" s="176">
        <f>'HNO3 Hot Leach'!Q38/1000*'Horizon Thicknesses'!$J38</f>
        <v>1.480750869943953</v>
      </c>
      <c r="AG38" s="178">
        <f>'HNO3 Hot Leach'!Q38/1000*'Horizon Thicknesses'!$L38</f>
        <v>0.5188921113408852</v>
      </c>
      <c r="AH38" s="110">
        <v>1</v>
      </c>
      <c r="AI38" s="98">
        <f>'HNO3 Hot Leach'!P38/1000*'Horizon Thicknesses'!$J38</f>
        <v>0.6412089975150346</v>
      </c>
      <c r="AJ38" s="77">
        <f>'HNO3 Hot Leach'!P38/1000*'Horizon Thicknesses'!$L38</f>
        <v>0.22469565764559857</v>
      </c>
      <c r="AK38" s="110">
        <v>1</v>
      </c>
      <c r="AL38" s="98">
        <f>'HNO3 Hot Leach'!Q38/1000*'Horizon Thicknesses'!$J38</f>
        <v>1.480750869943953</v>
      </c>
      <c r="AM38" s="77">
        <f>'HNO3 Hot Leach'!Q38/1000*'Horizon Thicknesses'!$L38</f>
        <v>0.5188921113408852</v>
      </c>
      <c r="AN38" s="110">
        <v>1</v>
      </c>
      <c r="AO38" s="98">
        <f>'HNO3 Hot Leach'!R38/1000*'Horizon Thicknesses'!$J38</f>
        <v>0.0059690018704070934</v>
      </c>
      <c r="AP38" s="98">
        <f>'HNO3 Hot Leach'!R38/1000*'Horizon Thicknesses'!$L38</f>
        <v>0.002091687431019684</v>
      </c>
      <c r="AQ38" s="113">
        <v>1</v>
      </c>
      <c r="AR38" s="176">
        <f>'HNO3 Hot Leach'!S38/1000*'Horizon Thicknesses'!$J38</f>
        <v>6.247219524083625</v>
      </c>
      <c r="AS38" s="183">
        <f>'HNO3 Hot Leach'!S38/1000*'Horizon Thicknesses'!$L38</f>
        <v>2.189181850005902</v>
      </c>
    </row>
    <row r="39" spans="1:45" ht="12.75">
      <c r="A39" s="101" t="s">
        <v>129</v>
      </c>
      <c r="B39" s="104">
        <v>38244</v>
      </c>
      <c r="C39" s="105" t="s">
        <v>17</v>
      </c>
      <c r="D39" s="101" t="s">
        <v>18</v>
      </c>
      <c r="E39" s="101" t="s">
        <v>7</v>
      </c>
      <c r="F39" s="89">
        <v>4029</v>
      </c>
      <c r="G39" s="110">
        <v>1</v>
      </c>
      <c r="H39" s="91">
        <f>'HNO3 Hot Leach'!G39/1000*'Horizon Thicknesses'!$J39</f>
        <v>893.5129222025917</v>
      </c>
      <c r="I39" s="82">
        <f>'HNO3 Hot Leach'!G39/1000*'Horizon Thicknesses'!$L39</f>
        <v>251.5715994550986</v>
      </c>
      <c r="J39" s="110">
        <v>1</v>
      </c>
      <c r="K39" s="100">
        <f>'HNO3 Hot Leach'!H39/1000*'Horizon Thicknesses'!$J39</f>
        <v>1.170906423200168</v>
      </c>
      <c r="L39" s="80">
        <f>'HNO3 Hot Leach'!H39/1000*'Horizon Thicknesses'!$L39</f>
        <v>0.3296726822602415</v>
      </c>
      <c r="M39" s="110">
        <v>1</v>
      </c>
      <c r="N39" s="91">
        <f>'HNO3 Hot Leach'!I39/1000*'Horizon Thicknesses'!$J39</f>
        <v>5.269272006368053</v>
      </c>
      <c r="O39" s="82">
        <f>'HNO3 Hot Leach'!I39/1000*'Horizon Thicknesses'!$L39</f>
        <v>1.4835814386861508</v>
      </c>
      <c r="P39" s="110">
        <v>1</v>
      </c>
      <c r="Q39" s="98">
        <f>'HNO3 Hot Leach'!J39/1000*'Horizon Thicknesses'!$J39</f>
        <v>2988.719637022651</v>
      </c>
      <c r="R39" s="77">
        <f>'HNO3 Hot Leach'!J39/1000*'Horizon Thicknesses'!$L39</f>
        <v>841.4841696471542</v>
      </c>
      <c r="S39" s="110">
        <v>1</v>
      </c>
      <c r="T39" s="98">
        <f>'HNO3 Hot Leach'!K39/1000*'Horizon Thicknesses'!$J39</f>
        <v>43.70417795137927</v>
      </c>
      <c r="U39" s="77">
        <f>'HNO3 Hot Leach'!K39/1000*'Horizon Thicknesses'!$L39</f>
        <v>12.305059811553388</v>
      </c>
      <c r="V39" s="110">
        <v>1</v>
      </c>
      <c r="W39" s="98">
        <f>'HNO3 Hot Leach'!L39/1000*'Horizon Thicknesses'!$J39</f>
        <v>114.14999507039308</v>
      </c>
      <c r="X39" s="77">
        <f>'HNO3 Hot Leach'!L39/1000*'Horizon Thicknesses'!$L39</f>
        <v>32.13931900040193</v>
      </c>
      <c r="Y39" s="110">
        <v>1</v>
      </c>
      <c r="Z39" s="98">
        <f>'HNO3 Hot Leach'!M39/1000*'Horizon Thicknesses'!$J39</f>
        <v>3.5391619760301127</v>
      </c>
      <c r="AA39" s="77">
        <f>'HNO3 Hot Leach'!M39/1000*'Horizon Thicknesses'!$L39</f>
        <v>0.9964630806298376</v>
      </c>
      <c r="AB39" s="110">
        <v>1</v>
      </c>
      <c r="AC39" s="98">
        <f>'HNO3 Hot Leach'!N39/1000*'Horizon Thicknesses'!$J39</f>
        <v>1.5957809241286625</v>
      </c>
      <c r="AD39" s="77">
        <f>'HNO3 Hot Leach'!N39/1000*'Horizon Thicknesses'!$L39</f>
        <v>0.44929754174496317</v>
      </c>
      <c r="AE39" s="177">
        <v>1</v>
      </c>
      <c r="AF39" s="176">
        <f>'HNO3 Hot Leach'!Q39/1000*'Horizon Thicknesses'!$J39</f>
        <v>21.581505362571132</v>
      </c>
      <c r="AG39" s="178">
        <f>'HNO3 Hot Leach'!Q39/1000*'Horizon Thicknesses'!$L39</f>
        <v>6.076346170044299</v>
      </c>
      <c r="AH39" s="110">
        <v>1</v>
      </c>
      <c r="AI39" s="98">
        <f>'HNO3 Hot Leach'!P39/1000*'Horizon Thicknesses'!$J39</f>
        <v>1.750470280659627</v>
      </c>
      <c r="AJ39" s="77">
        <f>'HNO3 Hot Leach'!P39/1000*'Horizon Thicknesses'!$L39</f>
        <v>0.49285085571970083</v>
      </c>
      <c r="AK39" s="110">
        <v>1</v>
      </c>
      <c r="AL39" s="98">
        <f>'HNO3 Hot Leach'!Q39/1000*'Horizon Thicknesses'!$J39</f>
        <v>21.581505362571132</v>
      </c>
      <c r="AM39" s="77">
        <f>'HNO3 Hot Leach'!Q39/1000*'Horizon Thicknesses'!$L39</f>
        <v>6.076346170044299</v>
      </c>
      <c r="AN39" s="110">
        <v>1</v>
      </c>
      <c r="AO39" s="98">
        <f>'HNO3 Hot Leach'!R39/1000*'Horizon Thicknesses'!$J39</f>
        <v>0.07323366829822331</v>
      </c>
      <c r="AP39" s="98">
        <f>'HNO3 Hot Leach'!R39/1000*'Horizon Thicknesses'!$L39</f>
        <v>0.020619188161635688</v>
      </c>
      <c r="AQ39" s="113">
        <v>1</v>
      </c>
      <c r="AR39" s="176">
        <f>'HNO3 Hot Leach'!S39/1000*'Horizon Thicknesses'!$J39</f>
        <v>54.25912242546738</v>
      </c>
      <c r="AS39" s="183">
        <f>'HNO3 Hot Leach'!S39/1000*'Horizon Thicknesses'!$L39</f>
        <v>15.27684029454907</v>
      </c>
    </row>
    <row r="40" spans="1:45" ht="12.75">
      <c r="A40" s="101" t="s">
        <v>130</v>
      </c>
      <c r="B40" s="104">
        <v>38244</v>
      </c>
      <c r="C40" s="105" t="s">
        <v>17</v>
      </c>
      <c r="D40" s="101" t="s">
        <v>6</v>
      </c>
      <c r="E40" s="101" t="s">
        <v>7</v>
      </c>
      <c r="F40" s="89">
        <v>4031</v>
      </c>
      <c r="G40" s="110">
        <v>1</v>
      </c>
      <c r="H40" s="91">
        <f>'HNO3 Hot Leach'!G40/1000*'Horizon Thicknesses'!$J40</f>
        <v>1190.4739049790105</v>
      </c>
      <c r="I40" s="82">
        <f>'HNO3 Hot Leach'!G40/1000*'Horizon Thicknesses'!$L40</f>
        <v>335.1819732465175</v>
      </c>
      <c r="J40" s="110">
        <v>1</v>
      </c>
      <c r="K40" s="100">
        <f>'HNO3 Hot Leach'!H40/1000*'Horizon Thicknesses'!$J40</f>
        <v>2.8148296405753723</v>
      </c>
      <c r="L40" s="80">
        <f>'HNO3 Hot Leach'!H40/1000*'Horizon Thicknesses'!$L40</f>
        <v>0.7925248502590854</v>
      </c>
      <c r="M40" s="110">
        <v>1</v>
      </c>
      <c r="N40" s="91">
        <f>'HNO3 Hot Leach'!I40/1000*'Horizon Thicknesses'!$J40</f>
        <v>8.844513747596002</v>
      </c>
      <c r="O40" s="82">
        <f>'HNO3 Hot Leach'!I40/1000*'Horizon Thicknesses'!$L40</f>
        <v>2.4902028998085832</v>
      </c>
      <c r="P40" s="110">
        <v>1</v>
      </c>
      <c r="Q40" s="98">
        <f>'HNO3 Hot Leach'!J40/1000*'Horizon Thicknesses'!$J40</f>
        <v>2513.7763963405864</v>
      </c>
      <c r="R40" s="77">
        <f>'HNO3 Hot Leach'!J40/1000*'Horizon Thicknesses'!$L40</f>
        <v>707.7622863483205</v>
      </c>
      <c r="S40" s="110">
        <v>1</v>
      </c>
      <c r="T40" s="98">
        <f>'HNO3 Hot Leach'!K40/1000*'Horizon Thicknesses'!$J40</f>
        <v>145.91512465571293</v>
      </c>
      <c r="U40" s="77">
        <f>'HNO3 Hot Leach'!K40/1000*'Horizon Thicknesses'!$L40</f>
        <v>41.08289917490947</v>
      </c>
      <c r="V40" s="110">
        <v>1</v>
      </c>
      <c r="W40" s="98">
        <f>'HNO3 Hot Leach'!L40/1000*'Horizon Thicknesses'!$J40</f>
        <v>440.6568793164973</v>
      </c>
      <c r="X40" s="77">
        <f>'HNO3 Hot Leach'!L40/1000*'Horizon Thicknesses'!$L40</f>
        <v>124.06844174930507</v>
      </c>
      <c r="Y40" s="110">
        <v>2</v>
      </c>
      <c r="Z40" s="98">
        <f>'HNO3 Hot Leach'!M40/1000*'Horizon Thicknesses'!$J40</f>
        <v>13.922626968674324</v>
      </c>
      <c r="AA40" s="77">
        <f>'HNO3 Hot Leach'!M40/1000*'Horizon Thicknesses'!$L40</f>
        <v>3.919962932927722</v>
      </c>
      <c r="AB40" s="110">
        <v>1</v>
      </c>
      <c r="AC40" s="98">
        <f>'HNO3 Hot Leach'!N40/1000*'Horizon Thicknesses'!$J40</f>
        <v>3.241610215324394</v>
      </c>
      <c r="AD40" s="77">
        <f>'HNO3 Hot Leach'!N40/1000*'Horizon Thicknesses'!$L40</f>
        <v>0.9126863713049265</v>
      </c>
      <c r="AE40" s="177">
        <v>1</v>
      </c>
      <c r="AF40" s="176">
        <f>'HNO3 Hot Leach'!Q40/1000*'Horizon Thicknesses'!$J40</f>
        <v>13.91883226624252</v>
      </c>
      <c r="AG40" s="178">
        <f>'HNO3 Hot Leach'!Q40/1000*'Horizon Thicknesses'!$L40</f>
        <v>3.918894521563428</v>
      </c>
      <c r="AH40" s="110">
        <v>1</v>
      </c>
      <c r="AI40" s="98">
        <f>'HNO3 Hot Leach'!P40/1000*'Horizon Thicknesses'!$J40</f>
        <v>3.2150904594304723</v>
      </c>
      <c r="AJ40" s="77">
        <f>'HNO3 Hot Leach'!P40/1000*'Horizon Thicknesses'!$L40</f>
        <v>0.9052196439173174</v>
      </c>
      <c r="AK40" s="110">
        <v>1</v>
      </c>
      <c r="AL40" s="98">
        <f>'HNO3 Hot Leach'!Q40/1000*'Horizon Thicknesses'!$J40</f>
        <v>13.91883226624252</v>
      </c>
      <c r="AM40" s="77">
        <f>'HNO3 Hot Leach'!Q40/1000*'Horizon Thicknesses'!$L40</f>
        <v>3.918894521563428</v>
      </c>
      <c r="AN40" s="110">
        <v>1</v>
      </c>
      <c r="AO40" s="98">
        <f>'HNO3 Hot Leach'!R40/1000*'Horizon Thicknesses'!$J40</f>
        <v>0.23535463727310138</v>
      </c>
      <c r="AP40" s="98">
        <f>'HNO3 Hot Leach'!R40/1000*'Horizon Thicknesses'!$L40</f>
        <v>0.06626489787300913</v>
      </c>
      <c r="AQ40" s="113">
        <v>1</v>
      </c>
      <c r="AR40" s="176">
        <f>'HNO3 Hot Leach'!S40/1000*'Horizon Thicknesses'!$J40</f>
        <v>43.28556489598734</v>
      </c>
      <c r="AS40" s="183">
        <f>'HNO3 Hot Leach'!S40/1000*'Horizon Thicknesses'!$L40</f>
        <v>12.187197883336243</v>
      </c>
    </row>
    <row r="41" spans="1:45" ht="12.75">
      <c r="A41" s="101" t="s">
        <v>131</v>
      </c>
      <c r="B41" s="104">
        <v>38244</v>
      </c>
      <c r="C41" s="105" t="s">
        <v>17</v>
      </c>
      <c r="D41" s="101" t="s">
        <v>8</v>
      </c>
      <c r="E41" s="101" t="s">
        <v>7</v>
      </c>
      <c r="F41" s="89">
        <v>4033</v>
      </c>
      <c r="G41" s="111"/>
      <c r="H41" s="92"/>
      <c r="I41" s="83"/>
      <c r="J41" s="111"/>
      <c r="K41" s="114"/>
      <c r="L41" s="81"/>
      <c r="M41" s="111"/>
      <c r="N41" s="92"/>
      <c r="O41" s="83"/>
      <c r="P41" s="111"/>
      <c r="Q41" s="97"/>
      <c r="R41" s="71"/>
      <c r="S41" s="111"/>
      <c r="T41" s="97"/>
      <c r="U41" s="71"/>
      <c r="V41" s="111"/>
      <c r="W41" s="97"/>
      <c r="X41" s="71"/>
      <c r="Y41" s="111"/>
      <c r="Z41" s="97"/>
      <c r="AA41" s="71"/>
      <c r="AB41" s="111"/>
      <c r="AC41" s="97"/>
      <c r="AD41" s="71"/>
      <c r="AE41" s="118"/>
      <c r="AF41" s="97"/>
      <c r="AG41" s="71"/>
      <c r="AH41" s="111"/>
      <c r="AI41" s="97"/>
      <c r="AJ41" s="71"/>
      <c r="AK41" s="111"/>
      <c r="AL41" s="97"/>
      <c r="AM41" s="71"/>
      <c r="AN41" s="111"/>
      <c r="AO41" s="97"/>
      <c r="AP41" s="97"/>
      <c r="AQ41" s="111"/>
      <c r="AR41" s="97"/>
      <c r="AS41" s="71"/>
    </row>
    <row r="42" spans="1:45" ht="12.75">
      <c r="A42" s="101" t="s">
        <v>132</v>
      </c>
      <c r="B42" s="104">
        <v>38237</v>
      </c>
      <c r="C42" s="105" t="s">
        <v>22</v>
      </c>
      <c r="D42" s="24" t="s">
        <v>43</v>
      </c>
      <c r="E42" s="103"/>
      <c r="F42" s="90"/>
      <c r="G42" s="111"/>
      <c r="H42" s="92"/>
      <c r="I42" s="83"/>
      <c r="J42" s="111"/>
      <c r="K42" s="114"/>
      <c r="L42" s="81"/>
      <c r="M42" s="111"/>
      <c r="N42" s="92"/>
      <c r="O42" s="83"/>
      <c r="P42" s="111"/>
      <c r="Q42" s="97"/>
      <c r="R42" s="71"/>
      <c r="S42" s="111"/>
      <c r="T42" s="97"/>
      <c r="U42" s="71"/>
      <c r="V42" s="111"/>
      <c r="W42" s="97"/>
      <c r="X42" s="71"/>
      <c r="Y42" s="111"/>
      <c r="Z42" s="97"/>
      <c r="AA42" s="71"/>
      <c r="AB42" s="111"/>
      <c r="AC42" s="97"/>
      <c r="AD42" s="71"/>
      <c r="AE42" s="118"/>
      <c r="AF42" s="97"/>
      <c r="AG42" s="71"/>
      <c r="AH42" s="111"/>
      <c r="AI42" s="97"/>
      <c r="AJ42" s="71"/>
      <c r="AK42" s="111"/>
      <c r="AL42" s="97"/>
      <c r="AM42" s="71"/>
      <c r="AN42" s="111"/>
      <c r="AO42" s="97"/>
      <c r="AP42" s="97"/>
      <c r="AQ42" s="111"/>
      <c r="AR42" s="97"/>
      <c r="AS42" s="71"/>
    </row>
    <row r="43" spans="1:45" ht="12.75">
      <c r="A43" s="101" t="s">
        <v>133</v>
      </c>
      <c r="B43" s="104">
        <v>38237</v>
      </c>
      <c r="C43" s="105" t="s">
        <v>22</v>
      </c>
      <c r="D43" s="101" t="s">
        <v>10</v>
      </c>
      <c r="E43" s="101" t="s">
        <v>11</v>
      </c>
      <c r="F43" s="89">
        <v>4025</v>
      </c>
      <c r="G43" s="111"/>
      <c r="H43" s="92"/>
      <c r="I43" s="83"/>
      <c r="J43" s="111"/>
      <c r="K43" s="114"/>
      <c r="L43" s="81"/>
      <c r="M43" s="111"/>
      <c r="N43" s="92"/>
      <c r="O43" s="83"/>
      <c r="P43" s="111"/>
      <c r="Q43" s="97"/>
      <c r="R43" s="71"/>
      <c r="S43" s="111"/>
      <c r="T43" s="97"/>
      <c r="U43" s="71"/>
      <c r="V43" s="111"/>
      <c r="W43" s="97"/>
      <c r="X43" s="71"/>
      <c r="Y43" s="111"/>
      <c r="Z43" s="97"/>
      <c r="AA43" s="71"/>
      <c r="AB43" s="111"/>
      <c r="AC43" s="97"/>
      <c r="AD43" s="71"/>
      <c r="AE43" s="118"/>
      <c r="AF43" s="97"/>
      <c r="AG43" s="71"/>
      <c r="AH43" s="111"/>
      <c r="AI43" s="97"/>
      <c r="AJ43" s="71"/>
      <c r="AK43" s="111"/>
      <c r="AL43" s="97"/>
      <c r="AM43" s="71"/>
      <c r="AN43" s="111"/>
      <c r="AO43" s="97"/>
      <c r="AP43" s="97"/>
      <c r="AQ43" s="111"/>
      <c r="AR43" s="97"/>
      <c r="AS43" s="71"/>
    </row>
    <row r="44" spans="1:45" ht="12.75">
      <c r="A44" s="101" t="s">
        <v>134</v>
      </c>
      <c r="B44" s="104">
        <v>38237</v>
      </c>
      <c r="C44" s="105" t="s">
        <v>22</v>
      </c>
      <c r="D44" s="101" t="s">
        <v>18</v>
      </c>
      <c r="E44" s="101" t="s">
        <v>7</v>
      </c>
      <c r="F44" s="89">
        <v>4019</v>
      </c>
      <c r="G44" s="110">
        <v>1</v>
      </c>
      <c r="H44" s="91">
        <f>'HNO3 Hot Leach'!G44/1000*'Horizon Thicknesses'!$J44</f>
        <v>230.70613171268135</v>
      </c>
      <c r="I44" s="82">
        <f>'HNO3 Hot Leach'!G44/1000*'Horizon Thicknesses'!$L44</f>
        <v>87.33298573188948</v>
      </c>
      <c r="J44" s="112">
        <v>0</v>
      </c>
      <c r="K44" s="115">
        <f>K$48/1000*'Horizon Thicknesses'!$J44</f>
        <v>0.1826919959206737</v>
      </c>
      <c r="L44" s="116">
        <f>K$48/1000*'Horizon Thicknesses'!$L44</f>
        <v>0.0691574053737801</v>
      </c>
      <c r="M44" s="110">
        <v>1</v>
      </c>
      <c r="N44" s="91">
        <f>'HNO3 Hot Leach'!I44/1000*'Horizon Thicknesses'!$J44</f>
        <v>1.0773397619559295</v>
      </c>
      <c r="O44" s="82">
        <f>'HNO3 Hot Leach'!I44/1000*'Horizon Thicknesses'!$L44</f>
        <v>0.40782313569571527</v>
      </c>
      <c r="P44" s="110">
        <v>1</v>
      </c>
      <c r="Q44" s="98">
        <f>'HNO3 Hot Leach'!J44/1000*'Horizon Thicknesses'!$J44</f>
        <v>740.5833064912233</v>
      </c>
      <c r="R44" s="77">
        <f>'HNO3 Hot Leach'!J44/1000*'Horizon Thicknesses'!$L44</f>
        <v>280.34517703942925</v>
      </c>
      <c r="S44" s="110">
        <v>1</v>
      </c>
      <c r="T44" s="98">
        <f>'HNO3 Hot Leach'!K44/1000*'Horizon Thicknesses'!$J44</f>
        <v>9.446647166977957</v>
      </c>
      <c r="U44" s="77">
        <f>'HNO3 Hot Leach'!K44/1000*'Horizon Thicknesses'!$L44</f>
        <v>3.5759946912695413</v>
      </c>
      <c r="V44" s="110">
        <v>1</v>
      </c>
      <c r="W44" s="98">
        <f>'HNO3 Hot Leach'!L44/1000*'Horizon Thicknesses'!$J44</f>
        <v>19.218520102045353</v>
      </c>
      <c r="X44" s="77">
        <f>'HNO3 Hot Leach'!L44/1000*'Horizon Thicknesses'!$L44</f>
        <v>7.275102440494432</v>
      </c>
      <c r="Y44" s="110">
        <v>1</v>
      </c>
      <c r="Z44" s="98">
        <f>'HNO3 Hot Leach'!M44/1000*'Horizon Thicknesses'!$J44</f>
        <v>5.439016721932385</v>
      </c>
      <c r="AA44" s="77">
        <f>'HNO3 Hot Leach'!M44/1000*'Horizon Thicknesses'!$L44</f>
        <v>2.058920438073122</v>
      </c>
      <c r="AB44" s="110">
        <v>1</v>
      </c>
      <c r="AC44" s="98">
        <f>'HNO3 Hot Leach'!N44/1000*'Horizon Thicknesses'!$J44</f>
        <v>0.5280549793796404</v>
      </c>
      <c r="AD44" s="77">
        <f>'HNO3 Hot Leach'!N44/1000*'Horizon Thicknesses'!$L44</f>
        <v>0.19989333459610173</v>
      </c>
      <c r="AE44" s="177">
        <v>1</v>
      </c>
      <c r="AF44" s="176">
        <f>'HNO3 Hot Leach'!Q44/1000*'Horizon Thicknesses'!$J44</f>
        <v>4.179737182839271</v>
      </c>
      <c r="AG44" s="178">
        <f>'HNO3 Hot Leach'!Q44/1000*'Horizon Thicknesses'!$L44</f>
        <v>1.5822246467491061</v>
      </c>
      <c r="AH44" s="110">
        <v>1</v>
      </c>
      <c r="AI44" s="98">
        <f>'HNO3 Hot Leach'!P44/1000*'Horizon Thicknesses'!$J44</f>
        <v>0.8494803370259673</v>
      </c>
      <c r="AJ44" s="77">
        <f>'HNO3 Hot Leach'!P44/1000*'Horizon Thicknesses'!$L44</f>
        <v>0.3215677606930789</v>
      </c>
      <c r="AK44" s="110">
        <v>1</v>
      </c>
      <c r="AL44" s="98">
        <f>'HNO3 Hot Leach'!Q44/1000*'Horizon Thicknesses'!$J44</f>
        <v>4.179737182839271</v>
      </c>
      <c r="AM44" s="77">
        <f>'HNO3 Hot Leach'!Q44/1000*'Horizon Thicknesses'!$L44</f>
        <v>1.5822246467491061</v>
      </c>
      <c r="AN44" s="110">
        <v>1</v>
      </c>
      <c r="AO44" s="98">
        <f>'HNO3 Hot Leach'!R44/1000*'Horizon Thicknesses'!$J44</f>
        <v>0.005378476186438311</v>
      </c>
      <c r="AP44" s="98">
        <f>'HNO3 Hot Leach'!R44/1000*'Horizon Thicknesses'!$L44</f>
        <v>0.0020360030336536786</v>
      </c>
      <c r="AQ44" s="113">
        <v>1</v>
      </c>
      <c r="AR44" s="176">
        <f>'HNO3 Hot Leach'!S44/1000*'Horizon Thicknesses'!$J44</f>
        <v>11.190153684478002</v>
      </c>
      <c r="AS44" s="183">
        <f>'HNO3 Hot Leach'!S44/1000*'Horizon Thicknesses'!$L44</f>
        <v>4.235992883280829</v>
      </c>
    </row>
    <row r="45" spans="1:45" ht="12.75">
      <c r="A45" s="101" t="s">
        <v>135</v>
      </c>
      <c r="B45" s="104">
        <v>38237</v>
      </c>
      <c r="C45" s="105" t="s">
        <v>22</v>
      </c>
      <c r="D45" s="101" t="s">
        <v>6</v>
      </c>
      <c r="E45" s="101" t="s">
        <v>7</v>
      </c>
      <c r="F45" s="89">
        <v>4021</v>
      </c>
      <c r="G45" s="110">
        <v>1</v>
      </c>
      <c r="H45" s="91">
        <f>'HNO3 Hot Leach'!G45/1000*'Horizon Thicknesses'!$J45</f>
        <v>557.62334968744</v>
      </c>
      <c r="I45" s="82">
        <f>'HNO3 Hot Leach'!G45/1000*'Horizon Thicknesses'!$L45</f>
        <v>157.93062335775696</v>
      </c>
      <c r="J45" s="110">
        <v>1</v>
      </c>
      <c r="K45" s="100">
        <f>'HNO3 Hot Leach'!H45/1000*'Horizon Thicknesses'!$J45</f>
        <v>1.386715569567046</v>
      </c>
      <c r="L45" s="80">
        <f>'HNO3 Hot Leach'!H45/1000*'Horizon Thicknesses'!$L45</f>
        <v>0.3927469221731613</v>
      </c>
      <c r="M45" s="113">
        <v>1</v>
      </c>
      <c r="N45" s="91">
        <f>'HNO3 Hot Leach'!I45/1000*'Horizon Thicknesses'!$J45</f>
        <v>13.306257570083043</v>
      </c>
      <c r="O45" s="82">
        <f>'HNO3 Hot Leach'!I45/1000*'Horizon Thicknesses'!$L45</f>
        <v>3.768611113182409</v>
      </c>
      <c r="P45" s="110">
        <v>1</v>
      </c>
      <c r="Q45" s="98">
        <f>'HNO3 Hot Leach'!J45/1000*'Horizon Thicknesses'!$J45</f>
        <v>1701.5010011205145</v>
      </c>
      <c r="R45" s="77">
        <f>'HNO3 Hot Leach'!J45/1000*'Horizon Thicknesses'!$L45</f>
        <v>481.9007559519042</v>
      </c>
      <c r="S45" s="113">
        <v>1</v>
      </c>
      <c r="T45" s="98">
        <f>'HNO3 Hot Leach'!K45/1000*'Horizon Thicknesses'!$J45</f>
        <v>89.78113698811482</v>
      </c>
      <c r="U45" s="77">
        <f>'HNO3 Hot Leach'!K45/1000*'Horizon Thicknesses'!$L45</f>
        <v>25.427900281164497</v>
      </c>
      <c r="V45" s="110">
        <v>1</v>
      </c>
      <c r="W45" s="98">
        <f>'HNO3 Hot Leach'!L45/1000*'Horizon Thicknesses'!$J45</f>
        <v>117.76140294509342</v>
      </c>
      <c r="X45" s="77">
        <f>'HNO3 Hot Leach'!L45/1000*'Horizon Thicknesses'!$L45</f>
        <v>33.352498214121155</v>
      </c>
      <c r="Y45" s="113">
        <v>1</v>
      </c>
      <c r="Z45" s="98">
        <f>'HNO3 Hot Leach'!M45/1000*'Horizon Thicknesses'!$J45</f>
        <v>34.522315993795615</v>
      </c>
      <c r="AA45" s="77">
        <f>'HNO3 Hot Leach'!M45/1000*'Horizon Thicknesses'!$L45</f>
        <v>9.777443659254303</v>
      </c>
      <c r="AB45" s="113">
        <v>1</v>
      </c>
      <c r="AC45" s="98">
        <f>'HNO3 Hot Leach'!N45/1000*'Horizon Thicknesses'!$J45</f>
        <v>3.7110604812362387</v>
      </c>
      <c r="AD45" s="77">
        <f>'HNO3 Hot Leach'!N45/1000*'Horizon Thicknesses'!$L45</f>
        <v>1.0510501316856493</v>
      </c>
      <c r="AE45" s="177">
        <v>1</v>
      </c>
      <c r="AF45" s="176">
        <f>'HNO3 Hot Leach'!Q45/1000*'Horizon Thicknesses'!$J45</f>
        <v>31.55133445673226</v>
      </c>
      <c r="AG45" s="178">
        <f>'HNO3 Hot Leach'!Q45/1000*'Horizon Thicknesses'!$L45</f>
        <v>8.935999400516204</v>
      </c>
      <c r="AH45" s="113">
        <v>1</v>
      </c>
      <c r="AI45" s="98">
        <f>'HNO3 Hot Leach'!P45/1000*'Horizon Thicknesses'!$J45</f>
        <v>5.031978078867004</v>
      </c>
      <c r="AJ45" s="77">
        <f>'HNO3 Hot Leach'!P45/1000*'Horizon Thicknesses'!$L45</f>
        <v>1.4251616887339507</v>
      </c>
      <c r="AK45" s="113">
        <v>1</v>
      </c>
      <c r="AL45" s="98">
        <f>'HNO3 Hot Leach'!Q45/1000*'Horizon Thicknesses'!$J45</f>
        <v>31.55133445673226</v>
      </c>
      <c r="AM45" s="77">
        <f>'HNO3 Hot Leach'!Q45/1000*'Horizon Thicknesses'!$L45</f>
        <v>8.935999400516204</v>
      </c>
      <c r="AN45" s="113">
        <v>1</v>
      </c>
      <c r="AO45" s="98">
        <f>'HNO3 Hot Leach'!R45/1000*'Horizon Thicknesses'!$J45</f>
        <v>0.03179532324144156</v>
      </c>
      <c r="AP45" s="98">
        <f>'HNO3 Hot Leach'!R45/1000*'Horizon Thicknesses'!$L45</f>
        <v>0.009005102139637585</v>
      </c>
      <c r="AQ45" s="113">
        <v>1</v>
      </c>
      <c r="AR45" s="176">
        <f>'HNO3 Hot Leach'!S45/1000*'Horizon Thicknesses'!$J45</f>
        <v>50.01823941977381</v>
      </c>
      <c r="AS45" s="183">
        <f>'HNO3 Hot Leach'!S45/1000*'Horizon Thicknesses'!$L45</f>
        <v>14.166214049770694</v>
      </c>
    </row>
    <row r="46" spans="1:45" ht="12.75">
      <c r="A46" s="101" t="s">
        <v>136</v>
      </c>
      <c r="B46" s="104">
        <v>38237</v>
      </c>
      <c r="C46" s="105" t="s">
        <v>22</v>
      </c>
      <c r="D46" s="101" t="s">
        <v>8</v>
      </c>
      <c r="E46" s="101" t="s">
        <v>7</v>
      </c>
      <c r="F46" s="89">
        <v>4023</v>
      </c>
      <c r="G46" s="111"/>
      <c r="H46" s="92"/>
      <c r="I46" s="83"/>
      <c r="J46" s="111"/>
      <c r="K46" s="97"/>
      <c r="L46" s="71"/>
      <c r="M46" s="70"/>
      <c r="N46" s="97"/>
      <c r="O46" s="71"/>
      <c r="P46" s="70"/>
      <c r="Q46" s="97"/>
      <c r="R46" s="71"/>
      <c r="S46" s="70"/>
      <c r="T46" s="97"/>
      <c r="U46" s="71"/>
      <c r="V46" s="70"/>
      <c r="W46" s="97"/>
      <c r="X46" s="71"/>
      <c r="Y46" s="70"/>
      <c r="Z46" s="97"/>
      <c r="AA46" s="71"/>
      <c r="AB46" s="70"/>
      <c r="AC46" s="97"/>
      <c r="AD46" s="71"/>
      <c r="AE46" s="111"/>
      <c r="AF46" s="97"/>
      <c r="AG46" s="71"/>
      <c r="AH46" s="70"/>
      <c r="AI46" s="97"/>
      <c r="AJ46" s="71"/>
      <c r="AK46" s="70"/>
      <c r="AL46" s="97"/>
      <c r="AM46" s="71"/>
      <c r="AN46" s="70"/>
      <c r="AO46" s="97"/>
      <c r="AP46" s="97"/>
      <c r="AQ46" s="111"/>
      <c r="AR46" s="97"/>
      <c r="AS46" s="71"/>
    </row>
    <row r="47" spans="8:45" ht="12.75">
      <c r="H47" s="93"/>
      <c r="I47" s="74"/>
      <c r="J47" s="73"/>
      <c r="K47" s="93"/>
      <c r="L47" s="74"/>
      <c r="M47" s="73"/>
      <c r="N47" s="93"/>
      <c r="O47" s="74"/>
      <c r="P47" s="73"/>
      <c r="Q47" s="93"/>
      <c r="R47" s="74"/>
      <c r="S47" s="73"/>
      <c r="T47" s="93"/>
      <c r="U47" s="74"/>
      <c r="V47" s="73"/>
      <c r="W47" s="93"/>
      <c r="X47" s="74"/>
      <c r="Y47" s="73"/>
      <c r="Z47" s="93"/>
      <c r="AA47" s="74"/>
      <c r="AB47" s="73"/>
      <c r="AC47" s="93"/>
      <c r="AD47" s="74"/>
      <c r="AE47" s="73"/>
      <c r="AF47" s="93"/>
      <c r="AG47" s="74"/>
      <c r="AH47" s="73"/>
      <c r="AI47" s="93"/>
      <c r="AJ47" s="74"/>
      <c r="AK47" s="73"/>
      <c r="AL47" s="93"/>
      <c r="AM47" s="74"/>
      <c r="AN47" s="73"/>
      <c r="AO47" s="93"/>
      <c r="AP47" s="93"/>
      <c r="AQ47" s="73"/>
      <c r="AR47" s="93"/>
      <c r="AS47" s="74"/>
    </row>
    <row r="48" spans="3:44" ht="12.75">
      <c r="C48" s="95" t="s">
        <v>181</v>
      </c>
      <c r="D48" s="2"/>
      <c r="E48" s="2"/>
      <c r="G48" s="5"/>
      <c r="H48" s="19">
        <v>0.0065743978034242265</v>
      </c>
      <c r="I48" s="191"/>
      <c r="J48" s="191"/>
      <c r="K48" s="19">
        <v>0.003944638682054535</v>
      </c>
      <c r="L48" s="19"/>
      <c r="M48" s="19"/>
      <c r="N48" s="19">
        <v>0.0032871989017121133</v>
      </c>
      <c r="O48" s="19"/>
      <c r="P48" s="19"/>
      <c r="Q48" s="19">
        <v>0.03287198901712113</v>
      </c>
      <c r="R48" s="19"/>
      <c r="S48" s="19"/>
      <c r="T48" s="19">
        <v>0.0065743978034242265</v>
      </c>
      <c r="U48" s="19"/>
      <c r="V48" s="19"/>
      <c r="W48" s="19">
        <v>0.0006574397803424226</v>
      </c>
      <c r="X48" s="19"/>
      <c r="Y48" s="19"/>
      <c r="Z48" s="19">
        <v>0.0006574397803424226</v>
      </c>
      <c r="AA48" s="19"/>
      <c r="AB48" s="19"/>
      <c r="AC48" s="19">
        <v>0.0032871989017121133</v>
      </c>
      <c r="AD48" s="19"/>
      <c r="AE48" s="19"/>
      <c r="AF48" s="19">
        <v>0.0065743978034242265</v>
      </c>
      <c r="AG48" s="19"/>
      <c r="AH48" s="19"/>
      <c r="AI48" s="19">
        <v>0.0065743978034242265</v>
      </c>
      <c r="AJ48" s="19"/>
      <c r="AK48" s="19"/>
      <c r="AL48" s="19">
        <v>0.003944638682054535</v>
      </c>
      <c r="AM48" s="19"/>
      <c r="AN48" s="19"/>
      <c r="AO48" s="56">
        <v>6.574397803424227E-05</v>
      </c>
      <c r="AP48" s="56"/>
      <c r="AQ48" s="56"/>
      <c r="AR48" s="19">
        <v>0.0032871989017121133</v>
      </c>
    </row>
    <row r="49" spans="4:45" ht="12.75">
      <c r="D49" s="96"/>
      <c r="H49" s="93"/>
      <c r="I49" s="74"/>
      <c r="J49" s="73"/>
      <c r="K49" s="93"/>
      <c r="L49" s="74"/>
      <c r="M49" s="73"/>
      <c r="N49" s="93"/>
      <c r="O49" s="74"/>
      <c r="P49" s="73"/>
      <c r="Q49" s="93"/>
      <c r="R49" s="74"/>
      <c r="S49" s="73"/>
      <c r="T49" s="93"/>
      <c r="U49" s="74"/>
      <c r="V49" s="73"/>
      <c r="W49" s="93"/>
      <c r="X49" s="74"/>
      <c r="Y49" s="73"/>
      <c r="Z49" s="93"/>
      <c r="AA49" s="74"/>
      <c r="AB49" s="73"/>
      <c r="AC49" s="93"/>
      <c r="AD49" s="74"/>
      <c r="AE49" s="73"/>
      <c r="AF49" s="93"/>
      <c r="AG49" s="74"/>
      <c r="AH49" s="73"/>
      <c r="AI49" s="93"/>
      <c r="AJ49" s="74"/>
      <c r="AK49" s="73"/>
      <c r="AL49" s="93"/>
      <c r="AM49" s="74"/>
      <c r="AN49" s="73"/>
      <c r="AO49" s="93"/>
      <c r="AP49" s="93"/>
      <c r="AQ49" s="73"/>
      <c r="AR49" s="93"/>
      <c r="AS49" s="74"/>
    </row>
    <row r="50" spans="1:45" s="146" customFormat="1" ht="12.75">
      <c r="A50" s="137"/>
      <c r="B50" s="137"/>
      <c r="C50" s="138"/>
      <c r="D50" s="137"/>
      <c r="E50" s="137"/>
      <c r="F50" s="137"/>
      <c r="G50" s="139"/>
      <c r="H50" s="140" t="s">
        <v>189</v>
      </c>
      <c r="I50" s="141"/>
      <c r="J50" s="142"/>
      <c r="K50" s="143"/>
      <c r="L50" s="144"/>
      <c r="M50" s="145"/>
      <c r="N50" s="143"/>
      <c r="O50" s="144"/>
      <c r="P50" s="145"/>
      <c r="Q50" s="143"/>
      <c r="R50" s="144"/>
      <c r="S50" s="145"/>
      <c r="T50" s="143"/>
      <c r="U50" s="144"/>
      <c r="V50" s="145"/>
      <c r="W50" s="143"/>
      <c r="X50" s="144"/>
      <c r="Y50" s="145"/>
      <c r="Z50" s="143"/>
      <c r="AA50" s="144"/>
      <c r="AB50" s="145"/>
      <c r="AC50" s="143"/>
      <c r="AD50" s="144"/>
      <c r="AE50" s="145"/>
      <c r="AF50" s="143"/>
      <c r="AG50" s="144"/>
      <c r="AH50" s="145"/>
      <c r="AI50" s="143"/>
      <c r="AJ50" s="144"/>
      <c r="AK50" s="145"/>
      <c r="AL50" s="143"/>
      <c r="AM50" s="144"/>
      <c r="AN50" s="145"/>
      <c r="AO50" s="143"/>
      <c r="AP50" s="143"/>
      <c r="AQ50" s="145"/>
      <c r="AR50" s="143"/>
      <c r="AS50" s="144"/>
    </row>
    <row r="51" spans="8:45" ht="13.5" thickBot="1">
      <c r="H51" s="89" t="s">
        <v>75</v>
      </c>
      <c r="I51" s="76" t="s">
        <v>167</v>
      </c>
      <c r="K51" s="89" t="s">
        <v>76</v>
      </c>
      <c r="L51" s="76" t="s">
        <v>168</v>
      </c>
      <c r="N51" s="89" t="s">
        <v>77</v>
      </c>
      <c r="O51" s="76" t="s">
        <v>169</v>
      </c>
      <c r="Q51" s="89" t="s">
        <v>78</v>
      </c>
      <c r="R51" s="76" t="s">
        <v>170</v>
      </c>
      <c r="T51" s="89" t="s">
        <v>79</v>
      </c>
      <c r="U51" s="76" t="s">
        <v>171</v>
      </c>
      <c r="W51" s="89" t="s">
        <v>80</v>
      </c>
      <c r="X51" s="76" t="s">
        <v>172</v>
      </c>
      <c r="Z51" s="89" t="s">
        <v>81</v>
      </c>
      <c r="AA51" s="76" t="s">
        <v>173</v>
      </c>
      <c r="AC51" s="89" t="s">
        <v>82</v>
      </c>
      <c r="AD51" s="76" t="s">
        <v>174</v>
      </c>
      <c r="AF51" s="184" t="s">
        <v>83</v>
      </c>
      <c r="AG51" s="185" t="s">
        <v>179</v>
      </c>
      <c r="AI51" s="89" t="s">
        <v>84</v>
      </c>
      <c r="AJ51" s="76" t="s">
        <v>178</v>
      </c>
      <c r="AL51" s="89" t="s">
        <v>85</v>
      </c>
      <c r="AM51" s="76" t="s">
        <v>177</v>
      </c>
      <c r="AO51" s="89" t="s">
        <v>86</v>
      </c>
      <c r="AP51" s="89" t="s">
        <v>176</v>
      </c>
      <c r="AQ51" s="73"/>
      <c r="AR51" s="89" t="s">
        <v>87</v>
      </c>
      <c r="AS51" s="76" t="s">
        <v>175</v>
      </c>
    </row>
    <row r="52" spans="1:45" ht="12.75">
      <c r="A52" s="66" t="s">
        <v>183</v>
      </c>
      <c r="B52" s="67"/>
      <c r="C52" s="105">
        <v>101</v>
      </c>
      <c r="D52" s="89" t="s">
        <v>137</v>
      </c>
      <c r="H52" s="127">
        <f>SUMIF(G4,"1",H4)</f>
        <v>5674.550808988684</v>
      </c>
      <c r="I52" s="88">
        <f>SUMIF(G4,"1",I4)</f>
        <v>1669.455792715829</v>
      </c>
      <c r="J52" s="85"/>
      <c r="K52" s="161">
        <f>SUMIF(J4,"1",K4)</f>
        <v>12.62372294799732</v>
      </c>
      <c r="L52" s="162">
        <f>SUMIF(J4,"1",L4)</f>
        <v>3.713905842166527</v>
      </c>
      <c r="M52" s="85"/>
      <c r="N52" s="94">
        <f>SUMIF(M4,"1",N4)</f>
        <v>56.16073850044026</v>
      </c>
      <c r="O52" s="86">
        <f>SUMIF(M4,"1",O4)</f>
        <v>16.5225184104869</v>
      </c>
      <c r="P52" s="85"/>
      <c r="Q52" s="129">
        <f>SUMIF(P4,"1",Q4)</f>
        <v>8848.967266781989</v>
      </c>
      <c r="R52" s="130">
        <f>SUMIF(P4,"1",R4)</f>
        <v>2603.3707619078973</v>
      </c>
      <c r="S52" s="85"/>
      <c r="T52" s="94">
        <f>SUMIF(S4,"1",T4)</f>
        <v>713.0707225137795</v>
      </c>
      <c r="U52" s="86">
        <f>SUMIF(S4,"1",U4)</f>
        <v>209.78577659944332</v>
      </c>
      <c r="V52" s="85"/>
      <c r="W52" s="121">
        <f>SUMIF(V4,"1",W4)</f>
        <v>1600.4983358994625</v>
      </c>
      <c r="X52" s="122">
        <f>SUMIF(V4,"1",X4)</f>
        <v>470.8674409729354</v>
      </c>
      <c r="Y52" s="180"/>
      <c r="Z52" s="121">
        <f>SUMIF(Y4,"1",Z4)</f>
        <v>53.916640188274</v>
      </c>
      <c r="AA52" s="122">
        <f>SUMIF(Y4,"1",AA4)</f>
        <v>15.862303522511041</v>
      </c>
      <c r="AB52" s="85"/>
      <c r="AC52" s="94">
        <f>SUMIF(AB4,"1",AC4)</f>
        <v>15.6798487347779</v>
      </c>
      <c r="AD52" s="86">
        <f>SUMIF(AB4,"1",AD4)</f>
        <v>4.613019634561725</v>
      </c>
      <c r="AE52" s="85"/>
      <c r="AF52" s="121">
        <f>SUMIF(AE4,"1",AF4)</f>
        <v>95.00169028199015</v>
      </c>
      <c r="AG52" s="122">
        <f>SUMIF(AE4,"1",AG4)</f>
        <v>27.949546580468336</v>
      </c>
      <c r="AH52" s="85"/>
      <c r="AI52" s="94">
        <f>SUMIF(AH4,"1",AI4)</f>
        <v>12.183497582150386</v>
      </c>
      <c r="AJ52" s="86">
        <f>SUMIF(AH4,"1",AJ4)</f>
        <v>3.5843913110869137</v>
      </c>
      <c r="AK52" s="85"/>
      <c r="AL52" s="94">
        <f>SUMIF(AK4,"1",AL4)</f>
        <v>95.00169028199015</v>
      </c>
      <c r="AM52" s="86">
        <f>SUMIF(AK4,"1",AM4)</f>
        <v>27.949546580468336</v>
      </c>
      <c r="AN52" s="85"/>
      <c r="AO52" s="123">
        <f>SUMIF(AN4,"1",AO4)</f>
        <v>0.29736466201374495</v>
      </c>
      <c r="AP52" s="123">
        <f>SUMIF(AN4,"1",AP4)</f>
        <v>0.08748483787676331</v>
      </c>
      <c r="AQ52" s="73"/>
      <c r="AR52" s="121">
        <f>SUMIF(AQ4,"1",AR4)</f>
        <v>308.4656457053216</v>
      </c>
      <c r="AS52" s="122">
        <f>SUMIF(AQ4,"1",AS4)</f>
        <v>90.7507530394913</v>
      </c>
    </row>
    <row r="53" spans="1:45" ht="12.75">
      <c r="A53" s="75" t="s">
        <v>184</v>
      </c>
      <c r="B53" s="76"/>
      <c r="C53" s="105" t="s">
        <v>19</v>
      </c>
      <c r="D53" s="89" t="s">
        <v>137</v>
      </c>
      <c r="H53" s="127">
        <f>SUMIF(G8:G10,"1",H8:H10)</f>
        <v>1764.6896666250636</v>
      </c>
      <c r="I53" s="88">
        <f>SUMIF(G8:G10,"1",I8:I10)</f>
        <v>499.2214616328807</v>
      </c>
      <c r="J53" s="85"/>
      <c r="K53" s="159">
        <f>SUMIF(J8:J10,"1",K8:K10)</f>
        <v>0</v>
      </c>
      <c r="L53" s="179">
        <f>SUMIF(J8:J10,"1",L8:L10)</f>
        <v>0</v>
      </c>
      <c r="M53" s="85"/>
      <c r="N53" s="94">
        <f>SUMIF(M8:M10,"1",N8:N10)</f>
        <v>14.452799385334636</v>
      </c>
      <c r="O53" s="86">
        <f>SUMIF(M8:M10,"1",O8:O10)</f>
        <v>4.141211516656252</v>
      </c>
      <c r="P53" s="85"/>
      <c r="Q53" s="129">
        <f>SUMIF(P8:P10,"1",Q8:Q10)</f>
        <v>3847.1723039826024</v>
      </c>
      <c r="R53" s="130">
        <f>SUMIF(P8:P10,"1",R8:R10)</f>
        <v>1091.0380970416686</v>
      </c>
      <c r="S53" s="85"/>
      <c r="T53" s="94">
        <f>SUMIF(S8:S10,"1",T8:T10)</f>
        <v>69.88698358897989</v>
      </c>
      <c r="U53" s="86">
        <f>SUMIF(S8:S10,"1",U8:U10)</f>
        <v>19.963903974750977</v>
      </c>
      <c r="V53" s="85"/>
      <c r="W53" s="121">
        <f>SUMIF(V8:V10,"1",W8:W10)</f>
        <v>99.67137708656594</v>
      </c>
      <c r="X53" s="122">
        <f>SUMIF(V8:V10,"1",X8:X10)</f>
        <v>28.14382007658263</v>
      </c>
      <c r="Y53" s="180"/>
      <c r="Z53" s="121">
        <f>SUMIF(Y8:Y10,"1",Z8:Z10)</f>
        <v>15.819487891091974</v>
      </c>
      <c r="AA53" s="122">
        <f>SUMIF(Y8:Y10,"1",AA8:AA10)</f>
        <v>4.4808231451583955</v>
      </c>
      <c r="AB53" s="85"/>
      <c r="AC53" s="94">
        <f>SUMIF(AB8:AB10,"1",AC8:AC10)</f>
        <v>7.30436488484397</v>
      </c>
      <c r="AD53" s="86">
        <f>SUMIF(AB8:AB10,"1",AD8:AD10)</f>
        <v>2.1516636418278132</v>
      </c>
      <c r="AE53" s="85"/>
      <c r="AF53" s="121">
        <f>SUMIF(AE8:AE10,"1",AF8:AF10)</f>
        <v>37.678525576222086</v>
      </c>
      <c r="AG53" s="122">
        <f>SUMIF(AE8:AE10,"1",AG8:AG10)</f>
        <v>10.771103766625547</v>
      </c>
      <c r="AH53" s="85"/>
      <c r="AI53" s="94">
        <f>SUMIF(AH8:AH10,"1",AI8:AI10)</f>
        <v>6.68420521198611</v>
      </c>
      <c r="AJ53" s="86">
        <f>SUMIF(AH8:AH10,"1",AJ8:AJ10)</f>
        <v>1.9323768646962176</v>
      </c>
      <c r="AK53" s="85"/>
      <c r="AL53" s="94">
        <f>SUMIF(AK8:AK10,"1",AL8:AL10)</f>
        <v>37.678525576222086</v>
      </c>
      <c r="AM53" s="86">
        <f>SUMIF(AK8:AK10,"1",AM8:AM10)</f>
        <v>10.771103766625547</v>
      </c>
      <c r="AN53" s="85"/>
      <c r="AO53" s="136">
        <f>SUMIF(AN8:AN10,"1",AO8:AO10)</f>
        <v>0.006581995109351553</v>
      </c>
      <c r="AP53" s="136">
        <f>SUMIF(AN8:AN10,"1",AP8:AP10)</f>
        <v>0.0023064955817017887</v>
      </c>
      <c r="AQ53" s="73"/>
      <c r="AR53" s="121">
        <f>SUMIF(AQ8:AQ10,"1",AR8:AR10)</f>
        <v>47.543362992609474</v>
      </c>
      <c r="AS53" s="122">
        <f>SUMIF(AQ8:AQ10,"1",AS8:AS10)</f>
        <v>13.459142393779858</v>
      </c>
    </row>
    <row r="54" spans="1:45" ht="12.75">
      <c r="A54" s="75"/>
      <c r="B54" s="76"/>
      <c r="C54" s="105" t="s">
        <v>5</v>
      </c>
      <c r="D54" s="89" t="s">
        <v>137</v>
      </c>
      <c r="H54" s="127">
        <f>SUMIF(G14:G15,"1",H14:H15)</f>
        <v>1349.3214229930034</v>
      </c>
      <c r="I54" s="88">
        <f>SUMIF(G14:G15,"1",I14:I15)</f>
        <v>390.645692499889</v>
      </c>
      <c r="J54" s="85"/>
      <c r="K54" s="161">
        <f>SUMIF(J14:J15,"1",K14:K15)</f>
        <v>0</v>
      </c>
      <c r="L54" s="162">
        <f>SUMIF(J14:J15,"1",L14:L15)</f>
        <v>0</v>
      </c>
      <c r="M54" s="85"/>
      <c r="N54" s="94">
        <f>SUMIF(M14:M15,"1",N14:N15)</f>
        <v>6.996456074220378</v>
      </c>
      <c r="O54" s="86">
        <f>SUMIF(M14:M15,"1",O14:O15)</f>
        <v>2.031117507037463</v>
      </c>
      <c r="P54" s="85"/>
      <c r="Q54" s="129">
        <f>SUMIF(P14:P15,"1",Q14:Q15)</f>
        <v>524.8063001759566</v>
      </c>
      <c r="R54" s="130">
        <f>SUMIF(P14:P15,"1",R14:R15)</f>
        <v>154.1236388276174</v>
      </c>
      <c r="S54" s="85"/>
      <c r="T54" s="94">
        <f>SUMIF(S14:S15,"1",T14:T15)</f>
        <v>62.514668900289195</v>
      </c>
      <c r="U54" s="86">
        <f>SUMIF(S14:S15,"1",U14:U15)</f>
        <v>18.165643029192083</v>
      </c>
      <c r="V54" s="85"/>
      <c r="W54" s="121">
        <f>SUMIF(V14:V15,"1",W14:W15)</f>
        <v>60.76057600728088</v>
      </c>
      <c r="X54" s="122">
        <f>SUMIF(V14:V15,"1",X14:X15)</f>
        <v>17.57007258923099</v>
      </c>
      <c r="Y54" s="180"/>
      <c r="Z54" s="121">
        <f>SUMIF(Y14:Y15,"1",Z14:Z15)</f>
        <v>14.647179568976528</v>
      </c>
      <c r="AA54" s="122">
        <f>SUMIF(Y14:Y15,"1",AA14:AA15)</f>
        <v>4.246462231814956</v>
      </c>
      <c r="AB54" s="85"/>
      <c r="AC54" s="94">
        <f>SUMIF(AB14:AB15,"1",AC14:AC15)</f>
        <v>4.921425672162409</v>
      </c>
      <c r="AD54" s="86">
        <f>SUMIF(AB14:AB15,"1",AD14:AD15)</f>
        <v>1.4506829487955915</v>
      </c>
      <c r="AE54" s="85"/>
      <c r="AF54" s="121">
        <f>SUMIF(AE14:AE15,"1",AF14:AF15)</f>
        <v>35.99104601982845</v>
      </c>
      <c r="AG54" s="122">
        <f>SUMIF(AE14:AE15,"1",AG14:AG15)</f>
        <v>10.464469759674484</v>
      </c>
      <c r="AH54" s="85"/>
      <c r="AI54" s="94">
        <f>SUMIF(AH14:AH15,"1",AI14:AI15)</f>
        <v>5.620866469290689</v>
      </c>
      <c r="AJ54" s="86">
        <f>SUMIF(AH14:AH15,"1",AJ14:AJ15)</f>
        <v>1.645166009085987</v>
      </c>
      <c r="AK54" s="85"/>
      <c r="AL54" s="94">
        <f>SUMIF(AK14:AK15,"1",AL14:AL15)</f>
        <v>35.99104601982845</v>
      </c>
      <c r="AM54" s="86">
        <f>SUMIF(AK14:AK15,"1",AM14:AM15)</f>
        <v>10.464469759674484</v>
      </c>
      <c r="AN54" s="85"/>
      <c r="AO54" s="167">
        <f>SUMIF(AN14:AN15,"1",AO14:AO15)</f>
        <v>0</v>
      </c>
      <c r="AP54" s="167">
        <f>SUMIF(AN14:AN15,"1",AP14:AP15)</f>
        <v>0</v>
      </c>
      <c r="AQ54" s="73"/>
      <c r="AR54" s="121">
        <f>SUMIF(AQ14:AQ15,"1",AR14:AR15)</f>
        <v>37.159564815816836</v>
      </c>
      <c r="AS54" s="122">
        <f>SUMIF(AQ14:AQ15,"1",AS14:AS15)</f>
        <v>10.764341277950779</v>
      </c>
    </row>
    <row r="55" spans="1:45" ht="12.75">
      <c r="A55" s="151" t="s">
        <v>187</v>
      </c>
      <c r="B55" s="152"/>
      <c r="C55" s="105" t="s">
        <v>21</v>
      </c>
      <c r="D55" s="89" t="s">
        <v>137</v>
      </c>
      <c r="H55" s="127">
        <f>SUMIF(G19:G21,"1",H19:H21)</f>
        <v>1908.835609674193</v>
      </c>
      <c r="I55" s="88">
        <f>SUMIF(G19:G21,"1",I19:I21)</f>
        <v>550.236284769631</v>
      </c>
      <c r="J55" s="85"/>
      <c r="K55" s="161">
        <f>SUMIF(J19:J21,"1",K19:K21)</f>
        <v>2.5537174565256544</v>
      </c>
      <c r="L55" s="162">
        <f>SUMIF(J19:J21,"1",L19:L21)</f>
        <v>0.7320299015422688</v>
      </c>
      <c r="M55" s="85"/>
      <c r="N55" s="94">
        <f>SUMIF(M19:M21,"1",N19:N21)</f>
        <v>15.060971554512403</v>
      </c>
      <c r="O55" s="86">
        <f>SUMIF(M19:M21,"1",O19:O21)</f>
        <v>4.319060787120033</v>
      </c>
      <c r="P55" s="85"/>
      <c r="Q55" s="129">
        <f>SUMIF(P19:P21,"1",Q19:Q21)</f>
        <v>3742.423393164908</v>
      </c>
      <c r="R55" s="130">
        <f>SUMIF(P19:P21,"1",R19:R21)</f>
        <v>1081.5174770422905</v>
      </c>
      <c r="S55" s="85"/>
      <c r="T55" s="94">
        <f>SUMIF(S19:S21,"1",T19:T21)</f>
        <v>150.39192178342296</v>
      </c>
      <c r="U55" s="86">
        <f>SUMIF(S19:S21,"1",U19:U21)</f>
        <v>43.0960012022682</v>
      </c>
      <c r="V55" s="85"/>
      <c r="W55" s="121">
        <f>SUMIF(V19:V21,"1",W19:W21)</f>
        <v>256.08190683258505</v>
      </c>
      <c r="X55" s="122">
        <f>SUMIF(V19:V21,"1",X19:X21)</f>
        <v>73.31309378582552</v>
      </c>
      <c r="Y55" s="180"/>
      <c r="Z55" s="181">
        <f>SUMIF(Y19:Y21,"1",Z19:Z21)</f>
        <v>30.16631500248674</v>
      </c>
      <c r="AA55" s="122">
        <f>SUMIF(Y19:Y21,"1",AA19:AA21)</f>
        <v>8.654545406120192</v>
      </c>
      <c r="AB55" s="85"/>
      <c r="AC55" s="94">
        <f>SUMIF(AB19:AB21,"1",AC19:AC21)</f>
        <v>10.40905497956318</v>
      </c>
      <c r="AD55" s="86">
        <f>SUMIF(AB19:AB21,"1",AD19:AD21)</f>
        <v>3.009417199544785</v>
      </c>
      <c r="AE55" s="85"/>
      <c r="AF55" s="121">
        <f>SUMIF(AE19:AE21,"1",AF19:AF21)</f>
        <v>39.88234791943822</v>
      </c>
      <c r="AG55" s="122">
        <f>SUMIF(AE19:AE21,"1",AG19:AG21)</f>
        <v>11.493966474031525</v>
      </c>
      <c r="AH55" s="85"/>
      <c r="AI55" s="94">
        <f>SUMIF(AH19:AH21,"1",AI19:AI21)</f>
        <v>10.502597463702804</v>
      </c>
      <c r="AJ55" s="86">
        <f>SUMIF(AH19:AH21,"1",AJ19:AJ21)</f>
        <v>3.0317530731133147</v>
      </c>
      <c r="AK55" s="85"/>
      <c r="AL55" s="94">
        <f>SUMIF(AK19:AK21,"1",AL19:AL21)</f>
        <v>39.88234791943822</v>
      </c>
      <c r="AM55" s="86">
        <f>SUMIF(AK19:AK21,"1",AM19:AM21)</f>
        <v>11.493966474031525</v>
      </c>
      <c r="AN55" s="85"/>
      <c r="AO55" s="136">
        <f>SUMIF(AN19:AN21,"1",AO19:AO21)</f>
        <v>0.10710205958320143</v>
      </c>
      <c r="AP55" s="136">
        <f>SUMIF(AN19:AN21,"1",AP19:AP21)</f>
        <v>0.030591128655107887</v>
      </c>
      <c r="AQ55" s="85"/>
      <c r="AR55" s="121">
        <f>SUMIF(AQ19:AQ21,"1",AR19:AR21)</f>
        <v>80.44609394622387</v>
      </c>
      <c r="AS55" s="122">
        <f>SUMIF(AQ19:AQ21,"1",AS19:AS21)</f>
        <v>23.082526527702736</v>
      </c>
    </row>
    <row r="56" spans="1:45" ht="12.75">
      <c r="A56" s="151" t="s">
        <v>188</v>
      </c>
      <c r="B56" s="152"/>
      <c r="C56" s="105" t="s">
        <v>12</v>
      </c>
      <c r="D56" s="89" t="s">
        <v>137</v>
      </c>
      <c r="H56" s="127">
        <f>SUMIF(G25:G28,"1",H25:H28)</f>
        <v>1084.8875047304737</v>
      </c>
      <c r="I56" s="88">
        <f>SUMIF(G25:G28,"1",I25:I28)</f>
        <v>310.7301228338629</v>
      </c>
      <c r="J56" s="85"/>
      <c r="K56" s="161">
        <f>SUMIF(J25:J28,"1",K25:K28)</f>
        <v>0</v>
      </c>
      <c r="L56" s="162">
        <f>SUMIF(J25:J28,"1",L25:L28)</f>
        <v>0</v>
      </c>
      <c r="M56" s="85"/>
      <c r="N56" s="94">
        <f>SUMIF(M25:M28,"1",N25:N28)</f>
        <v>15.01815178216121</v>
      </c>
      <c r="O56" s="86">
        <f>SUMIF(M25:M28,"1",O25:O28)</f>
        <v>4.272586394593107</v>
      </c>
      <c r="P56" s="85"/>
      <c r="Q56" s="129">
        <f>SUMIF(P25:P28,"1",Q25:Q28)</f>
        <v>2866.0549223456455</v>
      </c>
      <c r="R56" s="130">
        <f>SUMIF(P25:P28,"1",R25:R28)</f>
        <v>829.2171039023644</v>
      </c>
      <c r="S56" s="85"/>
      <c r="T56" s="94">
        <f>SUMIF(S25:S28,"1",T25:T28)</f>
        <v>98.5691767503443</v>
      </c>
      <c r="U56" s="86">
        <f>SUMIF(S25:S28,"1",U25:U28)</f>
        <v>28.058710879631523</v>
      </c>
      <c r="V56" s="85"/>
      <c r="W56" s="121">
        <f>SUMIF(V25:V28,"1",W25:W28)</f>
        <v>145.05247288467504</v>
      </c>
      <c r="X56" s="122">
        <f>SUMIF(V25:V28,"1",X25:X28)</f>
        <v>40.98159588233992</v>
      </c>
      <c r="Y56" s="180"/>
      <c r="Z56" s="121">
        <f>SUMIF(Y25:Y28,"1",Z25:Z28)</f>
        <v>37.24110169433985</v>
      </c>
      <c r="AA56" s="122">
        <f>SUMIF(Y25:Y28,"1",AA25:AA28)</f>
        <v>10.543322511224844</v>
      </c>
      <c r="AB56" s="85"/>
      <c r="AC56" s="94">
        <f>SUMIF(AB25:AB28,"1",AC25:AC28)</f>
        <v>8.85036404098664</v>
      </c>
      <c r="AD56" s="86">
        <f>SUMIF(AB25:AB28,"1",AD25:AD28)</f>
        <v>2.5646346552807917</v>
      </c>
      <c r="AE56" s="85"/>
      <c r="AF56" s="121">
        <f>SUMIF(AE25:AE28,"1",AF25:AF28)</f>
        <v>25.102409917753192</v>
      </c>
      <c r="AG56" s="122">
        <f>SUMIF(AE25:AE28,"1",AG25:AG28)</f>
        <v>7.3036441063139</v>
      </c>
      <c r="AH56" s="85"/>
      <c r="AI56" s="94">
        <f>SUMIF(AH25:AH28,"1",AI25:AI28)</f>
        <v>8.659877989641398</v>
      </c>
      <c r="AJ56" s="86">
        <f>SUMIF(AH25:AH28,"1",AJ25:AJ28)</f>
        <v>2.4933213462312285</v>
      </c>
      <c r="AK56" s="85"/>
      <c r="AL56" s="94">
        <f>SUMIF(AK25:AK28,"1",AL25:AL28)</f>
        <v>25.102409917753192</v>
      </c>
      <c r="AM56" s="86">
        <f>SUMIF(AK25:AK28,"1",AM25:AM28)</f>
        <v>7.3036441063139</v>
      </c>
      <c r="AN56" s="85"/>
      <c r="AO56" s="136">
        <f>SUMIF(AN25:AN28,"1",AO25:AO28)</f>
        <v>0.10489506408401708</v>
      </c>
      <c r="AP56" s="136">
        <f>SUMIF(AN25:AN28,"1",AP25:AP28)</f>
        <v>0.029533561732393163</v>
      </c>
      <c r="AQ56" s="85"/>
      <c r="AR56" s="121">
        <f>SUMIF(AQ25:AQ28,"1",AR25:AR28)</f>
        <v>62.498797543246965</v>
      </c>
      <c r="AS56" s="122">
        <f>SUMIF(AQ25:AQ28,"1",AS25:AS28)</f>
        <v>17.998218893741996</v>
      </c>
    </row>
    <row r="57" spans="1:45" ht="12.75">
      <c r="A57" s="75"/>
      <c r="B57" s="76"/>
      <c r="C57" s="105" t="s">
        <v>20</v>
      </c>
      <c r="D57" s="89" t="s">
        <v>137</v>
      </c>
      <c r="H57" s="127">
        <f>SUMIF(G32:G34,"1",H32:H34)</f>
        <v>2264.9697872802517</v>
      </c>
      <c r="I57" s="88">
        <f>SUMIF(G32:G34,"1",I32:I34)</f>
        <v>640.4963666574303</v>
      </c>
      <c r="J57" s="85"/>
      <c r="K57" s="119">
        <f>SUMIF(J32:J34,"1",K32:K34)</f>
        <v>3.9151329230808054</v>
      </c>
      <c r="L57" s="84">
        <f>SUMIF(J32:J34,"1",L32:L34)</f>
        <v>1.1023189783431395</v>
      </c>
      <c r="M57" s="85"/>
      <c r="N57" s="94">
        <f>SUMIF(M32:M34,"1",N32:N34)</f>
        <v>7.744867928173758</v>
      </c>
      <c r="O57" s="86">
        <f>SUMIF(M32:M34,"1",O32:O34)</f>
        <v>2.1963490787546984</v>
      </c>
      <c r="P57" s="85"/>
      <c r="Q57" s="129">
        <f>SUMIF(P32:P34,"1",Q32:Q34)</f>
        <v>8101.865874975181</v>
      </c>
      <c r="R57" s="130">
        <f>SUMIF(P32:P34,"1",R32:R34)</f>
        <v>2305.524561324781</v>
      </c>
      <c r="S57" s="85"/>
      <c r="T57" s="94">
        <f>SUMIF(S32:S34,"1",T32:T34)</f>
        <v>367.4109823658166</v>
      </c>
      <c r="U57" s="86">
        <f>SUMIF(S32:S34,"1",U32:U34)</f>
        <v>103.60959416529491</v>
      </c>
      <c r="V57" s="85"/>
      <c r="W57" s="121">
        <f>SUMIF(V32:V34,"1",W32:W34)</f>
        <v>785.3153867814354</v>
      </c>
      <c r="X57" s="122">
        <f>SUMIF(V32:V34,"1",X32:X34)</f>
        <v>221.28015430598572</v>
      </c>
      <c r="Y57" s="180"/>
      <c r="Z57" s="121">
        <f>SUMIF(Y32:Y34,"1",Z32:Z34)</f>
        <v>28.318494935381278</v>
      </c>
      <c r="AA57" s="122">
        <f>SUMIF(Y32:Y34,"1",AA32:AA34)</f>
        <v>8.015452328953847</v>
      </c>
      <c r="AB57" s="85"/>
      <c r="AC57" s="94">
        <f>SUMIF(AB32:AB34,"1",AC32:AC34)</f>
        <v>7.090915542380062</v>
      </c>
      <c r="AD57" s="86">
        <f>SUMIF(AB32:AB34,"1",AD32:AD34)</f>
        <v>2.0304948165001844</v>
      </c>
      <c r="AE57" s="85"/>
      <c r="AF57" s="121">
        <f>SUMIF(AE32:AE34,"1",AF32:AF34)</f>
        <v>52.52554621699739</v>
      </c>
      <c r="AG57" s="122">
        <f>SUMIF(AE32:AE34,"1",AG32:AG34)</f>
        <v>14.881322710151435</v>
      </c>
      <c r="AH57" s="85"/>
      <c r="AI57" s="94">
        <f>SUMIF(AH32:AH34,"1",AI32:AI34)</f>
        <v>8.20440685613038</v>
      </c>
      <c r="AJ57" s="86">
        <f>SUMIF(AH32:AH34,"1",AJ32:AJ34)</f>
        <v>2.351533667940922</v>
      </c>
      <c r="AK57" s="85"/>
      <c r="AL57" s="94">
        <f>SUMIF(AK32:AK34,"1",AL32:AL34)</f>
        <v>52.52554621699739</v>
      </c>
      <c r="AM57" s="86">
        <f>SUMIF(AK32:AK34,"1",AM32:AM34)</f>
        <v>14.881322710151435</v>
      </c>
      <c r="AN57" s="85"/>
      <c r="AO57" s="123">
        <f>SUMIF(AN32:AN34,"1",AO32:AO34)</f>
        <v>0.13279630071949494</v>
      </c>
      <c r="AP57" s="123">
        <f>SUMIF(AN32:AN34,"1",AP32:AP34)</f>
        <v>0.03817010904575069</v>
      </c>
      <c r="AQ57" s="85"/>
      <c r="AR57" s="121">
        <f>SUMIF(AQ32:AQ34,"1",AR32:AR34)</f>
        <v>89.78779037414898</v>
      </c>
      <c r="AS57" s="122">
        <f>SUMIF(AQ32:AQ34,"1",AS32:AS34)</f>
        <v>25.471106436979184</v>
      </c>
    </row>
    <row r="58" spans="1:45" ht="12.75">
      <c r="A58" s="153" t="s">
        <v>185</v>
      </c>
      <c r="B58" s="154"/>
      <c r="C58" s="105" t="s">
        <v>17</v>
      </c>
      <c r="D58" s="89" t="s">
        <v>137</v>
      </c>
      <c r="H58" s="127">
        <f>SUMIF(G38:G40,"1",H38:H40)</f>
        <v>2129.0369792207016</v>
      </c>
      <c r="I58" s="88">
        <f>SUMIF(G38:G40,"1",I38:I40)</f>
        <v>602.5402718569446</v>
      </c>
      <c r="J58" s="85"/>
      <c r="K58" s="119">
        <f>SUMIF(J38:J40,"1",K38:K40)</f>
        <v>3.9857360637755406</v>
      </c>
      <c r="L58" s="84">
        <f>SUMIF(J38:J40,"1",L38:L40)</f>
        <v>1.1221975325193267</v>
      </c>
      <c r="M58" s="85"/>
      <c r="N58" s="94">
        <f>SUMIF(M38:M40,"1",N38:N40)</f>
        <v>14.43962837791026</v>
      </c>
      <c r="O58" s="86">
        <f>SUMIF(M38:M40,"1",O38:O40)</f>
        <v>4.087967737293412</v>
      </c>
      <c r="P58" s="85"/>
      <c r="Q58" s="129">
        <f>SUMIF(P38:P40,"1",Q38:Q40)</f>
        <v>5797.102289566703</v>
      </c>
      <c r="R58" s="130">
        <f>SUMIF(P38:P40,"1",R38:R40)</f>
        <v>1652.4838508865112</v>
      </c>
      <c r="S58" s="85"/>
      <c r="T58" s="94">
        <f>SUMIF(S38:S40,"1",T38:T40)</f>
        <v>192.30430199645417</v>
      </c>
      <c r="U58" s="86">
        <f>SUMIF(S38:S40,"1",U38:U40)</f>
        <v>54.328849875250754</v>
      </c>
      <c r="V58" s="85"/>
      <c r="W58" s="121">
        <f>SUMIF(V38:V40,"1",W38:W40)</f>
        <v>556.9327626965091</v>
      </c>
      <c r="X58" s="122">
        <f>SUMIF(V38:V40,"1",X38:X40)</f>
        <v>156.95272514300478</v>
      </c>
      <c r="Y58" s="180"/>
      <c r="Z58" s="121">
        <f>SUMIF(Y38:Y40,"1",Z38:Z40)</f>
        <v>3.7651063036438517</v>
      </c>
      <c r="AA58" s="122">
        <f>SUMIF(Y38:Y40,"1",AA38:AA40)</f>
        <v>1.0756396197632756</v>
      </c>
      <c r="AB58" s="85"/>
      <c r="AC58" s="94">
        <f>SUMIF(AB38:AB40,"1",AC38:AC40)</f>
        <v>5.4805137476484145</v>
      </c>
      <c r="AD58" s="86">
        <f>SUMIF(AB38:AB40,"1",AD38:AD40)</f>
        <v>1.5873501477022978</v>
      </c>
      <c r="AE58" s="85"/>
      <c r="AF58" s="121">
        <f>SUMIF(AE38:AE40,"1",AF38:AF40)</f>
        <v>36.98108849875761</v>
      </c>
      <c r="AG58" s="122">
        <f>SUMIF(AE38:AE40,"1",AG38:AG40)</f>
        <v>10.514132802948613</v>
      </c>
      <c r="AH58" s="85"/>
      <c r="AI58" s="94">
        <f>SUMIF(AH38:AH40,"1",AI38:AI40)</f>
        <v>5.606769737605134</v>
      </c>
      <c r="AJ58" s="86">
        <f>SUMIF(AH38:AH40,"1",AJ38:AJ40)</f>
        <v>1.6227661572826166</v>
      </c>
      <c r="AK58" s="85"/>
      <c r="AL58" s="94">
        <f>SUMIF(AK38:AK40,"1",AL38:AL40)</f>
        <v>36.98108849875761</v>
      </c>
      <c r="AM58" s="86">
        <f>SUMIF(AK38:AK40,"1",AM38:AM40)</f>
        <v>10.514132802948613</v>
      </c>
      <c r="AN58" s="85"/>
      <c r="AO58" s="123">
        <f>SUMIF(AN38:AN40,"1",AO38:AO40)</f>
        <v>0.31455730744173177</v>
      </c>
      <c r="AP58" s="123">
        <f>SUMIF(AN38:AN40,"1",AP38:AP40)</f>
        <v>0.0889757734656645</v>
      </c>
      <c r="AQ58" s="85"/>
      <c r="AR58" s="121">
        <f>SUMIF(AQ38:AQ40,"1",AR38:AR40)</f>
        <v>103.79190684553835</v>
      </c>
      <c r="AS58" s="122">
        <f>SUMIF(AQ38:AQ40,"1",AS38:AS40)</f>
        <v>29.653220027891216</v>
      </c>
    </row>
    <row r="59" spans="1:45" ht="13.5" thickBot="1">
      <c r="A59" s="155" t="s">
        <v>186</v>
      </c>
      <c r="B59" s="156"/>
      <c r="C59" s="105" t="s">
        <v>22</v>
      </c>
      <c r="D59" s="89" t="s">
        <v>137</v>
      </c>
      <c r="H59" s="127">
        <f>SUMIF(G44:G45,"1",H44:H45)</f>
        <v>788.3294814001214</v>
      </c>
      <c r="I59" s="88">
        <f>SUMIF(G44:G45,"1",I44:I45)</f>
        <v>245.26360908964642</v>
      </c>
      <c r="J59" s="85"/>
      <c r="K59" s="161">
        <f>SUMIF(J44:J45,"1",K44:K45)</f>
        <v>1.386715569567046</v>
      </c>
      <c r="L59" s="162">
        <f>SUMIF(J44:J45,"1",L44:L45)</f>
        <v>0.3927469221731613</v>
      </c>
      <c r="M59" s="85"/>
      <c r="N59" s="94">
        <f>SUMIF(M44:M45,"1",N44:N45)</f>
        <v>14.383597332038972</v>
      </c>
      <c r="O59" s="86">
        <f>SUMIF(M44:M45,"1",O44:O45)</f>
        <v>4.176434248878125</v>
      </c>
      <c r="P59" s="85"/>
      <c r="Q59" s="129">
        <f>SUMIF(P44:P45,"1",Q44:Q45)</f>
        <v>2442.084307611738</v>
      </c>
      <c r="R59" s="130">
        <f>SUMIF(P44:P45,"1",R44:R45)</f>
        <v>762.2459329913335</v>
      </c>
      <c r="S59" s="85"/>
      <c r="T59" s="94">
        <f>SUMIF(S44:S45,"1",T44:T45)</f>
        <v>99.22778415509278</v>
      </c>
      <c r="U59" s="86">
        <f>SUMIF(S44:S45,"1",U44:U45)</f>
        <v>29.00389497243404</v>
      </c>
      <c r="V59" s="85"/>
      <c r="W59" s="121">
        <f>SUMIF(V44:V45,"1",W44:W45)</f>
        <v>136.97992304713878</v>
      </c>
      <c r="X59" s="122">
        <f>SUMIF(V44:V45,"1",X44:X45)</f>
        <v>40.62760065461559</v>
      </c>
      <c r="Y59" s="180"/>
      <c r="Z59" s="121">
        <f>SUMIF(Y44:Y45,"1",Z44:Z45)</f>
        <v>39.961332715728</v>
      </c>
      <c r="AA59" s="122">
        <f>SUMIF(Y44:Y45,"1",AA44:AA45)</f>
        <v>11.836364097327424</v>
      </c>
      <c r="AB59" s="85"/>
      <c r="AC59" s="94">
        <f>SUMIF(AB44:AB45,"1",AC44:AC45)</f>
        <v>4.239115460615879</v>
      </c>
      <c r="AD59" s="86">
        <f>SUMIF(AB44:AB45,"1",AD44:AD45)</f>
        <v>1.2509434662817511</v>
      </c>
      <c r="AE59" s="85"/>
      <c r="AF59" s="121">
        <f>SUMIF(AE44:AE45,"1",AF44:AF45)</f>
        <v>35.73107163957153</v>
      </c>
      <c r="AG59" s="122">
        <f>SUMIF(AE44:AE45,"1",AG44:AG45)</f>
        <v>10.51822404726531</v>
      </c>
      <c r="AH59" s="85"/>
      <c r="AI59" s="94">
        <f>SUMIF(AH44:AH45,"1",AI44:AI45)</f>
        <v>5.881458415892971</v>
      </c>
      <c r="AJ59" s="86">
        <f>SUMIF(AH44:AH45,"1",AJ44:AJ45)</f>
        <v>1.7467294494270296</v>
      </c>
      <c r="AK59" s="85"/>
      <c r="AL59" s="94">
        <f>SUMIF(AK44:AK45,"1",AL44:AL45)</f>
        <v>35.73107163957153</v>
      </c>
      <c r="AM59" s="86">
        <f>SUMIF(AK44:AK45,"1",AM44:AM45)</f>
        <v>10.51822404726531</v>
      </c>
      <c r="AN59" s="85"/>
      <c r="AO59" s="123">
        <f>SUMIF(AN44:AN45,"1",AO44:AO45)</f>
        <v>0.03717379942787987</v>
      </c>
      <c r="AP59" s="123">
        <f>SUMIF(AN44:AN45,"1",AP44:AP45)</f>
        <v>0.011041105173291264</v>
      </c>
      <c r="AQ59" s="85"/>
      <c r="AR59" s="121">
        <f>SUMIF(AQ44:AQ45,"1",AR44:AR45)</f>
        <v>61.20839310425181</v>
      </c>
      <c r="AS59" s="122">
        <f>SUMIF(AQ44:AQ45,"1",AS44:AS45)</f>
        <v>18.402206933051524</v>
      </c>
    </row>
    <row r="60" spans="11:24" ht="12.75">
      <c r="K60" s="120"/>
      <c r="W60" s="184"/>
      <c r="X60" s="185"/>
    </row>
    <row r="62" spans="1:45" s="146" customFormat="1" ht="12.75">
      <c r="A62" s="128"/>
      <c r="B62" s="137"/>
      <c r="C62" s="138"/>
      <c r="D62" s="137"/>
      <c r="E62" s="137"/>
      <c r="F62" s="137"/>
      <c r="G62" s="139"/>
      <c r="H62" s="140" t="s">
        <v>182</v>
      </c>
      <c r="I62" s="141"/>
      <c r="J62" s="142"/>
      <c r="K62" s="143"/>
      <c r="L62" s="144"/>
      <c r="M62" s="145"/>
      <c r="N62" s="143"/>
      <c r="O62" s="144"/>
      <c r="P62" s="145"/>
      <c r="Q62" s="143"/>
      <c r="R62" s="144"/>
      <c r="S62" s="145"/>
      <c r="T62" s="143"/>
      <c r="U62" s="144"/>
      <c r="V62" s="145"/>
      <c r="W62" s="143"/>
      <c r="X62" s="144"/>
      <c r="Y62" s="145"/>
      <c r="Z62" s="143"/>
      <c r="AA62" s="144"/>
      <c r="AB62" s="145"/>
      <c r="AC62" s="143"/>
      <c r="AD62" s="144"/>
      <c r="AE62" s="145"/>
      <c r="AF62" s="143"/>
      <c r="AG62" s="144"/>
      <c r="AH62" s="145"/>
      <c r="AI62" s="143"/>
      <c r="AJ62" s="144"/>
      <c r="AK62" s="145"/>
      <c r="AL62" s="143"/>
      <c r="AM62" s="144"/>
      <c r="AN62" s="145"/>
      <c r="AO62" s="143"/>
      <c r="AP62" s="143"/>
      <c r="AQ62" s="145"/>
      <c r="AR62" s="143"/>
      <c r="AS62" s="144"/>
    </row>
    <row r="63" spans="8:45" ht="12.75">
      <c r="H63" s="89" t="s">
        <v>75</v>
      </c>
      <c r="I63" s="76" t="s">
        <v>167</v>
      </c>
      <c r="K63" s="89" t="s">
        <v>76</v>
      </c>
      <c r="L63" s="76" t="s">
        <v>168</v>
      </c>
      <c r="N63" s="89" t="s">
        <v>77</v>
      </c>
      <c r="O63" s="76" t="s">
        <v>169</v>
      </c>
      <c r="Q63" s="89" t="s">
        <v>78</v>
      </c>
      <c r="R63" s="76" t="s">
        <v>170</v>
      </c>
      <c r="T63" s="89" t="s">
        <v>79</v>
      </c>
      <c r="U63" s="76" t="s">
        <v>171</v>
      </c>
      <c r="W63" s="89" t="s">
        <v>80</v>
      </c>
      <c r="X63" s="76" t="s">
        <v>172</v>
      </c>
      <c r="Z63" s="89" t="s">
        <v>81</v>
      </c>
      <c r="AA63" s="76" t="s">
        <v>173</v>
      </c>
      <c r="AC63" s="89" t="s">
        <v>82</v>
      </c>
      <c r="AD63" s="76" t="s">
        <v>174</v>
      </c>
      <c r="AF63" s="89" t="s">
        <v>83</v>
      </c>
      <c r="AG63" s="76" t="s">
        <v>179</v>
      </c>
      <c r="AI63" s="89" t="s">
        <v>84</v>
      </c>
      <c r="AJ63" s="76" t="s">
        <v>178</v>
      </c>
      <c r="AL63" s="89" t="s">
        <v>85</v>
      </c>
      <c r="AM63" s="76" t="s">
        <v>177</v>
      </c>
      <c r="AO63" s="89" t="s">
        <v>86</v>
      </c>
      <c r="AP63" s="89" t="s">
        <v>176</v>
      </c>
      <c r="AR63" s="89" t="s">
        <v>87</v>
      </c>
      <c r="AS63" s="76" t="s">
        <v>175</v>
      </c>
    </row>
    <row r="64" spans="3:45" ht="12.75">
      <c r="C64" s="105">
        <v>101</v>
      </c>
      <c r="D64" s="89" t="s">
        <v>137</v>
      </c>
      <c r="G64" s="87">
        <f>COUNTIF(G4,0)</f>
        <v>0</v>
      </c>
      <c r="H64" s="127">
        <f>SUMIF(G4,"0",H4)</f>
        <v>0</v>
      </c>
      <c r="I64" s="88">
        <f>SUMIF(G4,"0",I4)</f>
        <v>0</v>
      </c>
      <c r="J64" s="87">
        <f>COUNTIF(J4,0)</f>
        <v>0</v>
      </c>
      <c r="K64" s="127">
        <f>SUMIF(J4,"0",K4)</f>
        <v>0</v>
      </c>
      <c r="L64" s="88">
        <f>SUMIF(J4,"0",L4)</f>
        <v>0</v>
      </c>
      <c r="M64" s="87">
        <f>COUNTIF(M4,0)</f>
        <v>0</v>
      </c>
      <c r="N64" s="127">
        <f>SUMIF(M4,"0",N4)</f>
        <v>0</v>
      </c>
      <c r="O64" s="88">
        <f>SUMIF(M4,"0",O4)</f>
        <v>0</v>
      </c>
      <c r="P64" s="87">
        <f>COUNTIF(P4,0)</f>
        <v>0</v>
      </c>
      <c r="Q64" s="94">
        <f>SUMIF(P4,"0",Q4)</f>
        <v>0</v>
      </c>
      <c r="R64" s="86">
        <f>SUMIF(P4,"0",R4)</f>
        <v>0</v>
      </c>
      <c r="S64" s="87">
        <f>COUNTIF(S4,0)</f>
        <v>0</v>
      </c>
      <c r="T64" s="127">
        <f>SUMIF(S4,"0",T4)</f>
        <v>0</v>
      </c>
      <c r="U64" s="88">
        <f>SUMIF(S4,"0",U4)</f>
        <v>0</v>
      </c>
      <c r="V64" s="87">
        <f>COUNTIF(V4,0)</f>
        <v>0</v>
      </c>
      <c r="W64" s="127">
        <f>SUMIF(V4,"0",W4)</f>
        <v>0</v>
      </c>
      <c r="X64" s="88">
        <f>SUMIF(V4,"0",X4)</f>
        <v>0</v>
      </c>
      <c r="Y64" s="87">
        <f>COUNTIF(Y4,0)</f>
        <v>0</v>
      </c>
      <c r="Z64" s="127">
        <f>SUMIF(Y4,"0",Z4)</f>
        <v>0</v>
      </c>
      <c r="AA64" s="88">
        <f>SUMIF(Y4,"0",AA4)</f>
        <v>0</v>
      </c>
      <c r="AB64" s="87">
        <f>COUNTIF(AB4,0)</f>
        <v>0</v>
      </c>
      <c r="AC64" s="127">
        <f>SUMIF(AB4,"0",AC4)</f>
        <v>0</v>
      </c>
      <c r="AD64" s="88">
        <f>SUMIF(AB4,"0",AD4)</f>
        <v>0</v>
      </c>
      <c r="AE64" s="87">
        <f>COUNTIF(AE4,0)</f>
        <v>0</v>
      </c>
      <c r="AF64" s="94">
        <f>SUMIF(AE4,"0",AF4)</f>
        <v>0</v>
      </c>
      <c r="AG64" s="86">
        <f>SUMIF(AE4,"0",AG4)</f>
        <v>0</v>
      </c>
      <c r="AH64" s="87">
        <f>COUNTIF(AH4,0)</f>
        <v>0</v>
      </c>
      <c r="AI64" s="129">
        <f>SUMIF(AH4,"0",AI4)</f>
        <v>0</v>
      </c>
      <c r="AJ64" s="130">
        <f>SUMIF(AH4,"0",AJ4)</f>
        <v>0</v>
      </c>
      <c r="AK64" s="87">
        <f>COUNTIF(AK4,0)</f>
        <v>0</v>
      </c>
      <c r="AL64" s="129">
        <f>SUMIF(AK4,"0",AL4)</f>
        <v>0</v>
      </c>
      <c r="AM64" s="130">
        <f>SUMIF(AK4,"0",AM4)</f>
        <v>0</v>
      </c>
      <c r="AN64" s="87">
        <f>COUNTIF(AN4,0)</f>
        <v>0</v>
      </c>
      <c r="AO64" s="123">
        <f>SUMIF(AN4,"0",AO4)</f>
        <v>0</v>
      </c>
      <c r="AP64" s="123">
        <f>SUMIF(AN4,"0",AP4)</f>
        <v>0</v>
      </c>
      <c r="AQ64" s="87">
        <f>COUNTIF(AQ4,0)</f>
        <v>0</v>
      </c>
      <c r="AR64" s="94">
        <f>SUMIF(AQ4,"0",AR4)</f>
        <v>0</v>
      </c>
      <c r="AS64" s="86">
        <f>SUMIF(AQ4,"0",AS4)</f>
        <v>0</v>
      </c>
    </row>
    <row r="65" spans="3:45" ht="12.75">
      <c r="C65" s="105" t="s">
        <v>19</v>
      </c>
      <c r="D65" s="89" t="s">
        <v>137</v>
      </c>
      <c r="G65" s="87">
        <f>COUNTIF(G8:G10,0)</f>
        <v>0</v>
      </c>
      <c r="H65" s="127">
        <f>SUMIF(G8:G10,"0",H8:H10)</f>
        <v>0</v>
      </c>
      <c r="I65" s="88">
        <f>SUMIF(G8:G10,"0",I8:I10)</f>
        <v>0</v>
      </c>
      <c r="J65" s="87">
        <f>COUNTIF(J8:J10,0)</f>
        <v>3</v>
      </c>
      <c r="K65" s="119">
        <f>SUMIF(J8:J10,"0",K8:K10)</f>
        <v>2.0264555622997835</v>
      </c>
      <c r="L65" s="84">
        <f>SUMIF(J8:J10,"0",L8:L10)</f>
        <v>0.5902441752731841</v>
      </c>
      <c r="M65" s="87">
        <f>COUNTIF(M8:M10,0)</f>
        <v>0</v>
      </c>
      <c r="N65" s="127">
        <f>SUMIF(M8:M10,"0",N8:N10)</f>
        <v>0</v>
      </c>
      <c r="O65" s="88">
        <f>SUMIF(M8:M10,"0",O8:O10)</f>
        <v>0</v>
      </c>
      <c r="P65" s="87">
        <f>COUNTIF(P8:P10,0)</f>
        <v>0</v>
      </c>
      <c r="Q65" s="94">
        <f>SUMIF(P8:P10,"0",Q8:Q10)</f>
        <v>0</v>
      </c>
      <c r="R65" s="86">
        <f>SUMIF(P8:P10,"0",R8:R10)</f>
        <v>0</v>
      </c>
      <c r="S65" s="87">
        <f>COUNTIF(S8:S10,0)</f>
        <v>0</v>
      </c>
      <c r="T65" s="127">
        <f>SUMIF(S8:S10,"0",T8:T10)</f>
        <v>0</v>
      </c>
      <c r="U65" s="88">
        <f>SUMIF(S8:S10,"0",U8:U10)</f>
        <v>0</v>
      </c>
      <c r="V65" s="87">
        <f>COUNTIF(V8:V10,0)</f>
        <v>0</v>
      </c>
      <c r="W65" s="127">
        <f>SUMIF(V8:V10,"0",W8:W10)</f>
        <v>0</v>
      </c>
      <c r="X65" s="88">
        <f>SUMIF(V8:V10,"0",X8:X10)</f>
        <v>0</v>
      </c>
      <c r="Y65" s="87">
        <f>COUNTIF(Y8:Y10,0)</f>
        <v>0</v>
      </c>
      <c r="Z65" s="127">
        <f>SUMIF(Y8:Y10,"0",Z8:Z10)</f>
        <v>0</v>
      </c>
      <c r="AA65" s="88">
        <f>SUMIF(Y8:Y10,"0",AA8:AA10)</f>
        <v>0</v>
      </c>
      <c r="AB65" s="87">
        <f>COUNTIF(AB8:AB10,0)</f>
        <v>0</v>
      </c>
      <c r="AC65" s="127">
        <f>SUMIF(AB8:AB10,"0",AC8:AC10)</f>
        <v>0</v>
      </c>
      <c r="AD65" s="88">
        <f>SUMIF(AB8:AB10,"0",AD8:AD10)</f>
        <v>0</v>
      </c>
      <c r="AE65" s="87">
        <f>COUNTIF(AE8:AE10,0)</f>
        <v>0</v>
      </c>
      <c r="AF65" s="94">
        <f>SUMIF(AE8:AE10,"0",AF8:AF10)</f>
        <v>0</v>
      </c>
      <c r="AG65" s="86">
        <f>SUMIF(AE8:AE10,"0",AG8:AG10)</f>
        <v>0</v>
      </c>
      <c r="AH65" s="87">
        <f>COUNTIF(AH8:AH10,0)</f>
        <v>0</v>
      </c>
      <c r="AI65" s="129">
        <f>SUMIF(AH8:AH10,"0",AI8:AI10)</f>
        <v>0</v>
      </c>
      <c r="AJ65" s="130">
        <f>SUMIF(AH8:AH10,"0",AJ8:AJ10)</f>
        <v>0</v>
      </c>
      <c r="AK65" s="87">
        <f>COUNTIF(AK8:AK10,0)</f>
        <v>0</v>
      </c>
      <c r="AL65" s="129">
        <f>SUMIF(AK8:AK10,"0",AL8:AL10)</f>
        <v>0</v>
      </c>
      <c r="AM65" s="130">
        <f>SUMIF(AK8:AK10,"0",AM8:AM10)</f>
        <v>0</v>
      </c>
      <c r="AN65" s="87">
        <f>COUNTIF(AN8:AN10,0)</f>
        <v>2</v>
      </c>
      <c r="AO65" s="123">
        <f>SUMIF(AN8:AN10,"0",AO8:AO10)</f>
        <v>0.02900966179556547</v>
      </c>
      <c r="AP65" s="123">
        <f>SUMIF(AN8:AN10,"0",AP8:AP10)</f>
        <v>0.008167768855062122</v>
      </c>
      <c r="AQ65" s="87">
        <f>COUNTIF(AQ8:AQ10,0)</f>
        <v>0</v>
      </c>
      <c r="AR65" s="94">
        <f>SUMIF(AQ8:AQ10,"0",AR8:AR10)</f>
        <v>0</v>
      </c>
      <c r="AS65" s="86">
        <f>SUMIF(AQ8:AQ10,"0",AS8:AS10)</f>
        <v>0</v>
      </c>
    </row>
    <row r="66" spans="3:45" ht="12.75">
      <c r="C66" s="105" t="s">
        <v>5</v>
      </c>
      <c r="D66" s="89" t="s">
        <v>137</v>
      </c>
      <c r="G66" s="87">
        <f>COUNTIF(G14:G15,0)</f>
        <v>0</v>
      </c>
      <c r="H66" s="127">
        <f>SUMIF(G14:G15,"0",H14:H15)</f>
        <v>0</v>
      </c>
      <c r="I66" s="88">
        <f>SUMIF(G14:G15,"0",I14:I15)</f>
        <v>0</v>
      </c>
      <c r="J66" s="87">
        <f>COUNTIF(J14:J15,0)</f>
        <v>2</v>
      </c>
      <c r="K66" s="127">
        <f>SUMIF(J14:J15,"0",K14:K15)</f>
        <v>1.639660071692244</v>
      </c>
      <c r="L66" s="88">
        <f>SUMIF(J14:J15,"0",L14:L15)</f>
        <v>0.4813405905390225</v>
      </c>
      <c r="M66" s="87">
        <f>COUNTIF(M14:M15,0)</f>
        <v>0</v>
      </c>
      <c r="N66" s="127">
        <f>SUMIF(M14:M15,"0",N14:N15)</f>
        <v>0</v>
      </c>
      <c r="O66" s="88">
        <f>SUMIF(M14:M15,"0",O14:O15)</f>
        <v>0</v>
      </c>
      <c r="P66" s="87">
        <f>COUNTIF(P14:P15,0)</f>
        <v>0</v>
      </c>
      <c r="Q66" s="94">
        <f>SUMIF(P14:P15,"0",Q14:Q15)</f>
        <v>0</v>
      </c>
      <c r="R66" s="86">
        <f>SUMIF(P14:P15,"0",R14:R15)</f>
        <v>0</v>
      </c>
      <c r="S66" s="87">
        <f>COUNTIF(S14:S15,0)</f>
        <v>0</v>
      </c>
      <c r="T66" s="127">
        <f>SUMIF(S14:S15,"0",T14:T15)</f>
        <v>0</v>
      </c>
      <c r="U66" s="88">
        <f>SUMIF(S14:S15,"0",U14:U15)</f>
        <v>0</v>
      </c>
      <c r="V66" s="87">
        <f>COUNTIF(V14:V15,0)</f>
        <v>0</v>
      </c>
      <c r="W66" s="127">
        <f>SUMIF(V14:V15,"0",W14:W15)</f>
        <v>0</v>
      </c>
      <c r="X66" s="88">
        <f>SUMIF(V14:V15,"0",X14:X15)</f>
        <v>0</v>
      </c>
      <c r="Y66" s="87">
        <f>COUNTIF(Y14:Y15,0)</f>
        <v>0</v>
      </c>
      <c r="Z66" s="127">
        <f>SUMIF(Y14:Y15,"0",Z14:Z15)</f>
        <v>0</v>
      </c>
      <c r="AA66" s="88">
        <f>SUMIF(Y14:Y15,"0",AA14:AA15)</f>
        <v>0</v>
      </c>
      <c r="AB66" s="87">
        <f>COUNTIF(AB14:AB15,0)</f>
        <v>0</v>
      </c>
      <c r="AC66" s="127">
        <f>SUMIF(AB14:AB15,"0",AC14:AC15)</f>
        <v>0</v>
      </c>
      <c r="AD66" s="88">
        <f>SUMIF(AB14:AB15,"0",AD14:AD15)</f>
        <v>0</v>
      </c>
      <c r="AE66" s="87">
        <f>COUNTIF(AE14:AE15,0)</f>
        <v>0</v>
      </c>
      <c r="AF66" s="94">
        <f>SUMIF(AE14:AE15,"0",AF14:AF15)</f>
        <v>0</v>
      </c>
      <c r="AG66" s="86">
        <f>SUMIF(AE14:AE15,"0",AG14:AG15)</f>
        <v>0</v>
      </c>
      <c r="AH66" s="87">
        <f>COUNTIF(AH14:AH15,0)</f>
        <v>0</v>
      </c>
      <c r="AI66" s="129">
        <f>SUMIF(AH14:AH15,"0",AI14:AI15)</f>
        <v>0</v>
      </c>
      <c r="AJ66" s="130">
        <f>SUMIF(AH14:AH15,"0",AJ14:AJ15)</f>
        <v>0</v>
      </c>
      <c r="AK66" s="87">
        <f>COUNTIF(AK14:AK15,0)</f>
        <v>0</v>
      </c>
      <c r="AL66" s="129">
        <f>SUMIF(AK14:AK15,"0",AL14:AL15)</f>
        <v>0</v>
      </c>
      <c r="AM66" s="130">
        <f>SUMIF(AK14:AK15,"0",AM14:AM15)</f>
        <v>0</v>
      </c>
      <c r="AN66" s="87">
        <f>COUNTIF(AN14:AN15,0)</f>
        <v>2</v>
      </c>
      <c r="AO66" s="129">
        <f>SUMIF(AN14:AN15,"0",AO14:AO15)</f>
        <v>0.027327667861537414</v>
      </c>
      <c r="AP66" s="129">
        <f>SUMIF(AN14:AN15,"0",AP14:AP15)</f>
        <v>0.00802234317565038</v>
      </c>
      <c r="AQ66" s="87">
        <f>COUNTIF(AQ14:AQ15,0)</f>
        <v>0</v>
      </c>
      <c r="AR66" s="94">
        <f>SUMIF(AQ14:AQ15,"0",AR14:AR15)</f>
        <v>0</v>
      </c>
      <c r="AS66" s="86">
        <f>SUMIF(AQ14:AQ15,"0",AS14:AS15)</f>
        <v>0</v>
      </c>
    </row>
    <row r="67" spans="3:45" ht="12.75">
      <c r="C67" s="105" t="s">
        <v>21</v>
      </c>
      <c r="D67" s="89" t="s">
        <v>137</v>
      </c>
      <c r="G67" s="87">
        <f>COUNTIF(G19:G21,0)</f>
        <v>0</v>
      </c>
      <c r="H67" s="127">
        <f>SUMIF(G19:G21,"0",H19:H21)</f>
        <v>0</v>
      </c>
      <c r="I67" s="88">
        <f>SUMIF(G19:G21,"0",I19:I21)</f>
        <v>0</v>
      </c>
      <c r="J67" s="87">
        <f>COUNTIF(J19:J21,0)</f>
        <v>1</v>
      </c>
      <c r="K67" s="127">
        <f>SUMIF(J19:J21,"0",K19:K21)</f>
        <v>0.08119644263141053</v>
      </c>
      <c r="L67" s="88">
        <f>SUMIF(J19:J21,"0",L19:L21)</f>
        <v>0.030736624610568933</v>
      </c>
      <c r="M67" s="87">
        <f>COUNTIF(M19:M21,0)</f>
        <v>0</v>
      </c>
      <c r="N67" s="127">
        <f>SUMIF(M19:M21,"0",N19:N21)</f>
        <v>0</v>
      </c>
      <c r="O67" s="88">
        <f>SUMIF(M19:M21,"0",O19:O21)</f>
        <v>0</v>
      </c>
      <c r="P67" s="87">
        <f>COUNTIF(P19:P21,0)</f>
        <v>0</v>
      </c>
      <c r="Q67" s="94">
        <f>SUMIF(P19:P21,"0",Q19:Q21)</f>
        <v>0</v>
      </c>
      <c r="R67" s="86">
        <f>SUMIF(P19:P21,"0",R19:R21)</f>
        <v>0</v>
      </c>
      <c r="S67" s="87">
        <f>COUNTIF(S19:S21,0)</f>
        <v>0</v>
      </c>
      <c r="T67" s="127">
        <f>SUMIF(S19:S21,"0",T19:T21)</f>
        <v>0</v>
      </c>
      <c r="U67" s="88">
        <f>SUMIF(S19:S21,"0",U19:U21)</f>
        <v>0</v>
      </c>
      <c r="V67" s="87">
        <f>COUNTIF(V19:V21,0)</f>
        <v>0</v>
      </c>
      <c r="W67" s="119">
        <f>SUMIF(V19:V21,"0",W19:W21)</f>
        <v>0</v>
      </c>
      <c r="X67" s="84">
        <f>SUMIF(V19:V21,"0",X19:X21)</f>
        <v>0</v>
      </c>
      <c r="Y67" s="87">
        <f>COUNTIF(Y19:Y21,0)</f>
        <v>0</v>
      </c>
      <c r="Z67" s="119">
        <f>SUMIF(Y19:Y21,"0",Z19:Z21)</f>
        <v>0</v>
      </c>
      <c r="AA67" s="84">
        <f>SUMIF(Y19:Y21,"0",AA19:AA21)</f>
        <v>0</v>
      </c>
      <c r="AB67" s="87">
        <f>COUNTIF(AB19:AB21,0)</f>
        <v>0</v>
      </c>
      <c r="AC67" s="127">
        <f>SUMIF(AB19:AB21,"0",AC19:AC21)</f>
        <v>0</v>
      </c>
      <c r="AD67" s="88">
        <f>SUMIF(AB19:AB21,"0",AD19:AD21)</f>
        <v>0</v>
      </c>
      <c r="AE67" s="87">
        <f>COUNTIF(AE19:AE21,0)</f>
        <v>0</v>
      </c>
      <c r="AF67" s="94">
        <f>SUMIF(AE19:AE21,"0",AF19:AF21)</f>
        <v>0</v>
      </c>
      <c r="AG67" s="86">
        <f>SUMIF(AE19:AE21,"0",AG19:AG21)</f>
        <v>0</v>
      </c>
      <c r="AH67" s="87">
        <f>COUNTIF(AH19:AH21,0)</f>
        <v>0</v>
      </c>
      <c r="AI67" s="129">
        <f>SUMIF(AH19:AH21,"0",AI19:AI21)</f>
        <v>0</v>
      </c>
      <c r="AJ67" s="130">
        <f>SUMIF(AH19:AH21,"0",AJ19:AJ21)</f>
        <v>0</v>
      </c>
      <c r="AK67" s="87">
        <f>COUNTIF(AK19:AK21,0)</f>
        <v>0</v>
      </c>
      <c r="AL67" s="129">
        <f>SUMIF(AK19:AK21,"0",AL19:AL21)</f>
        <v>0</v>
      </c>
      <c r="AM67" s="130">
        <f>SUMIF(AK19:AK21,"0",AM19:AM21)</f>
        <v>0</v>
      </c>
      <c r="AN67" s="87">
        <f>COUNTIF(AN19:AN21,0)</f>
        <v>1</v>
      </c>
      <c r="AO67" s="129">
        <f>SUMIF(AN19:AN21,"0",AO19:AO21)</f>
        <v>0.0013532740438568429</v>
      </c>
      <c r="AP67" s="129">
        <f>SUMIF(AN19:AN21,"0",AP19:AP21)</f>
        <v>0.0005122770768428157</v>
      </c>
      <c r="AQ67" s="87">
        <f>COUNTIF(AQ19:AQ21,0)</f>
        <v>0</v>
      </c>
      <c r="AR67" s="94">
        <f>SUMIF(AQ19:AQ21,"0",AR19:AR21)</f>
        <v>0</v>
      </c>
      <c r="AS67" s="86">
        <f>SUMIF(AQ19:AQ21,"0",AS19:AS21)</f>
        <v>0</v>
      </c>
    </row>
    <row r="68" spans="3:45" ht="12.75">
      <c r="C68" s="105" t="s">
        <v>12</v>
      </c>
      <c r="D68" s="89" t="s">
        <v>137</v>
      </c>
      <c r="G68" s="87">
        <f>COUNTIF(G25:G28,0)</f>
        <v>0</v>
      </c>
      <c r="H68" s="127">
        <f>SUMIF(G25:G28,"0",H25:H28)</f>
        <v>0</v>
      </c>
      <c r="I68" s="88">
        <f>SUMIF(G25:G28,"0",I25:I28)</f>
        <v>0</v>
      </c>
      <c r="J68" s="87">
        <f>COUNTIF(J25:J28,0)</f>
        <v>4</v>
      </c>
      <c r="K68" s="119">
        <f>SUMIF(J25:J28,"0",K25:K28)</f>
        <v>2.330366304919993</v>
      </c>
      <c r="L68" s="84">
        <f>SUMIF(J25:J28,"0",L25:L28)</f>
        <v>0.675811277564311</v>
      </c>
      <c r="M68" s="87">
        <f>COUNTIF(M25:M28,0)</f>
        <v>0</v>
      </c>
      <c r="N68" s="127">
        <f>SUMIF(M25:M28,"0",N25:N28)</f>
        <v>0</v>
      </c>
      <c r="O68" s="88">
        <f>SUMIF(M25:M28,"0",O25:O28)</f>
        <v>0</v>
      </c>
      <c r="P68" s="87">
        <f>COUNTIF(P25:P28,0)</f>
        <v>0</v>
      </c>
      <c r="Q68" s="94">
        <f>SUMIF(P25:P28,"0",Q25:Q28)</f>
        <v>0</v>
      </c>
      <c r="R68" s="86">
        <f>SUMIF(P25:P28,"0",R25:R28)</f>
        <v>0</v>
      </c>
      <c r="S68" s="87">
        <f>COUNTIF(S25:S28,0)</f>
        <v>0</v>
      </c>
      <c r="T68" s="127">
        <f>SUMIF(S25:S28,"0",T25:T28)</f>
        <v>0</v>
      </c>
      <c r="U68" s="88">
        <f>SUMIF(S25:S28,"0",U25:U28)</f>
        <v>0</v>
      </c>
      <c r="V68" s="87">
        <f>COUNTIF(V25:V28,0)</f>
        <v>0</v>
      </c>
      <c r="W68" s="119">
        <f>SUMIF(V25:V28,"0",W25:W28)</f>
        <v>0</v>
      </c>
      <c r="X68" s="84">
        <f>SUMIF(V25:V28,"0",X25:X28)</f>
        <v>0</v>
      </c>
      <c r="Y68" s="87">
        <f>COUNTIF(Y25:Y28,0)</f>
        <v>0</v>
      </c>
      <c r="Z68" s="119">
        <f>SUMIF(Y25:Y28,"0",Z25:Z28)</f>
        <v>0</v>
      </c>
      <c r="AA68" s="84">
        <f>SUMIF(Y25:Y28,"0",AA25:AA28)</f>
        <v>0</v>
      </c>
      <c r="AB68" s="87">
        <f>COUNTIF(AB25:AB28,0)</f>
        <v>0</v>
      </c>
      <c r="AC68" s="127">
        <f>SUMIF(AB25:AB28,"0",AC25:AC28)</f>
        <v>0</v>
      </c>
      <c r="AD68" s="88">
        <f>SUMIF(AB25:AB28,"0",AD25:AD28)</f>
        <v>0</v>
      </c>
      <c r="AE68" s="87">
        <f>COUNTIF(AE25:AE28,0)</f>
        <v>0</v>
      </c>
      <c r="AF68" s="94">
        <f>SUMIF(AE25:AE28,"0",AF25:AF28)</f>
        <v>0</v>
      </c>
      <c r="AG68" s="86">
        <f>SUMIF(AE25:AE28,"0",AG25:AG28)</f>
        <v>0</v>
      </c>
      <c r="AH68" s="87">
        <f>COUNTIF(AH25:AH28,0)</f>
        <v>0</v>
      </c>
      <c r="AI68" s="129">
        <f>SUMIF(AH25:AH28,"0",AI25:AI28)</f>
        <v>0</v>
      </c>
      <c r="AJ68" s="130">
        <f>SUMIF(AH25:AH28,"0",AJ25:AJ28)</f>
        <v>0</v>
      </c>
      <c r="AK68" s="87">
        <f>COUNTIF(AK25:AK28,0)</f>
        <v>0</v>
      </c>
      <c r="AL68" s="129">
        <f>SUMIF(AK25:AK28,"0",AL25:AL28)</f>
        <v>0</v>
      </c>
      <c r="AM68" s="130">
        <f>SUMIF(AK25:AK28,"0",AM25:AM28)</f>
        <v>0</v>
      </c>
      <c r="AN68" s="87">
        <f>COUNTIF(AN25:AN28,0)</f>
        <v>1</v>
      </c>
      <c r="AO68" s="123">
        <f>SUMIF(AN25:AN28,"0",AO25:AO28)</f>
        <v>0.003383185109642107</v>
      </c>
      <c r="AP68" s="123">
        <f>SUMIF(AN25:AN28,"0",AP25:AP28)</f>
        <v>0.0012806926921070394</v>
      </c>
      <c r="AQ68" s="87">
        <f>COUNTIF(AQ25:AQ28,0)</f>
        <v>0</v>
      </c>
      <c r="AR68" s="94">
        <f>SUMIF(AQ25:AQ28,"0",AR25:AR28)</f>
        <v>0</v>
      </c>
      <c r="AS68" s="86">
        <f>SUMIF(AQ25:AQ28,"0",AS25:AS28)</f>
        <v>0</v>
      </c>
    </row>
    <row r="69" spans="3:45" ht="12.75">
      <c r="C69" s="105" t="s">
        <v>20</v>
      </c>
      <c r="D69" s="89" t="s">
        <v>137</v>
      </c>
      <c r="G69" s="87">
        <f>COUNTIF(G32:G34,0)</f>
        <v>0</v>
      </c>
      <c r="H69" s="127">
        <f>SUMIF(G32:G34,"0",H32:H34)</f>
        <v>0</v>
      </c>
      <c r="I69" s="88">
        <f>SUMIF(G32:G34,"0",I32:I34)</f>
        <v>0</v>
      </c>
      <c r="J69" s="87">
        <f>COUNTIF(J32:J34,0)</f>
        <v>1</v>
      </c>
      <c r="K69" s="127">
        <f>SUMIF(J32:J34,"0",K32:K34)</f>
        <v>0.4792735998696259</v>
      </c>
      <c r="L69" s="88">
        <f>SUMIF(J32:J34,"0",L32:L34)</f>
        <v>0.15462983633653773</v>
      </c>
      <c r="M69" s="87">
        <f>COUNTIF(M32:M34,0)</f>
        <v>0</v>
      </c>
      <c r="N69" s="127">
        <f>SUMIF(M32:M34,"0",N32:N34)</f>
        <v>0</v>
      </c>
      <c r="O69" s="88">
        <f>SUMIF(M32:M34,"0",O32:O34)</f>
        <v>0</v>
      </c>
      <c r="P69" s="87">
        <f>COUNTIF(P32:P34,0)</f>
        <v>0</v>
      </c>
      <c r="Q69" s="94">
        <f>SUMIF(P32:P34,"0",Q32:Q34)</f>
        <v>0</v>
      </c>
      <c r="R69" s="86">
        <f>SUMIF(P32:P34,"0",R32:R34)</f>
        <v>0</v>
      </c>
      <c r="S69" s="87">
        <f>COUNTIF(S32:S34,0)</f>
        <v>0</v>
      </c>
      <c r="T69" s="127">
        <f>SUMIF(S32:S34,"0",T32:T34)</f>
        <v>0</v>
      </c>
      <c r="U69" s="88">
        <f>SUMIF(S32:S34,"0",U32:U34)</f>
        <v>0</v>
      </c>
      <c r="V69" s="87">
        <f>COUNTIF(V32:V34,0)</f>
        <v>0</v>
      </c>
      <c r="W69" s="127">
        <f>SUMIF(V32:V34,"0",W32:W34)</f>
        <v>0</v>
      </c>
      <c r="X69" s="88">
        <f>SUMIF(V32:V34,"0",X32:X34)</f>
        <v>0</v>
      </c>
      <c r="Y69" s="87">
        <f>COUNTIF(Y32:Y34,0)</f>
        <v>0</v>
      </c>
      <c r="Z69" s="127">
        <f>SUMIF(Y32:Y34,"0",Z32:Z34)</f>
        <v>0</v>
      </c>
      <c r="AA69" s="88">
        <f>SUMIF(Y32:Y34,"0",AA32:AA34)</f>
        <v>0</v>
      </c>
      <c r="AB69" s="87">
        <f>COUNTIF(AB32:AB34,0)</f>
        <v>0</v>
      </c>
      <c r="AC69" s="127">
        <f>SUMIF(AB32:AB34,"0",AC32:AC34)</f>
        <v>0</v>
      </c>
      <c r="AD69" s="88">
        <f>SUMIF(AB32:AB34,"0",AD32:AD34)</f>
        <v>0</v>
      </c>
      <c r="AE69" s="87">
        <f>COUNTIF(AE32:AE34,0)</f>
        <v>0</v>
      </c>
      <c r="AF69" s="94">
        <f>SUMIF(AE32:AE34,"0",AF32:AF34)</f>
        <v>0</v>
      </c>
      <c r="AG69" s="86">
        <f>SUMIF(AE32:AE34,"0",AG32:AG34)</f>
        <v>0</v>
      </c>
      <c r="AH69" s="87">
        <f>COUNTIF(AH32:AH34,0)</f>
        <v>0</v>
      </c>
      <c r="AI69" s="129">
        <f>SUMIF(AH32:AH34,"0",AI32:AI34)</f>
        <v>0</v>
      </c>
      <c r="AJ69" s="130">
        <f>SUMIF(AH32:AH34,"0",AJ32:AJ34)</f>
        <v>0</v>
      </c>
      <c r="AK69" s="87">
        <f>COUNTIF(AK32:AK34,0)</f>
        <v>0</v>
      </c>
      <c r="AL69" s="129">
        <f>SUMIF(AK32:AK34,"0",AL32:AL34)</f>
        <v>0</v>
      </c>
      <c r="AM69" s="130">
        <f>SUMIF(AK32:AK34,"0",AM32:AM34)</f>
        <v>0</v>
      </c>
      <c r="AN69" s="87">
        <f>COUNTIF(AN32:AN34,0)</f>
        <v>0</v>
      </c>
      <c r="AO69" s="129">
        <f>SUMIF(AN32:AN34,"0",AO32:AO34)</f>
        <v>0</v>
      </c>
      <c r="AP69" s="129">
        <f>SUMIF(AN32:AN34,"0",AP32:AP34)</f>
        <v>0</v>
      </c>
      <c r="AQ69" s="87">
        <f>COUNTIF(AQ32:AQ34,0)</f>
        <v>0</v>
      </c>
      <c r="AR69" s="94">
        <f>SUMIF(AQ32:AQ34,"0",AR32:AR34)</f>
        <v>0</v>
      </c>
      <c r="AS69" s="86">
        <f>SUMIF(AQ32:AQ34,"0",AS32:AS34)</f>
        <v>0</v>
      </c>
    </row>
    <row r="70" spans="3:45" ht="12.75">
      <c r="C70" s="105" t="s">
        <v>17</v>
      </c>
      <c r="D70" s="89" t="s">
        <v>137</v>
      </c>
      <c r="G70" s="87">
        <f>COUNTIF(G38:G40,0)</f>
        <v>0</v>
      </c>
      <c r="H70" s="127">
        <f>SUMIF(G38:G40,"0",H38:H40)</f>
        <v>0</v>
      </c>
      <c r="I70" s="88">
        <f>SUMIF(G38:G40,"0",I38:I40)</f>
        <v>0</v>
      </c>
      <c r="J70" s="87">
        <f>COUNTIF(J38:J40,0)</f>
        <v>1</v>
      </c>
      <c r="K70" s="127">
        <f>SUMIF(J38:J40,"0",K38:K40)</f>
        <v>0.28587585456585624</v>
      </c>
      <c r="L70" s="88">
        <f>SUMIF(J38:J40,"0",L38:L40)</f>
        <v>0.10017804396945695</v>
      </c>
      <c r="M70" s="87">
        <f>COUNTIF(M38:M40,0)</f>
        <v>0</v>
      </c>
      <c r="N70" s="127">
        <f>SUMIF(M38:M40,"0",N38:N40)</f>
        <v>0</v>
      </c>
      <c r="O70" s="88">
        <f>SUMIF(M38:M40,"0",O38:O40)</f>
        <v>0</v>
      </c>
      <c r="P70" s="87">
        <f>COUNTIF(P38:P40,0)</f>
        <v>0</v>
      </c>
      <c r="Q70" s="94">
        <f>SUMIF(P38:P40,"0",Q38:Q40)</f>
        <v>0</v>
      </c>
      <c r="R70" s="86">
        <f>SUMIF(P38:P40,"0",R38:R40)</f>
        <v>0</v>
      </c>
      <c r="S70" s="87">
        <f>COUNTIF(S38:S40,0)</f>
        <v>0</v>
      </c>
      <c r="T70" s="127">
        <f>SUMIF(S38:S40,"0",T38:T40)</f>
        <v>0</v>
      </c>
      <c r="U70" s="88">
        <f>SUMIF(S38:S40,"0",U38:U40)</f>
        <v>0</v>
      </c>
      <c r="V70" s="87">
        <f>COUNTIF(V38:V40,0)</f>
        <v>0</v>
      </c>
      <c r="W70" s="127">
        <f>SUMIF(V38:V40,"0",W38:W40)</f>
        <v>0</v>
      </c>
      <c r="X70" s="88">
        <f>SUMIF(V38:V40,"0",X38:X40)</f>
        <v>0</v>
      </c>
      <c r="Y70" s="87">
        <f>COUNTIF(Y38:Y40,0)</f>
        <v>0</v>
      </c>
      <c r="Z70" s="119">
        <f>SUMIF(Y38:Y40,"0",Z38:Z40)</f>
        <v>0</v>
      </c>
      <c r="AA70" s="84">
        <f>SUMIF(Y38:Y40,"0",AA38:AA40)</f>
        <v>0</v>
      </c>
      <c r="AB70" s="87">
        <f>COUNTIF(AB38:AB40,0)</f>
        <v>0</v>
      </c>
      <c r="AC70" s="127">
        <f>SUMIF(AB38:AB40,"0",AC38:AC40)</f>
        <v>0</v>
      </c>
      <c r="AD70" s="88">
        <f>SUMIF(AB38:AB40,"0",AD38:AD40)</f>
        <v>0</v>
      </c>
      <c r="AE70" s="87">
        <f>COUNTIF(AE38:AE40,0)</f>
        <v>0</v>
      </c>
      <c r="AF70" s="94">
        <f>SUMIF(AE38:AE40,"0",AF38:AF40)</f>
        <v>0</v>
      </c>
      <c r="AG70" s="86">
        <f>SUMIF(AE38:AE40,"0",AG38:AG40)</f>
        <v>0</v>
      </c>
      <c r="AH70" s="87">
        <f>COUNTIF(AH38:AH40,0)</f>
        <v>0</v>
      </c>
      <c r="AI70" s="129">
        <f>SUMIF(AH38:AH40,"0",AI38:AI40)</f>
        <v>0</v>
      </c>
      <c r="AJ70" s="130">
        <f>SUMIF(AH38:AH40,"0",AJ38:AJ40)</f>
        <v>0</v>
      </c>
      <c r="AK70" s="87">
        <f>COUNTIF(AK38:AK40,0)</f>
        <v>0</v>
      </c>
      <c r="AL70" s="129">
        <f>SUMIF(AK38:AK40,"0",AL38:AL40)</f>
        <v>0</v>
      </c>
      <c r="AM70" s="130">
        <f>SUMIF(AK38:AK40,"0",AM38:AM40)</f>
        <v>0</v>
      </c>
      <c r="AN70" s="87">
        <f>COUNTIF(AN38:AN40,0)</f>
        <v>0</v>
      </c>
      <c r="AO70" s="129">
        <f>SUMIF(AN38:AN40,"0",AO38:AO40)</f>
        <v>0</v>
      </c>
      <c r="AP70" s="129">
        <f>SUMIF(AN38:AN40,"0",AP38:AP40)</f>
        <v>0</v>
      </c>
      <c r="AQ70" s="87">
        <f>COUNTIF(AQ38:AQ40,0)</f>
        <v>0</v>
      </c>
      <c r="AR70" s="94">
        <f>SUMIF(AQ38:AQ40,"0",AR38:AR40)</f>
        <v>0</v>
      </c>
      <c r="AS70" s="86">
        <f>SUMIF(AQ38:AQ40,"0",AS38:AS40)</f>
        <v>0</v>
      </c>
    </row>
    <row r="71" spans="3:45" ht="12.75">
      <c r="C71" s="105" t="s">
        <v>22</v>
      </c>
      <c r="D71" s="89" t="s">
        <v>137</v>
      </c>
      <c r="G71" s="87">
        <f>COUNTIF(G44:G45,0)</f>
        <v>0</v>
      </c>
      <c r="H71" s="127">
        <f>SUMIF(G44:G45,"0",H44:H45)</f>
        <v>0</v>
      </c>
      <c r="I71" s="88">
        <f>SUMIF(G44:G45,"0",I44:I45)</f>
        <v>0</v>
      </c>
      <c r="J71" s="87">
        <f>COUNTIF(J44:J45,0)</f>
        <v>1</v>
      </c>
      <c r="K71" s="119">
        <f>SUMIF(J44:J45,"0",K44:K45)</f>
        <v>0.1826919959206737</v>
      </c>
      <c r="L71" s="84">
        <f>SUMIF(J44:J45,"0",L44:L45)</f>
        <v>0.0691574053737801</v>
      </c>
      <c r="M71" s="87">
        <f>COUNTIF(M44:M45,0)</f>
        <v>0</v>
      </c>
      <c r="N71" s="127">
        <f>SUMIF(M44:M45,"0",N44:N45)</f>
        <v>0</v>
      </c>
      <c r="O71" s="88">
        <f>SUMIF(M44:M45,"0",O44:O45)</f>
        <v>0</v>
      </c>
      <c r="P71" s="87">
        <f>COUNTIF(P44:P45,0)</f>
        <v>0</v>
      </c>
      <c r="Q71" s="94">
        <f>SUMIF(P44:P45,"0",Q44:Q45)</f>
        <v>0</v>
      </c>
      <c r="R71" s="86">
        <f>SUMIF(P44:P45,"0",R44:R45)</f>
        <v>0</v>
      </c>
      <c r="S71" s="87">
        <f>COUNTIF(S44:S45,0)</f>
        <v>0</v>
      </c>
      <c r="T71" s="127">
        <f>SUMIF(S44:S45,"0",T44:T45)</f>
        <v>0</v>
      </c>
      <c r="U71" s="88">
        <f>SUMIF(S44:S45,"0",U44:U45)</f>
        <v>0</v>
      </c>
      <c r="V71" s="87">
        <f>COUNTIF(V44:V45,0)</f>
        <v>0</v>
      </c>
      <c r="W71" s="119">
        <f>SUMIF(V44:V45,"0",W44:W45)</f>
        <v>0</v>
      </c>
      <c r="X71" s="84">
        <f>SUMIF(V44:V45,"0",X44:X45)</f>
        <v>0</v>
      </c>
      <c r="Y71" s="87">
        <f>COUNTIF(Y44:Y45,0)</f>
        <v>0</v>
      </c>
      <c r="Z71" s="127">
        <f>SUMIF(Y44:Y45,"0",Z44:Z45)</f>
        <v>0</v>
      </c>
      <c r="AA71" s="88">
        <f>SUMIF(Y44:Y45,"0",AA44:AA45)</f>
        <v>0</v>
      </c>
      <c r="AB71" s="87">
        <f>COUNTIF(AB44:AB45,0)</f>
        <v>0</v>
      </c>
      <c r="AC71" s="127">
        <f>SUMIF(AB44:AB45,"0",AC44:AC45)</f>
        <v>0</v>
      </c>
      <c r="AD71" s="88">
        <f>SUMIF(AB44:AB45,"0",AD44:AD45)</f>
        <v>0</v>
      </c>
      <c r="AE71" s="87">
        <f>COUNTIF(AE44:AE45,0)</f>
        <v>0</v>
      </c>
      <c r="AF71" s="94">
        <f>SUMIF(AE44:AE45,"0",AF44:AF45)</f>
        <v>0</v>
      </c>
      <c r="AG71" s="86">
        <f>SUMIF(AE44:AE45,"0",AG44:AG45)</f>
        <v>0</v>
      </c>
      <c r="AH71" s="87">
        <f>COUNTIF(AH44:AH45,0)</f>
        <v>0</v>
      </c>
      <c r="AI71" s="129">
        <f>SUMIF(AH44:AH45,"0",AI44:AI45)</f>
        <v>0</v>
      </c>
      <c r="AJ71" s="130">
        <f>SUMIF(AH44:AH45,"0",AJ44:AJ45)</f>
        <v>0</v>
      </c>
      <c r="AK71" s="87">
        <f>COUNTIF(AK44:AK45,0)</f>
        <v>0</v>
      </c>
      <c r="AL71" s="129">
        <f>SUMIF(AK44:AK45,"0",AL44:AL45)</f>
        <v>0</v>
      </c>
      <c r="AM71" s="130">
        <f>SUMIF(AK44:AK45,"0",AM44:AM45)</f>
        <v>0</v>
      </c>
      <c r="AN71" s="87">
        <f>COUNTIF(AN44:AN45,0)</f>
        <v>0</v>
      </c>
      <c r="AO71" s="123">
        <f>SUMIF(AN44:AN45,"0",AO44:AO45)</f>
        <v>0</v>
      </c>
      <c r="AP71" s="123">
        <f>SUMIF(AN44:AN45,"0",AP44:AP45)</f>
        <v>0</v>
      </c>
      <c r="AQ71" s="87">
        <f>COUNTIF(AQ44:AQ45,0)</f>
        <v>0</v>
      </c>
      <c r="AR71" s="94">
        <f>SUMIF(AQ44:AQ45,"0",AR44:AR45)</f>
        <v>0</v>
      </c>
      <c r="AS71" s="86">
        <f>SUMIF(AQ44:AQ45,"0",AS44:AS45)</f>
        <v>0</v>
      </c>
    </row>
    <row r="72" spans="3:45" ht="12.75">
      <c r="C72" s="105"/>
      <c r="G72" s="87"/>
      <c r="H72" s="127"/>
      <c r="I72" s="88"/>
      <c r="J72" s="87"/>
      <c r="K72" s="119"/>
      <c r="L72" s="84"/>
      <c r="M72" s="87"/>
      <c r="N72" s="127"/>
      <c r="O72" s="88"/>
      <c r="P72" s="87"/>
      <c r="Q72" s="94"/>
      <c r="R72" s="86"/>
      <c r="S72" s="87"/>
      <c r="T72" s="127"/>
      <c r="U72" s="88"/>
      <c r="V72" s="87"/>
      <c r="W72" s="119"/>
      <c r="X72" s="84"/>
      <c r="Y72" s="87"/>
      <c r="Z72" s="127"/>
      <c r="AA72" s="88"/>
      <c r="AB72" s="87"/>
      <c r="AC72" s="127"/>
      <c r="AD72" s="88"/>
      <c r="AE72" s="87"/>
      <c r="AF72" s="121"/>
      <c r="AG72" s="122"/>
      <c r="AH72" s="87"/>
      <c r="AI72" s="129"/>
      <c r="AJ72" s="130"/>
      <c r="AK72" s="87"/>
      <c r="AL72" s="129"/>
      <c r="AM72" s="130"/>
      <c r="AN72" s="87"/>
      <c r="AO72" s="123"/>
      <c r="AP72" s="123"/>
      <c r="AQ72" s="87"/>
      <c r="AR72" s="125"/>
      <c r="AS72" s="126"/>
    </row>
    <row r="74" spans="1:45" s="146" customFormat="1" ht="12.75">
      <c r="A74" s="128"/>
      <c r="B74" s="137"/>
      <c r="C74" s="138"/>
      <c r="D74" s="137"/>
      <c r="E74" s="137"/>
      <c r="F74" s="137"/>
      <c r="G74" s="139"/>
      <c r="H74" s="140" t="s">
        <v>190</v>
      </c>
      <c r="I74" s="141"/>
      <c r="J74" s="142"/>
      <c r="K74" s="143"/>
      <c r="L74" s="144"/>
      <c r="M74" s="145"/>
      <c r="N74" s="143"/>
      <c r="O74" s="144"/>
      <c r="P74" s="145"/>
      <c r="Q74" s="143"/>
      <c r="R74" s="144"/>
      <c r="S74" s="145"/>
      <c r="T74" s="143"/>
      <c r="U74" s="144"/>
      <c r="V74" s="145"/>
      <c r="W74" s="143"/>
      <c r="X74" s="144"/>
      <c r="Y74" s="145"/>
      <c r="Z74" s="143"/>
      <c r="AA74" s="144"/>
      <c r="AB74" s="145"/>
      <c r="AC74" s="143"/>
      <c r="AD74" s="144"/>
      <c r="AE74" s="145"/>
      <c r="AF74" s="143"/>
      <c r="AG74" s="144"/>
      <c r="AH74" s="145"/>
      <c r="AI74" s="143"/>
      <c r="AJ74" s="144"/>
      <c r="AK74" s="145"/>
      <c r="AL74" s="143"/>
      <c r="AM74" s="144"/>
      <c r="AN74" s="145"/>
      <c r="AO74" s="143"/>
      <c r="AP74" s="143"/>
      <c r="AQ74" s="145"/>
      <c r="AR74" s="143"/>
      <c r="AS74" s="144"/>
    </row>
    <row r="75" spans="1:45" ht="12.75">
      <c r="A75" s="2"/>
      <c r="B75" s="2"/>
      <c r="H75" s="89" t="s">
        <v>75</v>
      </c>
      <c r="I75" s="76" t="s">
        <v>167</v>
      </c>
      <c r="K75" s="89" t="s">
        <v>76</v>
      </c>
      <c r="L75" s="76" t="s">
        <v>168</v>
      </c>
      <c r="N75" s="89" t="s">
        <v>77</v>
      </c>
      <c r="O75" s="76" t="s">
        <v>169</v>
      </c>
      <c r="Q75" s="89" t="s">
        <v>78</v>
      </c>
      <c r="R75" s="76" t="s">
        <v>170</v>
      </c>
      <c r="T75" s="89" t="s">
        <v>79</v>
      </c>
      <c r="U75" s="76" t="s">
        <v>171</v>
      </c>
      <c r="W75" s="89" t="s">
        <v>80</v>
      </c>
      <c r="X75" s="76" t="s">
        <v>172</v>
      </c>
      <c r="Z75" s="89" t="s">
        <v>81</v>
      </c>
      <c r="AA75" s="76" t="s">
        <v>173</v>
      </c>
      <c r="AC75" s="89" t="s">
        <v>82</v>
      </c>
      <c r="AD75" s="76" t="s">
        <v>174</v>
      </c>
      <c r="AF75" s="89" t="s">
        <v>83</v>
      </c>
      <c r="AG75" s="76" t="s">
        <v>179</v>
      </c>
      <c r="AI75" s="89" t="s">
        <v>84</v>
      </c>
      <c r="AJ75" s="76" t="s">
        <v>178</v>
      </c>
      <c r="AL75" s="89" t="s">
        <v>85</v>
      </c>
      <c r="AM75" s="76" t="s">
        <v>177</v>
      </c>
      <c r="AO75" s="89" t="s">
        <v>86</v>
      </c>
      <c r="AP75" s="89" t="s">
        <v>176</v>
      </c>
      <c r="AR75" s="89" t="s">
        <v>87</v>
      </c>
      <c r="AS75" s="76" t="s">
        <v>175</v>
      </c>
    </row>
    <row r="76" spans="3:45" ht="12.75">
      <c r="C76" s="105">
        <v>101</v>
      </c>
      <c r="D76" s="89" t="s">
        <v>137</v>
      </c>
      <c r="H76" s="119">
        <f>H52+H64</f>
        <v>5674.550808988684</v>
      </c>
      <c r="I76" s="84">
        <f>I52+I64</f>
        <v>1669.455792715829</v>
      </c>
      <c r="K76" s="119">
        <f>K52+K64</f>
        <v>12.62372294799732</v>
      </c>
      <c r="L76" s="84">
        <f>L52+L64</f>
        <v>3.713905842166527</v>
      </c>
      <c r="N76" s="119">
        <f>N52+N64</f>
        <v>56.16073850044026</v>
      </c>
      <c r="O76" s="84">
        <f>O52+O64</f>
        <v>16.5225184104869</v>
      </c>
      <c r="Q76" s="119">
        <f>Q52+Q64</f>
        <v>8848.967266781989</v>
      </c>
      <c r="R76" s="84">
        <f>R52+R64</f>
        <v>2603.3707619078973</v>
      </c>
      <c r="T76" s="119">
        <f>T52+T64</f>
        <v>713.0707225137795</v>
      </c>
      <c r="U76" s="84">
        <f>U52+U64</f>
        <v>209.78577659944332</v>
      </c>
      <c r="W76" s="119">
        <f>W52+W64</f>
        <v>1600.4983358994625</v>
      </c>
      <c r="X76" s="84">
        <f>X52+X64</f>
        <v>470.8674409729354</v>
      </c>
      <c r="Z76" s="119">
        <f>Z52+Z64</f>
        <v>53.916640188274</v>
      </c>
      <c r="AA76" s="84">
        <f>AA52+AA64</f>
        <v>15.862303522511041</v>
      </c>
      <c r="AC76" s="119">
        <f>AC52+AC64</f>
        <v>15.6798487347779</v>
      </c>
      <c r="AD76" s="84">
        <f>AD52+AD64</f>
        <v>4.613019634561725</v>
      </c>
      <c r="AF76" s="119">
        <f>AF52+AF64</f>
        <v>95.00169028199015</v>
      </c>
      <c r="AG76" s="84">
        <f>AG52+AG64</f>
        <v>27.949546580468336</v>
      </c>
      <c r="AI76" s="119">
        <f>AI52+AI64</f>
        <v>12.183497582150386</v>
      </c>
      <c r="AJ76" s="84">
        <f>AJ52+AJ64</f>
        <v>3.5843913110869137</v>
      </c>
      <c r="AL76" s="119">
        <f>AL52+AL64</f>
        <v>95.00169028199015</v>
      </c>
      <c r="AM76" s="84">
        <f>AM52+AM64</f>
        <v>27.949546580468336</v>
      </c>
      <c r="AO76" s="96">
        <f>AO52+AO64</f>
        <v>0.29736466201374495</v>
      </c>
      <c r="AP76" s="96">
        <f>AP52+AP64</f>
        <v>0.08748483787676331</v>
      </c>
      <c r="AR76" s="119">
        <f>AR52+AR64</f>
        <v>308.4656457053216</v>
      </c>
      <c r="AS76" s="84">
        <f>AS52+AS64</f>
        <v>90.7507530394913</v>
      </c>
    </row>
    <row r="77" spans="3:45" ht="12.75">
      <c r="C77" s="105" t="s">
        <v>19</v>
      </c>
      <c r="D77" s="89" t="s">
        <v>137</v>
      </c>
      <c r="H77" s="119">
        <f aca="true" t="shared" si="0" ref="H77:I83">H53+H65</f>
        <v>1764.6896666250636</v>
      </c>
      <c r="I77" s="84">
        <f t="shared" si="0"/>
        <v>499.2214616328807</v>
      </c>
      <c r="K77" s="119">
        <f aca="true" t="shared" si="1" ref="K77:L83">K53+K65</f>
        <v>2.0264555622997835</v>
      </c>
      <c r="L77" s="84">
        <f t="shared" si="1"/>
        <v>0.5902441752731841</v>
      </c>
      <c r="N77" s="119">
        <f aca="true" t="shared" si="2" ref="N77:O83">N53+N65</f>
        <v>14.452799385334636</v>
      </c>
      <c r="O77" s="84">
        <f t="shared" si="2"/>
        <v>4.141211516656252</v>
      </c>
      <c r="Q77" s="119">
        <f aca="true" t="shared" si="3" ref="Q77:R83">Q53+Q65</f>
        <v>3847.1723039826024</v>
      </c>
      <c r="R77" s="84">
        <f t="shared" si="3"/>
        <v>1091.0380970416686</v>
      </c>
      <c r="T77" s="119">
        <f aca="true" t="shared" si="4" ref="T77:U83">T53+T65</f>
        <v>69.88698358897989</v>
      </c>
      <c r="U77" s="84">
        <f t="shared" si="4"/>
        <v>19.963903974750977</v>
      </c>
      <c r="W77" s="119">
        <f aca="true" t="shared" si="5" ref="W77:X83">W53+W65</f>
        <v>99.67137708656594</v>
      </c>
      <c r="X77" s="84">
        <f t="shared" si="5"/>
        <v>28.14382007658263</v>
      </c>
      <c r="Z77" s="119">
        <f aca="true" t="shared" si="6" ref="Z77:AA83">Z53+Z65</f>
        <v>15.819487891091974</v>
      </c>
      <c r="AA77" s="84">
        <f t="shared" si="6"/>
        <v>4.4808231451583955</v>
      </c>
      <c r="AC77" s="119">
        <f aca="true" t="shared" si="7" ref="AC77:AD83">AC53+AC65</f>
        <v>7.30436488484397</v>
      </c>
      <c r="AD77" s="84">
        <f t="shared" si="7"/>
        <v>2.1516636418278132</v>
      </c>
      <c r="AF77" s="119">
        <f aca="true" t="shared" si="8" ref="AF77:AG83">AF53+AF65</f>
        <v>37.678525576222086</v>
      </c>
      <c r="AG77" s="84">
        <f t="shared" si="8"/>
        <v>10.771103766625547</v>
      </c>
      <c r="AI77" s="119">
        <f aca="true" t="shared" si="9" ref="AI77:AJ83">AI53+AI65</f>
        <v>6.68420521198611</v>
      </c>
      <c r="AJ77" s="84">
        <f t="shared" si="9"/>
        <v>1.9323768646962176</v>
      </c>
      <c r="AL77" s="119">
        <f aca="true" t="shared" si="10" ref="AL77:AM83">AL53+AL65</f>
        <v>37.678525576222086</v>
      </c>
      <c r="AM77" s="84">
        <f t="shared" si="10"/>
        <v>10.771103766625547</v>
      </c>
      <c r="AO77" s="96">
        <f aca="true" t="shared" si="11" ref="AO77:AP83">AO53+AO65</f>
        <v>0.03559165690491702</v>
      </c>
      <c r="AP77" s="96">
        <f t="shared" si="11"/>
        <v>0.01047426443676391</v>
      </c>
      <c r="AR77" s="119">
        <f aca="true" t="shared" si="12" ref="AR77:AS83">AR53+AR65</f>
        <v>47.543362992609474</v>
      </c>
      <c r="AS77" s="84">
        <f t="shared" si="12"/>
        <v>13.459142393779858</v>
      </c>
    </row>
    <row r="78" spans="3:45" ht="12.75">
      <c r="C78" s="105" t="s">
        <v>5</v>
      </c>
      <c r="D78" s="89" t="s">
        <v>137</v>
      </c>
      <c r="H78" s="119">
        <f t="shared" si="0"/>
        <v>1349.3214229930034</v>
      </c>
      <c r="I78" s="84">
        <f t="shared" si="0"/>
        <v>390.645692499889</v>
      </c>
      <c r="K78" s="119">
        <f t="shared" si="1"/>
        <v>1.639660071692244</v>
      </c>
      <c r="L78" s="84">
        <f t="shared" si="1"/>
        <v>0.4813405905390225</v>
      </c>
      <c r="N78" s="119">
        <f t="shared" si="2"/>
        <v>6.996456074220378</v>
      </c>
      <c r="O78" s="84">
        <f t="shared" si="2"/>
        <v>2.031117507037463</v>
      </c>
      <c r="Q78" s="119">
        <f t="shared" si="3"/>
        <v>524.8063001759566</v>
      </c>
      <c r="R78" s="84">
        <f t="shared" si="3"/>
        <v>154.1236388276174</v>
      </c>
      <c r="T78" s="119">
        <f t="shared" si="4"/>
        <v>62.514668900289195</v>
      </c>
      <c r="U78" s="84">
        <f t="shared" si="4"/>
        <v>18.165643029192083</v>
      </c>
      <c r="W78" s="119">
        <f t="shared" si="5"/>
        <v>60.76057600728088</v>
      </c>
      <c r="X78" s="84">
        <f t="shared" si="5"/>
        <v>17.57007258923099</v>
      </c>
      <c r="Z78" s="119">
        <f t="shared" si="6"/>
        <v>14.647179568976528</v>
      </c>
      <c r="AA78" s="84">
        <f t="shared" si="6"/>
        <v>4.246462231814956</v>
      </c>
      <c r="AC78" s="119">
        <f t="shared" si="7"/>
        <v>4.921425672162409</v>
      </c>
      <c r="AD78" s="84">
        <f t="shared" si="7"/>
        <v>1.4506829487955915</v>
      </c>
      <c r="AF78" s="119">
        <f t="shared" si="8"/>
        <v>35.99104601982845</v>
      </c>
      <c r="AG78" s="84">
        <f t="shared" si="8"/>
        <v>10.464469759674484</v>
      </c>
      <c r="AI78" s="119">
        <f t="shared" si="9"/>
        <v>5.620866469290689</v>
      </c>
      <c r="AJ78" s="84">
        <f t="shared" si="9"/>
        <v>1.645166009085987</v>
      </c>
      <c r="AL78" s="119">
        <f t="shared" si="10"/>
        <v>35.99104601982845</v>
      </c>
      <c r="AM78" s="84">
        <f t="shared" si="10"/>
        <v>10.464469759674484</v>
      </c>
      <c r="AO78" s="96">
        <f t="shared" si="11"/>
        <v>0.027327667861537414</v>
      </c>
      <c r="AP78" s="96">
        <f t="shared" si="11"/>
        <v>0.00802234317565038</v>
      </c>
      <c r="AR78" s="119">
        <f t="shared" si="12"/>
        <v>37.159564815816836</v>
      </c>
      <c r="AS78" s="84">
        <f t="shared" si="12"/>
        <v>10.764341277950779</v>
      </c>
    </row>
    <row r="79" spans="3:45" ht="12.75">
      <c r="C79" s="105" t="s">
        <v>21</v>
      </c>
      <c r="D79" s="89" t="s">
        <v>137</v>
      </c>
      <c r="H79" s="119">
        <f t="shared" si="0"/>
        <v>1908.835609674193</v>
      </c>
      <c r="I79" s="84">
        <f t="shared" si="0"/>
        <v>550.236284769631</v>
      </c>
      <c r="K79" s="119">
        <f t="shared" si="1"/>
        <v>2.634913899157065</v>
      </c>
      <c r="L79" s="84">
        <f t="shared" si="1"/>
        <v>0.7627665261528377</v>
      </c>
      <c r="N79" s="119">
        <f t="shared" si="2"/>
        <v>15.060971554512403</v>
      </c>
      <c r="O79" s="84">
        <f t="shared" si="2"/>
        <v>4.319060787120033</v>
      </c>
      <c r="Q79" s="119">
        <f t="shared" si="3"/>
        <v>3742.423393164908</v>
      </c>
      <c r="R79" s="84">
        <f t="shared" si="3"/>
        <v>1081.5174770422905</v>
      </c>
      <c r="T79" s="119">
        <f t="shared" si="4"/>
        <v>150.39192178342296</v>
      </c>
      <c r="U79" s="84">
        <f t="shared" si="4"/>
        <v>43.0960012022682</v>
      </c>
      <c r="W79" s="119">
        <f t="shared" si="5"/>
        <v>256.08190683258505</v>
      </c>
      <c r="X79" s="84">
        <f t="shared" si="5"/>
        <v>73.31309378582552</v>
      </c>
      <c r="Z79" s="119">
        <f t="shared" si="6"/>
        <v>30.16631500248674</v>
      </c>
      <c r="AA79" s="84">
        <f t="shared" si="6"/>
        <v>8.654545406120192</v>
      </c>
      <c r="AC79" s="119">
        <f t="shared" si="7"/>
        <v>10.40905497956318</v>
      </c>
      <c r="AD79" s="84">
        <f t="shared" si="7"/>
        <v>3.009417199544785</v>
      </c>
      <c r="AF79" s="119">
        <f t="shared" si="8"/>
        <v>39.88234791943822</v>
      </c>
      <c r="AG79" s="84">
        <f t="shared" si="8"/>
        <v>11.493966474031525</v>
      </c>
      <c r="AI79" s="119">
        <f t="shared" si="9"/>
        <v>10.502597463702804</v>
      </c>
      <c r="AJ79" s="84">
        <f t="shared" si="9"/>
        <v>3.0317530731133147</v>
      </c>
      <c r="AL79" s="119">
        <f t="shared" si="10"/>
        <v>39.88234791943822</v>
      </c>
      <c r="AM79" s="84">
        <f t="shared" si="10"/>
        <v>11.493966474031525</v>
      </c>
      <c r="AO79" s="96">
        <f t="shared" si="11"/>
        <v>0.10845533362705827</v>
      </c>
      <c r="AP79" s="96">
        <f t="shared" si="11"/>
        <v>0.031103405731950702</v>
      </c>
      <c r="AR79" s="119">
        <f t="shared" si="12"/>
        <v>80.44609394622387</v>
      </c>
      <c r="AS79" s="84">
        <f t="shared" si="12"/>
        <v>23.082526527702736</v>
      </c>
    </row>
    <row r="80" spans="3:45" ht="12.75">
      <c r="C80" s="105" t="s">
        <v>12</v>
      </c>
      <c r="D80" s="89" t="s">
        <v>137</v>
      </c>
      <c r="H80" s="119">
        <f t="shared" si="0"/>
        <v>1084.8875047304737</v>
      </c>
      <c r="I80" s="84">
        <f t="shared" si="0"/>
        <v>310.7301228338629</v>
      </c>
      <c r="K80" s="119">
        <f t="shared" si="1"/>
        <v>2.330366304919993</v>
      </c>
      <c r="L80" s="84">
        <f t="shared" si="1"/>
        <v>0.675811277564311</v>
      </c>
      <c r="N80" s="119">
        <f t="shared" si="2"/>
        <v>15.01815178216121</v>
      </c>
      <c r="O80" s="84">
        <f t="shared" si="2"/>
        <v>4.272586394593107</v>
      </c>
      <c r="Q80" s="119">
        <f t="shared" si="3"/>
        <v>2866.0549223456455</v>
      </c>
      <c r="R80" s="84">
        <f t="shared" si="3"/>
        <v>829.2171039023644</v>
      </c>
      <c r="T80" s="119">
        <f t="shared" si="4"/>
        <v>98.5691767503443</v>
      </c>
      <c r="U80" s="84">
        <f t="shared" si="4"/>
        <v>28.058710879631523</v>
      </c>
      <c r="W80" s="119">
        <f t="shared" si="5"/>
        <v>145.05247288467504</v>
      </c>
      <c r="X80" s="84">
        <f t="shared" si="5"/>
        <v>40.98159588233992</v>
      </c>
      <c r="Z80" s="119">
        <f t="shared" si="6"/>
        <v>37.24110169433985</v>
      </c>
      <c r="AA80" s="84">
        <f t="shared" si="6"/>
        <v>10.543322511224844</v>
      </c>
      <c r="AC80" s="119">
        <f t="shared" si="7"/>
        <v>8.85036404098664</v>
      </c>
      <c r="AD80" s="84">
        <f t="shared" si="7"/>
        <v>2.5646346552807917</v>
      </c>
      <c r="AF80" s="119">
        <f t="shared" si="8"/>
        <v>25.102409917753192</v>
      </c>
      <c r="AG80" s="84">
        <f t="shared" si="8"/>
        <v>7.3036441063139</v>
      </c>
      <c r="AI80" s="119">
        <f t="shared" si="9"/>
        <v>8.659877989641398</v>
      </c>
      <c r="AJ80" s="84">
        <f t="shared" si="9"/>
        <v>2.4933213462312285</v>
      </c>
      <c r="AL80" s="119">
        <f t="shared" si="10"/>
        <v>25.102409917753192</v>
      </c>
      <c r="AM80" s="84">
        <f t="shared" si="10"/>
        <v>7.3036441063139</v>
      </c>
      <c r="AO80" s="96">
        <f t="shared" si="11"/>
        <v>0.10827824919365919</v>
      </c>
      <c r="AP80" s="96">
        <f>AP56+AP68</f>
        <v>0.0308142544245002</v>
      </c>
      <c r="AR80" s="119">
        <f t="shared" si="12"/>
        <v>62.498797543246965</v>
      </c>
      <c r="AS80" s="84">
        <f t="shared" si="12"/>
        <v>17.998218893741996</v>
      </c>
    </row>
    <row r="81" spans="3:45" ht="12.75">
      <c r="C81" s="105" t="s">
        <v>20</v>
      </c>
      <c r="D81" s="89" t="s">
        <v>137</v>
      </c>
      <c r="H81" s="119">
        <f t="shared" si="0"/>
        <v>2264.9697872802517</v>
      </c>
      <c r="I81" s="84">
        <f t="shared" si="0"/>
        <v>640.4963666574303</v>
      </c>
      <c r="K81" s="119">
        <f t="shared" si="1"/>
        <v>4.394406522950431</v>
      </c>
      <c r="L81" s="84">
        <f t="shared" si="1"/>
        <v>1.2569488146796772</v>
      </c>
      <c r="N81" s="119">
        <f t="shared" si="2"/>
        <v>7.744867928173758</v>
      </c>
      <c r="O81" s="84">
        <f t="shared" si="2"/>
        <v>2.1963490787546984</v>
      </c>
      <c r="Q81" s="119">
        <f t="shared" si="3"/>
        <v>8101.865874975181</v>
      </c>
      <c r="R81" s="84">
        <f t="shared" si="3"/>
        <v>2305.524561324781</v>
      </c>
      <c r="T81" s="119">
        <f t="shared" si="4"/>
        <v>367.4109823658166</v>
      </c>
      <c r="U81" s="84">
        <f t="shared" si="4"/>
        <v>103.60959416529491</v>
      </c>
      <c r="W81" s="119">
        <f t="shared" si="5"/>
        <v>785.3153867814354</v>
      </c>
      <c r="X81" s="84">
        <f t="shared" si="5"/>
        <v>221.28015430598572</v>
      </c>
      <c r="Z81" s="119">
        <f t="shared" si="6"/>
        <v>28.318494935381278</v>
      </c>
      <c r="AA81" s="84">
        <f t="shared" si="6"/>
        <v>8.015452328953847</v>
      </c>
      <c r="AC81" s="119">
        <f t="shared" si="7"/>
        <v>7.090915542380062</v>
      </c>
      <c r="AD81" s="84">
        <f t="shared" si="7"/>
        <v>2.0304948165001844</v>
      </c>
      <c r="AF81" s="119">
        <f t="shared" si="8"/>
        <v>52.52554621699739</v>
      </c>
      <c r="AG81" s="84">
        <f t="shared" si="8"/>
        <v>14.881322710151435</v>
      </c>
      <c r="AI81" s="119">
        <f t="shared" si="9"/>
        <v>8.20440685613038</v>
      </c>
      <c r="AJ81" s="84">
        <f t="shared" si="9"/>
        <v>2.351533667940922</v>
      </c>
      <c r="AL81" s="119">
        <f t="shared" si="10"/>
        <v>52.52554621699739</v>
      </c>
      <c r="AM81" s="84">
        <f t="shared" si="10"/>
        <v>14.881322710151435</v>
      </c>
      <c r="AO81" s="96">
        <f t="shared" si="11"/>
        <v>0.13279630071949494</v>
      </c>
      <c r="AP81" s="96">
        <f t="shared" si="11"/>
        <v>0.03817010904575069</v>
      </c>
      <c r="AR81" s="119">
        <f t="shared" si="12"/>
        <v>89.78779037414898</v>
      </c>
      <c r="AS81" s="84">
        <f t="shared" si="12"/>
        <v>25.471106436979184</v>
      </c>
    </row>
    <row r="82" spans="3:45" ht="12.75">
      <c r="C82" s="105" t="s">
        <v>17</v>
      </c>
      <c r="D82" s="89" t="s">
        <v>137</v>
      </c>
      <c r="H82" s="119">
        <f t="shared" si="0"/>
        <v>2129.0369792207016</v>
      </c>
      <c r="I82" s="84">
        <f t="shared" si="0"/>
        <v>602.5402718569446</v>
      </c>
      <c r="K82" s="119">
        <f t="shared" si="1"/>
        <v>4.271611918341397</v>
      </c>
      <c r="L82" s="84">
        <f t="shared" si="1"/>
        <v>1.2223755764887838</v>
      </c>
      <c r="N82" s="119">
        <f t="shared" si="2"/>
        <v>14.43962837791026</v>
      </c>
      <c r="O82" s="84">
        <f t="shared" si="2"/>
        <v>4.087967737293412</v>
      </c>
      <c r="Q82" s="119">
        <f t="shared" si="3"/>
        <v>5797.102289566703</v>
      </c>
      <c r="R82" s="84">
        <f t="shared" si="3"/>
        <v>1652.4838508865112</v>
      </c>
      <c r="T82" s="119">
        <f t="shared" si="4"/>
        <v>192.30430199645417</v>
      </c>
      <c r="U82" s="84">
        <f t="shared" si="4"/>
        <v>54.328849875250754</v>
      </c>
      <c r="W82" s="119">
        <f t="shared" si="5"/>
        <v>556.9327626965091</v>
      </c>
      <c r="X82" s="84">
        <f t="shared" si="5"/>
        <v>156.95272514300478</v>
      </c>
      <c r="Z82" s="119">
        <f t="shared" si="6"/>
        <v>3.7651063036438517</v>
      </c>
      <c r="AA82" s="84">
        <f t="shared" si="6"/>
        <v>1.0756396197632756</v>
      </c>
      <c r="AC82" s="119">
        <f t="shared" si="7"/>
        <v>5.4805137476484145</v>
      </c>
      <c r="AD82" s="84">
        <f t="shared" si="7"/>
        <v>1.5873501477022978</v>
      </c>
      <c r="AF82" s="119">
        <f t="shared" si="8"/>
        <v>36.98108849875761</v>
      </c>
      <c r="AG82" s="84">
        <f t="shared" si="8"/>
        <v>10.514132802948613</v>
      </c>
      <c r="AI82" s="119">
        <f t="shared" si="9"/>
        <v>5.606769737605134</v>
      </c>
      <c r="AJ82" s="84">
        <f t="shared" si="9"/>
        <v>1.6227661572826166</v>
      </c>
      <c r="AL82" s="119">
        <f t="shared" si="10"/>
        <v>36.98108849875761</v>
      </c>
      <c r="AM82" s="84">
        <f t="shared" si="10"/>
        <v>10.514132802948613</v>
      </c>
      <c r="AO82" s="96">
        <f t="shared" si="11"/>
        <v>0.31455730744173177</v>
      </c>
      <c r="AP82" s="96">
        <f t="shared" si="11"/>
        <v>0.0889757734656645</v>
      </c>
      <c r="AR82" s="119">
        <f t="shared" si="12"/>
        <v>103.79190684553835</v>
      </c>
      <c r="AS82" s="84">
        <f t="shared" si="12"/>
        <v>29.653220027891216</v>
      </c>
    </row>
    <row r="83" spans="3:45" ht="12.75">
      <c r="C83" s="105" t="s">
        <v>22</v>
      </c>
      <c r="D83" s="89" t="s">
        <v>137</v>
      </c>
      <c r="H83" s="119">
        <f t="shared" si="0"/>
        <v>788.3294814001214</v>
      </c>
      <c r="I83" s="84">
        <f t="shared" si="0"/>
        <v>245.26360908964642</v>
      </c>
      <c r="K83" s="119">
        <f t="shared" si="1"/>
        <v>1.5694075654877195</v>
      </c>
      <c r="L83" s="84">
        <f t="shared" si="1"/>
        <v>0.46190432754694144</v>
      </c>
      <c r="N83" s="119">
        <f t="shared" si="2"/>
        <v>14.383597332038972</v>
      </c>
      <c r="O83" s="84">
        <f t="shared" si="2"/>
        <v>4.176434248878125</v>
      </c>
      <c r="Q83" s="119">
        <f t="shared" si="3"/>
        <v>2442.084307611738</v>
      </c>
      <c r="R83" s="84">
        <f t="shared" si="3"/>
        <v>762.2459329913335</v>
      </c>
      <c r="T83" s="119">
        <f t="shared" si="4"/>
        <v>99.22778415509278</v>
      </c>
      <c r="U83" s="84">
        <f t="shared" si="4"/>
        <v>29.00389497243404</v>
      </c>
      <c r="W83" s="119">
        <f t="shared" si="5"/>
        <v>136.97992304713878</v>
      </c>
      <c r="X83" s="84">
        <f t="shared" si="5"/>
        <v>40.62760065461559</v>
      </c>
      <c r="Z83" s="119">
        <f t="shared" si="6"/>
        <v>39.961332715728</v>
      </c>
      <c r="AA83" s="84">
        <f t="shared" si="6"/>
        <v>11.836364097327424</v>
      </c>
      <c r="AC83" s="119">
        <f t="shared" si="7"/>
        <v>4.239115460615879</v>
      </c>
      <c r="AD83" s="84">
        <f t="shared" si="7"/>
        <v>1.2509434662817511</v>
      </c>
      <c r="AF83" s="119">
        <f t="shared" si="8"/>
        <v>35.73107163957153</v>
      </c>
      <c r="AG83" s="84">
        <f t="shared" si="8"/>
        <v>10.51822404726531</v>
      </c>
      <c r="AI83" s="119">
        <f t="shared" si="9"/>
        <v>5.881458415892971</v>
      </c>
      <c r="AJ83" s="84">
        <f t="shared" si="9"/>
        <v>1.7467294494270296</v>
      </c>
      <c r="AL83" s="119">
        <f t="shared" si="10"/>
        <v>35.73107163957153</v>
      </c>
      <c r="AM83" s="84">
        <f t="shared" si="10"/>
        <v>10.51822404726531</v>
      </c>
      <c r="AO83" s="96">
        <f t="shared" si="11"/>
        <v>0.03717379942787987</v>
      </c>
      <c r="AP83" s="96">
        <f t="shared" si="11"/>
        <v>0.011041105173291264</v>
      </c>
      <c r="AR83" s="119">
        <f t="shared" si="12"/>
        <v>61.20839310425181</v>
      </c>
      <c r="AS83" s="84">
        <f t="shared" si="12"/>
        <v>18.402206933051524</v>
      </c>
    </row>
    <row r="84" spans="3:45" ht="12.75">
      <c r="C84" s="105"/>
      <c r="H84" s="119"/>
      <c r="I84" s="84"/>
      <c r="K84" s="119"/>
      <c r="L84" s="84"/>
      <c r="N84" s="119"/>
      <c r="O84" s="84"/>
      <c r="Q84" s="119"/>
      <c r="R84" s="84"/>
      <c r="T84" s="119"/>
      <c r="U84" s="84"/>
      <c r="W84" s="119"/>
      <c r="X84" s="84"/>
      <c r="Z84" s="119"/>
      <c r="AA84" s="84"/>
      <c r="AC84" s="119"/>
      <c r="AD84" s="126"/>
      <c r="AE84" s="182"/>
      <c r="AF84" s="125"/>
      <c r="AG84" s="126"/>
      <c r="AH84" s="182"/>
      <c r="AI84" s="125"/>
      <c r="AJ84" s="126"/>
      <c r="AK84" s="182"/>
      <c r="AL84" s="125"/>
      <c r="AM84" s="126"/>
      <c r="AN84" s="182"/>
      <c r="AO84" s="125"/>
      <c r="AP84" s="125"/>
      <c r="AQ84" s="182"/>
      <c r="AR84" s="125"/>
      <c r="AS84" s="126"/>
    </row>
    <row r="86" spans="1:45" s="146" customFormat="1" ht="12.75">
      <c r="A86" s="137"/>
      <c r="B86" s="137"/>
      <c r="C86" s="138"/>
      <c r="D86" s="137"/>
      <c r="E86" s="137"/>
      <c r="F86" s="137"/>
      <c r="G86" s="139"/>
      <c r="H86" s="147" t="s">
        <v>192</v>
      </c>
      <c r="I86" s="148"/>
      <c r="J86" s="149"/>
      <c r="K86" s="137"/>
      <c r="L86" s="150"/>
      <c r="M86" s="139"/>
      <c r="N86" s="137"/>
      <c r="O86" s="150"/>
      <c r="P86" s="139"/>
      <c r="Q86" s="137"/>
      <c r="R86" s="150"/>
      <c r="S86" s="139"/>
      <c r="T86" s="137"/>
      <c r="U86" s="150"/>
      <c r="V86" s="139"/>
      <c r="W86" s="137"/>
      <c r="X86" s="150"/>
      <c r="Y86" s="139"/>
      <c r="Z86" s="137"/>
      <c r="AA86" s="150"/>
      <c r="AB86" s="139"/>
      <c r="AC86" s="137"/>
      <c r="AD86" s="150"/>
      <c r="AE86" s="139"/>
      <c r="AF86" s="137"/>
      <c r="AG86" s="150"/>
      <c r="AH86" s="139"/>
      <c r="AI86" s="137"/>
      <c r="AJ86" s="150"/>
      <c r="AK86" s="139"/>
      <c r="AL86" s="137"/>
      <c r="AM86" s="150"/>
      <c r="AN86" s="139"/>
      <c r="AO86" s="137"/>
      <c r="AP86" s="137"/>
      <c r="AQ86" s="139"/>
      <c r="AR86" s="137"/>
      <c r="AS86" s="150"/>
    </row>
    <row r="87" spans="8:44" ht="12.75">
      <c r="H87" s="89" t="s">
        <v>24</v>
      </c>
      <c r="I87" s="76" t="s">
        <v>167</v>
      </c>
      <c r="K87" s="89" t="s">
        <v>25</v>
      </c>
      <c r="L87" s="76" t="s">
        <v>168</v>
      </c>
      <c r="N87" s="89" t="s">
        <v>26</v>
      </c>
      <c r="O87" s="76" t="s">
        <v>169</v>
      </c>
      <c r="Q87" s="89" t="s">
        <v>27</v>
      </c>
      <c r="R87" s="76" t="s">
        <v>170</v>
      </c>
      <c r="T87" s="89" t="s">
        <v>28</v>
      </c>
      <c r="U87" s="76" t="s">
        <v>171</v>
      </c>
      <c r="W87" s="89" t="s">
        <v>29</v>
      </c>
      <c r="X87" s="76" t="s">
        <v>172</v>
      </c>
      <c r="Z87" s="89" t="s">
        <v>30</v>
      </c>
      <c r="AA87" s="76" t="s">
        <v>173</v>
      </c>
      <c r="AC87" s="89" t="s">
        <v>31</v>
      </c>
      <c r="AD87" s="76" t="s">
        <v>174</v>
      </c>
      <c r="AF87" s="89" t="s">
        <v>32</v>
      </c>
      <c r="AG87" s="76" t="s">
        <v>179</v>
      </c>
      <c r="AI87" s="89" t="s">
        <v>33</v>
      </c>
      <c r="AL87" s="89" t="s">
        <v>34</v>
      </c>
      <c r="AO87" s="89" t="s">
        <v>35</v>
      </c>
      <c r="AR87" s="89" t="s">
        <v>36</v>
      </c>
    </row>
    <row r="88" spans="3:45" ht="12.75">
      <c r="C88" s="105">
        <v>101</v>
      </c>
      <c r="D88" s="89" t="s">
        <v>137</v>
      </c>
      <c r="H88" s="96">
        <f>H52/'Horizon Thicknesses'!$J4*1000</f>
        <v>14.37847342746261</v>
      </c>
      <c r="I88" s="96">
        <f>I52/'Horizon Thicknesses'!$J4*1000</f>
        <v>4.230154343823048</v>
      </c>
      <c r="J88" s="78"/>
      <c r="K88" s="96">
        <f>K52/'Horizon Thicknesses'!$J4*1000</f>
        <v>0.03198664900064188</v>
      </c>
      <c r="L88" s="96">
        <f>L52/'Horizon Thicknesses'!$J4*1000</f>
        <v>0.00941048873491478</v>
      </c>
      <c r="M88" s="78"/>
      <c r="N88" s="96">
        <f>N52/'Horizon Thicknesses'!$J4*1000</f>
        <v>0.14230301452515676</v>
      </c>
      <c r="O88" s="96">
        <f>O52/'Horizon Thicknesses'!$J4*1000</f>
        <v>0.0418656207190234</v>
      </c>
      <c r="P88" s="78"/>
      <c r="Q88" s="96">
        <f>Q52/'Horizon Thicknesses'!$J4*1000</f>
        <v>22.421975763150666</v>
      </c>
      <c r="R88" s="96">
        <f>R52/'Horizon Thicknesses'!$J4*1000</f>
        <v>6.5965569050208215</v>
      </c>
      <c r="S88" s="78"/>
      <c r="T88" s="96">
        <f>T52/'Horizon Thicknesses'!$J4*1000</f>
        <v>1.806815866257651</v>
      </c>
      <c r="U88" s="96">
        <f>U52/'Horizon Thicknesses'!$J4*1000</f>
        <v>0.5315661654692778</v>
      </c>
      <c r="V88" s="78"/>
      <c r="W88" s="96">
        <f>W52/'Horizon Thicknesses'!$J4*1000</f>
        <v>4.055426335592168</v>
      </c>
      <c r="X88" s="96">
        <f>X52/'Horizon Thicknesses'!$J4*1000</f>
        <v>1.1931085324255437</v>
      </c>
      <c r="Y88" s="78"/>
      <c r="Z88" s="120">
        <f>Z52/'Horizon Thicknesses'!$J4*1000</f>
        <v>0.13661680093112483</v>
      </c>
      <c r="AA88" s="120">
        <f>AA52/'Horizon Thicknesses'!$J4*1000</f>
        <v>0.040192733728895653</v>
      </c>
      <c r="AB88" s="78"/>
      <c r="AC88" s="96">
        <f>AC52/'Horizon Thicknesses'!$J4*1000</f>
        <v>0.039730420251504854</v>
      </c>
      <c r="AD88" s="96">
        <f>AD52/'Horizon Thicknesses'!$J4*1000</f>
        <v>0.01168871025541668</v>
      </c>
      <c r="AE88" s="78"/>
      <c r="AF88" s="96">
        <f>AF52/'Horizon Thicknesses'!$J4*1000</f>
        <v>0.24072024822121074</v>
      </c>
      <c r="AG88" s="96">
        <f>AG52/'Horizon Thicknesses'!$J4*1000</f>
        <v>0.07082002194434732</v>
      </c>
      <c r="AH88" s="135"/>
      <c r="AI88" s="123">
        <f>AI52/'Horizon Thicknesses'!$J4*1000</f>
        <v>0.030871182959717792</v>
      </c>
      <c r="AJ88" s="123">
        <f>AJ52/'Horizon Thicknesses'!$J4*1000</f>
        <v>0.009082318046822836</v>
      </c>
      <c r="AK88" s="135"/>
      <c r="AL88" s="123">
        <f>AL52/'Horizon Thicknesses'!$J4*1000</f>
        <v>0.24072024822121074</v>
      </c>
      <c r="AM88" s="123">
        <f>AM52/'Horizon Thicknesses'!$J4*1000</f>
        <v>0.07082002194434732</v>
      </c>
      <c r="AN88" s="135"/>
      <c r="AO88" s="186">
        <f>AO52/'Horizon Thicknesses'!$J4*1000</f>
        <v>0.0007534781227543606</v>
      </c>
      <c r="AP88" s="186">
        <f>AP52/'Horizon Thicknesses'!$J4*1000</f>
        <v>0.00022167365471895348</v>
      </c>
      <c r="AQ88" s="135"/>
      <c r="AR88" s="96">
        <f>AR52/'Horizon Thicknesses'!$J4*1000</f>
        <v>0.7816063754391713</v>
      </c>
      <c r="AS88" s="79">
        <f>AS52/'Horizon Thicknesses'!$J4*1000</f>
        <v>0.22994900125550174</v>
      </c>
    </row>
    <row r="89" spans="3:45" ht="12.75">
      <c r="C89" s="105" t="s">
        <v>19</v>
      </c>
      <c r="D89" s="89" t="s">
        <v>137</v>
      </c>
      <c r="H89" s="96">
        <f>H53/SUM('Horizon Thicknesses'!$J8:$J10)*1000</f>
        <v>3.4350929032419426</v>
      </c>
      <c r="I89" s="96">
        <f>I53/SUM('Horizon Thicknesses'!$J8:$J10)*1000</f>
        <v>0.9717697861748344</v>
      </c>
      <c r="J89" s="78"/>
      <c r="K89" s="96">
        <f>K53/SUM('Horizon Thicknesses'!$J8:$J10)*1000</f>
        <v>0</v>
      </c>
      <c r="L89" s="96">
        <f>L53/SUM('Horizon Thicknesses'!$J8:$J10)*1000</f>
        <v>0</v>
      </c>
      <c r="M89" s="78"/>
      <c r="N89" s="96">
        <f>N53/SUM('Horizon Thicknesses'!$J8:$J10)*1000</f>
        <v>0.028133393388929926</v>
      </c>
      <c r="O89" s="96">
        <f>O53/SUM('Horizon Thicknesses'!$J8:$J10)*1000</f>
        <v>0.008061160305253895</v>
      </c>
      <c r="P89" s="78"/>
      <c r="Q89" s="96">
        <f>Q53/SUM('Horizon Thicknesses'!$J8:$J10)*1000</f>
        <v>7.48879223860011</v>
      </c>
      <c r="R89" s="96">
        <f>R53/SUM('Horizon Thicknesses'!$J8:$J10)*1000</f>
        <v>2.1237826090306635</v>
      </c>
      <c r="S89" s="78"/>
      <c r="T89" s="96">
        <f>T53/SUM('Horizon Thicknesses'!$J8:$J10)*1000</f>
        <v>0.13603994282723778</v>
      </c>
      <c r="U89" s="96">
        <f>U53/SUM('Horizon Thicknesses'!$J8:$J10)*1000</f>
        <v>0.038861147181659755</v>
      </c>
      <c r="V89" s="78"/>
      <c r="W89" s="96">
        <f>W53/SUM('Horizon Thicknesses'!$J8:$J10)*1000</f>
        <v>0.194017365524223</v>
      </c>
      <c r="X89" s="96">
        <f>X53/SUM('Horizon Thicknesses'!$J8:$J10)*1000</f>
        <v>0.054783930820017424</v>
      </c>
      <c r="Y89" s="78"/>
      <c r="Z89" s="120">
        <f>Z53/SUM('Horizon Thicknesses'!$J8:$J10)*1000</f>
        <v>0.030793748960710368</v>
      </c>
      <c r="AA89" s="120">
        <f>AA53/SUM('Horizon Thicknesses'!$J8:$J10)*1000</f>
        <v>0.008722238293633148</v>
      </c>
      <c r="AB89" s="78"/>
      <c r="AC89" s="96">
        <f>AC53/SUM('Horizon Thicknesses'!$J8:$J10)*1000</f>
        <v>0.014218461440080607</v>
      </c>
      <c r="AD89" s="96">
        <f>AD53/SUM('Horizon Thicknesses'!$J8:$J10)*1000</f>
        <v>0.004188365040036699</v>
      </c>
      <c r="AE89" s="78"/>
      <c r="AF89" s="96">
        <f>AF53/SUM('Horizon Thicknesses'!$J8:$J10)*1000</f>
        <v>0.07334390757726345</v>
      </c>
      <c r="AG89" s="96">
        <f>AG53/SUM('Horizon Thicknesses'!$J8:$J10)*1000</f>
        <v>0.02096671318962234</v>
      </c>
      <c r="AH89" s="135"/>
      <c r="AI89" s="123">
        <f>AI53/SUM('Horizon Thicknesses'!$J8:$J10)*1000</f>
        <v>0.013011276895738003</v>
      </c>
      <c r="AJ89" s="123">
        <f>AJ53/SUM('Horizon Thicknesses'!$J8:$J10)*1000</f>
        <v>0.003761507861607045</v>
      </c>
      <c r="AK89" s="135"/>
      <c r="AL89" s="123">
        <f>AL53/SUM('Horizon Thicknesses'!$J8:$J10)*1000</f>
        <v>0.07334390757726345</v>
      </c>
      <c r="AM89" s="123">
        <f>AM53/SUM('Horizon Thicknesses'!$J8:$J10)*1000</f>
        <v>0.02096671318962234</v>
      </c>
      <c r="AN89" s="135"/>
      <c r="AO89" s="186">
        <f>AO53/SUM('Horizon Thicknesses'!$J8:$J10)*1000</f>
        <v>1.2812317721873134E-05</v>
      </c>
      <c r="AP89" s="186">
        <f>AP53/SUM('Horizon Thicknesses'!$J8:$J10)*1000</f>
        <v>4.489756331613452E-06</v>
      </c>
      <c r="AQ89" s="135"/>
      <c r="AR89" s="96">
        <f>AR53/SUM('Horizon Thicknesses'!$J8:$J10)*1000</f>
        <v>0.09254650939533578</v>
      </c>
      <c r="AS89" s="79">
        <f>AS53/SUM('Horizon Thicknesses'!$J8:$J10)*1000</f>
        <v>0.026199169970217196</v>
      </c>
    </row>
    <row r="90" spans="3:45" ht="12.75">
      <c r="C90" s="105" t="s">
        <v>5</v>
      </c>
      <c r="D90" s="89" t="s">
        <v>137</v>
      </c>
      <c r="H90" s="96">
        <f>H54/SUM('Horizon Thicknesses'!$J14:$J15)*1000</f>
        <v>3.246151791797789</v>
      </c>
      <c r="I90" s="96">
        <f>I54/SUM('Horizon Thicknesses'!$J14:$J15)*1000</f>
        <v>0.9398021798644326</v>
      </c>
      <c r="J90" s="78"/>
      <c r="K90" s="96">
        <f>K54/SUM('Horizon Thicknesses'!$J14:$J15)*1000</f>
        <v>0</v>
      </c>
      <c r="L90" s="96">
        <f>L54/SUM('Horizon Thicknesses'!$J14:$J15)*1000</f>
        <v>0</v>
      </c>
      <c r="M90" s="78"/>
      <c r="N90" s="96">
        <f>N54/SUM('Horizon Thicknesses'!$J14:$J15)*1000</f>
        <v>0.016831837125350947</v>
      </c>
      <c r="O90" s="96">
        <f>O54/SUM('Horizon Thicknesses'!$J14:$J15)*1000</f>
        <v>0.004886393725370881</v>
      </c>
      <c r="P90" s="78"/>
      <c r="Q90" s="96">
        <f>Q54/SUM('Horizon Thicknesses'!$J14:$J15)*1000</f>
        <v>1.2625612271715807</v>
      </c>
      <c r="R90" s="96">
        <f>R54/SUM('Horizon Thicknesses'!$J14:$J15)*1000</f>
        <v>0.3707854317090019</v>
      </c>
      <c r="S90" s="78"/>
      <c r="T90" s="96">
        <f>T54/SUM('Horizon Thicknesses'!$J14:$J15)*1000</f>
        <v>0.15039567371144566</v>
      </c>
      <c r="U90" s="96">
        <f>U54/SUM('Horizon Thicknesses'!$J14:$J15)*1000</f>
        <v>0.043702288916135194</v>
      </c>
      <c r="V90" s="78"/>
      <c r="W90" s="96">
        <f>W54/SUM('Horizon Thicknesses'!$J14:$J15)*1000</f>
        <v>0.14617573642253165</v>
      </c>
      <c r="X90" s="96">
        <f>X54/SUM('Horizon Thicknesses'!$J14:$J15)*1000</f>
        <v>0.04226948571752213</v>
      </c>
      <c r="Y90" s="78"/>
      <c r="Z90" s="120">
        <f>Z54/SUM('Horizon Thicknesses'!$J14:$J15)*1000</f>
        <v>0.03523768865771849</v>
      </c>
      <c r="AA90" s="120">
        <f>AA54/SUM('Horizon Thicknesses'!$J14:$J15)*1000</f>
        <v>0.010215995053299643</v>
      </c>
      <c r="AB90" s="78"/>
      <c r="AC90" s="96">
        <f>AC54/SUM('Horizon Thicknesses'!$J14:$J15)*1000</f>
        <v>0.011839799244017842</v>
      </c>
      <c r="AD90" s="96">
        <f>AD54/SUM('Horizon Thicknesses'!$J14:$J15)*1000</f>
        <v>0.0034900039185012835</v>
      </c>
      <c r="AE90" s="78"/>
      <c r="AF90" s="96">
        <f>AF54/SUM('Horizon Thicknesses'!$J14:$J15)*1000</f>
        <v>0.08658603986794378</v>
      </c>
      <c r="AG90" s="96">
        <f>AG54/SUM('Horizon Thicknesses'!$J14:$J15)*1000</f>
        <v>0.025175067023861554</v>
      </c>
      <c r="AH90" s="135"/>
      <c r="AI90" s="123">
        <f>AI54/SUM('Horizon Thicknesses'!$J14:$J15)*1000</f>
        <v>0.013522490230883035</v>
      </c>
      <c r="AJ90" s="123">
        <f>AJ54/SUM('Horizon Thicknesses'!$J14:$J15)*1000</f>
        <v>0.00395788467980693</v>
      </c>
      <c r="AK90" s="135"/>
      <c r="AL90" s="123">
        <f>AL54/SUM('Horizon Thicknesses'!$J14:$J15)*1000</f>
        <v>0.08658603986794378</v>
      </c>
      <c r="AM90" s="123">
        <f>AM54/SUM('Horizon Thicknesses'!$J14:$J15)*1000</f>
        <v>0.025175067023861554</v>
      </c>
      <c r="AN90" s="135"/>
      <c r="AO90" s="186">
        <f>AO54/SUM('Horizon Thicknesses'!$J14:$J15)*1000</f>
        <v>0</v>
      </c>
      <c r="AP90" s="186">
        <f>AP54/SUM('Horizon Thicknesses'!$J14:$J15)*1000</f>
        <v>0</v>
      </c>
      <c r="AQ90" s="135"/>
      <c r="AR90" s="96">
        <f>AR54/SUM('Horizon Thicknesses'!$J14:$J15)*1000</f>
        <v>0.08939722282161927</v>
      </c>
      <c r="AS90" s="79">
        <f>AS54/SUM('Horizon Thicknesses'!$J14:$J15)*1000</f>
        <v>0.02589648776896653</v>
      </c>
    </row>
    <row r="91" spans="3:45" ht="12.75">
      <c r="C91" s="105" t="s">
        <v>21</v>
      </c>
      <c r="D91" s="89" t="s">
        <v>137</v>
      </c>
      <c r="H91" s="96">
        <f>H55/SUM('Horizon Thicknesses'!$J19:$J21)*1000</f>
        <v>3.350268552984423</v>
      </c>
      <c r="I91" s="96">
        <f>I55/SUM('Horizon Thicknesses'!$J19:$J21)*1000</f>
        <v>0.9657402199707085</v>
      </c>
      <c r="J91" s="78"/>
      <c r="K91" s="96">
        <f>K55/SUM('Horizon Thicknesses'!$J19:$J21)*1000</f>
        <v>0.004482124727998748</v>
      </c>
      <c r="L91" s="96">
        <f>L55/SUM('Horizon Thicknesses'!$J19:$J21)*1000</f>
        <v>0.001284812975277608</v>
      </c>
      <c r="M91" s="78"/>
      <c r="N91" s="96">
        <f>N55/SUM('Horizon Thicknesses'!$J19:$J21)*1000</f>
        <v>0.026434072751339875</v>
      </c>
      <c r="O91" s="96">
        <f>O55/SUM('Horizon Thicknesses'!$J19:$J21)*1000</f>
        <v>0.007580544631596741</v>
      </c>
      <c r="P91" s="78"/>
      <c r="Q91" s="96">
        <f>Q55/SUM('Horizon Thicknesses'!$J19:$J21)*1000</f>
        <v>6.568466840480676</v>
      </c>
      <c r="R91" s="96">
        <f>R55/SUM('Horizon Thicknesses'!$J19:$J21)*1000</f>
        <v>1.8982116503245081</v>
      </c>
      <c r="S91" s="78"/>
      <c r="T91" s="96">
        <f>T55/SUM('Horizon Thicknesses'!$J19:$J21)*1000</f>
        <v>0.2639584695613964</v>
      </c>
      <c r="U91" s="96">
        <f>U55/SUM('Horizon Thicknesses'!$J19:$J21)*1000</f>
        <v>0.07563939862374104</v>
      </c>
      <c r="V91" s="78"/>
      <c r="W91" s="96">
        <f>W55/SUM('Horizon Thicknesses'!$J19:$J21)*1000</f>
        <v>0.4494589031665925</v>
      </c>
      <c r="X91" s="96">
        <f>X55/SUM('Horizon Thicknesses'!$J19:$J21)*1000</f>
        <v>0.1286745445169959</v>
      </c>
      <c r="Y91" s="78"/>
      <c r="Z91" s="120">
        <f>Z55/SUM('Horizon Thicknesses'!$J19:$J21)*1000</f>
        <v>0.05294602426738242</v>
      </c>
      <c r="AA91" s="120">
        <f>AA55/SUM('Horizon Thicknesses'!$J19:$J21)*1000</f>
        <v>0.015189915342919061</v>
      </c>
      <c r="AB91" s="78"/>
      <c r="AC91" s="96">
        <f>AC55/SUM('Horizon Thicknesses'!$J19:$J21)*1000</f>
        <v>0.018269320515384095</v>
      </c>
      <c r="AD91" s="96">
        <f>AD55/SUM('Horizon Thicknesses'!$J19:$J21)*1000</f>
        <v>0.005281940338574381</v>
      </c>
      <c r="AE91" s="78"/>
      <c r="AF91" s="96">
        <f>AF55/SUM('Horizon Thicknesses'!$J19:$J21)*1000</f>
        <v>0.06999899592007494</v>
      </c>
      <c r="AG91" s="96">
        <f>AG55/SUM('Horizon Thicknesses'!$J19:$J21)*1000</f>
        <v>0.020173489132245252</v>
      </c>
      <c r="AH91" s="135"/>
      <c r="AI91" s="123">
        <f>AI55/SUM('Horizon Thicknesses'!$J19:$J21)*1000</f>
        <v>0.018433500417201057</v>
      </c>
      <c r="AJ91" s="123">
        <f>AJ55/SUM('Horizon Thicknesses'!$J19:$J21)*1000</f>
        <v>0.005321142863108619</v>
      </c>
      <c r="AK91" s="135"/>
      <c r="AL91" s="123">
        <f>AL55/SUM('Horizon Thicknesses'!$J19:$J21)*1000</f>
        <v>0.06999899592007494</v>
      </c>
      <c r="AM91" s="123">
        <f>AM55/SUM('Horizon Thicknesses'!$J19:$J21)*1000</f>
        <v>0.020173489132245252</v>
      </c>
      <c r="AN91" s="135"/>
      <c r="AO91" s="186">
        <f>AO55/SUM('Horizon Thicknesses'!$J19:$J21)*1000</f>
        <v>0.00018797881827168372</v>
      </c>
      <c r="AP91" s="186">
        <f>AP55/SUM('Horizon Thicknesses'!$J19:$J21)*1000</f>
        <v>5.369163054905589E-05</v>
      </c>
      <c r="AQ91" s="135"/>
      <c r="AR91" s="96">
        <f>AR55/SUM('Horizon Thicknesses'!$J19:$J21)*1000</f>
        <v>0.1411939390655366</v>
      </c>
      <c r="AS91" s="79">
        <f>AS55/SUM('Horizon Thicknesses'!$J19:$J21)*1000</f>
        <v>0.04051300298321165</v>
      </c>
    </row>
    <row r="92" spans="3:45" ht="12.75">
      <c r="C92" s="105" t="s">
        <v>12</v>
      </c>
      <c r="D92" s="89" t="s">
        <v>137</v>
      </c>
      <c r="H92" s="96">
        <f>H56/SUM('Horizon Thicknesses'!$J25:$J28)*1000</f>
        <v>1.8364019458238658</v>
      </c>
      <c r="I92" s="96">
        <f>I56/SUM('Horizon Thicknesses'!$J25:$J28)*1000</f>
        <v>0.5259765641230786</v>
      </c>
      <c r="J92" s="78"/>
      <c r="K92" s="96">
        <f>K56/SUM('Horizon Thicknesses'!$J25:$J28)*1000</f>
        <v>0</v>
      </c>
      <c r="L92" s="96">
        <f>L56/SUM('Horizon Thicknesses'!$J25:$J28)*1000</f>
        <v>0</v>
      </c>
      <c r="M92" s="78"/>
      <c r="N92" s="96">
        <f>N56/SUM('Horizon Thicknesses'!$J25:$J28)*1000</f>
        <v>0.025421403634186702</v>
      </c>
      <c r="O92" s="96">
        <f>O56/SUM('Horizon Thicknesses'!$J25:$J28)*1000</f>
        <v>0.007232257662217837</v>
      </c>
      <c r="P92" s="78"/>
      <c r="Q92" s="96">
        <f>Q56/SUM('Horizon Thicknesses'!$J25:$J28)*1000</f>
        <v>4.851405157939572</v>
      </c>
      <c r="R92" s="96">
        <f>R56/SUM('Horizon Thicknesses'!$J25:$J28)*1000</f>
        <v>1.4036256261381193</v>
      </c>
      <c r="S92" s="78"/>
      <c r="T92" s="96">
        <f>T56/SUM('Horizon Thicknesses'!$J25:$J28)*1000</f>
        <v>0.16684921449764425</v>
      </c>
      <c r="U92" s="96">
        <f>U56/SUM('Horizon Thicknesses'!$J25:$J28)*1000</f>
        <v>0.047495312677111025</v>
      </c>
      <c r="V92" s="78"/>
      <c r="W92" s="96">
        <f>W56/SUM('Horizon Thicknesses'!$J25:$J28)*1000</f>
        <v>0.24553204114758254</v>
      </c>
      <c r="X92" s="96">
        <f>X56/SUM('Horizon Thicknesses'!$J25:$J28)*1000</f>
        <v>0.06937003338423868</v>
      </c>
      <c r="Y92" s="78"/>
      <c r="Z92" s="120">
        <f>Z56/SUM('Horizon Thicknesses'!$J25:$J28)*1000</f>
        <v>0.06303845451063675</v>
      </c>
      <c r="AA92" s="120">
        <f>AA56/SUM('Horizon Thicknesses'!$J25:$J28)*1000</f>
        <v>0.017846807056619257</v>
      </c>
      <c r="AB92" s="78"/>
      <c r="AC92" s="96">
        <f>AC56/SUM('Horizon Thicknesses'!$J25:$J28)*1000</f>
        <v>0.01498111617587046</v>
      </c>
      <c r="AD92" s="96">
        <f>AD56/SUM('Horizon Thicknesses'!$J25:$J28)*1000</f>
        <v>0.004341187497089876</v>
      </c>
      <c r="AE92" s="78"/>
      <c r="AF92" s="96">
        <f>AF56/SUM('Horizon Thicknesses'!$J25:$J28)*1000</f>
        <v>0.04249114697775301</v>
      </c>
      <c r="AG92" s="96">
        <f>AG56/SUM('Horizon Thicknesses'!$J25:$J28)*1000</f>
        <v>0.012362964998635505</v>
      </c>
      <c r="AH92" s="135"/>
      <c r="AI92" s="123">
        <f>AI56/SUM('Horizon Thicknesses'!$J25:$J28)*1000</f>
        <v>0.014658678177628778</v>
      </c>
      <c r="AJ92" s="123">
        <f>AJ56/SUM('Horizon Thicknesses'!$J25:$J28)*1000</f>
        <v>0.00422047461309893</v>
      </c>
      <c r="AK92" s="135"/>
      <c r="AL92" s="123">
        <f>AL56/SUM('Horizon Thicknesses'!$J25:$J28)*1000</f>
        <v>0.04249114697775301</v>
      </c>
      <c r="AM92" s="123">
        <f>AM56/SUM('Horizon Thicknesses'!$J25:$J28)*1000</f>
        <v>0.012362964998635505</v>
      </c>
      <c r="AN92" s="135"/>
      <c r="AO92" s="186">
        <f>AO56/SUM('Horizon Thicknesses'!$J25:$J28)*1000</f>
        <v>0.00017755711901121436</v>
      </c>
      <c r="AP92" s="186">
        <f>AP56/SUM('Horizon Thicknesses'!$J25:$J28)*1000</f>
        <v>4.999181020704094E-05</v>
      </c>
      <c r="AQ92" s="135"/>
      <c r="AR92" s="96">
        <f>AR56/SUM('Horizon Thicknesses'!$J25:$J28)*1000</f>
        <v>0.10579245582571664</v>
      </c>
      <c r="AS92" s="79">
        <f>AS56/SUM('Horizon Thicknesses'!$J25:$J28)*1000</f>
        <v>0.030465798577008225</v>
      </c>
    </row>
    <row r="93" spans="3:45" ht="12.75">
      <c r="C93" s="105" t="s">
        <v>20</v>
      </c>
      <c r="D93" s="89" t="s">
        <v>137</v>
      </c>
      <c r="H93" s="96">
        <f>H57/SUM('Horizon Thicknesses'!$J32:$J34)*1000</f>
        <v>5.1049165335695035</v>
      </c>
      <c r="I93" s="96">
        <f>I57/SUM('Horizon Thicknesses'!$J32:$J34)*1000</f>
        <v>1.4435868019974356</v>
      </c>
      <c r="J93" s="78"/>
      <c r="K93" s="96">
        <f>K57/SUM('Horizon Thicknesses'!$J32:$J34)*1000</f>
        <v>0.008824147192778657</v>
      </c>
      <c r="L93" s="96">
        <f>L57/SUM('Horizon Thicknesses'!$J32:$J34)*1000</f>
        <v>0.0024844686270930204</v>
      </c>
      <c r="M93" s="78"/>
      <c r="N93" s="96">
        <f>N57/SUM('Horizon Thicknesses'!$J32:$J34)*1000</f>
        <v>0.01745581974597632</v>
      </c>
      <c r="O93" s="96">
        <f>O57/SUM('Horizon Thicknesses'!$J32:$J34)*1000</f>
        <v>0.004950255314040394</v>
      </c>
      <c r="P93" s="78"/>
      <c r="Q93" s="96">
        <f>Q57/SUM('Horizon Thicknesses'!$J32:$J34)*1000</f>
        <v>18.260441834673284</v>
      </c>
      <c r="R93" s="96">
        <f>R57/SUM('Horizon Thicknesses'!$J32:$J34)*1000</f>
        <v>5.196321168500061</v>
      </c>
      <c r="S93" s="78"/>
      <c r="T93" s="96">
        <f>T57/SUM('Horizon Thicknesses'!$J32:$J34)*1000</f>
        <v>0.828091575007926</v>
      </c>
      <c r="U93" s="96">
        <f>U57/SUM('Horizon Thicknesses'!$J32:$J34)*1000</f>
        <v>0.2335211415450972</v>
      </c>
      <c r="V93" s="78"/>
      <c r="W93" s="96">
        <f>W57/SUM('Horizon Thicknesses'!$J32:$J34)*1000</f>
        <v>1.7699880698457358</v>
      </c>
      <c r="X93" s="96">
        <f>X57/SUM('Horizon Thicknesses'!$J32:$J34)*1000</f>
        <v>0.49873368051583045</v>
      </c>
      <c r="Y93" s="78"/>
      <c r="Z93" s="120">
        <f>Z57/SUM('Horizon Thicknesses'!$J32:$J34)*1000</f>
        <v>0.06382581958191252</v>
      </c>
      <c r="AA93" s="120">
        <f>AA57/SUM('Horizon Thicknesses'!$J32:$J34)*1000</f>
        <v>0.018065678115401607</v>
      </c>
      <c r="AB93" s="78"/>
      <c r="AC93" s="96">
        <f>AC57/SUM('Horizon Thicknesses'!$J32:$J34)*1000</f>
        <v>0.015981905009826953</v>
      </c>
      <c r="AD93" s="96">
        <f>AD57/SUM('Horizon Thicknesses'!$J32:$J34)*1000</f>
        <v>0.004576443632180075</v>
      </c>
      <c r="AE93" s="78"/>
      <c r="AF93" s="96">
        <f>AF57/SUM('Horizon Thicknesses'!$J32:$J34)*1000</f>
        <v>0.11838503578447136</v>
      </c>
      <c r="AG93" s="96">
        <f>AG57/SUM('Horizon Thicknesses'!$J32:$J34)*1000</f>
        <v>0.0335403636600631</v>
      </c>
      <c r="AH93" s="135"/>
      <c r="AI93" s="123">
        <f>AI57/SUM('Horizon Thicknesses'!$J32:$J34)*1000</f>
        <v>0.018491554476001794</v>
      </c>
      <c r="AJ93" s="123">
        <f>AJ57/SUM('Horizon Thicknesses'!$J32:$J34)*1000</f>
        <v>0.005300019085522403</v>
      </c>
      <c r="AK93" s="135"/>
      <c r="AL93" s="123">
        <f>AL57/SUM('Horizon Thicknesses'!$J32:$J34)*1000</f>
        <v>0.11838503578447136</v>
      </c>
      <c r="AM93" s="123">
        <f>AM57/SUM('Horizon Thicknesses'!$J32:$J34)*1000</f>
        <v>0.0335403636600631</v>
      </c>
      <c r="AN93" s="135"/>
      <c r="AO93" s="186">
        <f>AO57/SUM('Horizon Thicknesses'!$J32:$J34)*1000</f>
        <v>0.00029930378539567564</v>
      </c>
      <c r="AP93" s="186">
        <f>AP57/SUM('Horizon Thicknesses'!$J32:$J34)*1000</f>
        <v>8.602994258470147E-05</v>
      </c>
      <c r="AQ93" s="135"/>
      <c r="AR93" s="96">
        <f>AR57/SUM('Horizon Thicknesses'!$J32:$J34)*1000</f>
        <v>0.20236878132668518</v>
      </c>
      <c r="AS93" s="79">
        <f>AS57/SUM('Horizon Thicknesses'!$J32:$J34)*1000</f>
        <v>0.05740821493896373</v>
      </c>
    </row>
    <row r="94" spans="3:45" ht="12.75">
      <c r="C94" s="105" t="s">
        <v>17</v>
      </c>
      <c r="D94" s="89" t="s">
        <v>137</v>
      </c>
      <c r="H94" s="96">
        <f>H58/SUM('Horizon Thicknesses'!$J38:$J40)*1000</f>
        <v>5.209749278675639</v>
      </c>
      <c r="I94" s="96">
        <f>I58/SUM('Horizon Thicknesses'!$J38:$J40)*1000</f>
        <v>1.4744148539067417</v>
      </c>
      <c r="J94" s="78"/>
      <c r="K94" s="96">
        <f>K58/SUM('Horizon Thicknesses'!$J38:$J40)*1000</f>
        <v>0.009753088267563428</v>
      </c>
      <c r="L94" s="96">
        <f>L58/SUM('Horizon Thicknesses'!$J38:$J40)*1000</f>
        <v>0.0027460151432945564</v>
      </c>
      <c r="M94" s="78"/>
      <c r="N94" s="96">
        <f>N58/SUM('Horizon Thicknesses'!$J38:$J40)*1000</f>
        <v>0.0353337420910828</v>
      </c>
      <c r="O94" s="96">
        <f>O58/SUM('Horizon Thicknesses'!$J38:$J40)*1000</f>
        <v>0.01000324897053181</v>
      </c>
      <c r="P94" s="78"/>
      <c r="Q94" s="96">
        <f>Q58/SUM('Horizon Thicknesses'!$J38:$J40)*1000</f>
        <v>14.185497840687466</v>
      </c>
      <c r="R94" s="96">
        <f>R58/SUM('Horizon Thicknesses'!$J38:$J40)*1000</f>
        <v>4.043624715870522</v>
      </c>
      <c r="S94" s="78"/>
      <c r="T94" s="96">
        <f>T58/SUM('Horizon Thicknesses'!$J38:$J40)*1000</f>
        <v>0.47056824676618</v>
      </c>
      <c r="U94" s="96">
        <f>U58/SUM('Horizon Thicknesses'!$J38:$J40)*1000</f>
        <v>0.13294258822712732</v>
      </c>
      <c r="V94" s="78"/>
      <c r="W94" s="96">
        <f>W58/SUM('Horizon Thicknesses'!$J38:$J40)*1000</f>
        <v>1.3628133691651556</v>
      </c>
      <c r="X94" s="96">
        <f>X58/SUM('Horizon Thicknesses'!$J38:$J40)*1000</f>
        <v>0.38406300810202215</v>
      </c>
      <c r="Y94" s="78"/>
      <c r="Z94" s="120">
        <f>Z58/SUM('Horizon Thicknesses'!$J38:$J40)*1000</f>
        <v>0.0092132076807447</v>
      </c>
      <c r="AA94" s="120">
        <f>AA58/SUM('Horizon Thicknesses'!$J38:$J40)*1000</f>
        <v>0.002632088022833613</v>
      </c>
      <c r="AB94" s="78"/>
      <c r="AC94" s="96">
        <f>AC58/SUM('Horizon Thicknesses'!$J38:$J40)*1000</f>
        <v>0.013410806304564177</v>
      </c>
      <c r="AD94" s="96">
        <f>AD58/SUM('Horizon Thicknesses'!$J38:$J40)*1000</f>
        <v>0.0038842426729594425</v>
      </c>
      <c r="AE94" s="78"/>
      <c r="AF94" s="96">
        <f>AF58/SUM('Horizon Thicknesses'!$J38:$J40)*1000</f>
        <v>0.09049265043839831</v>
      </c>
      <c r="AG94" s="96">
        <f>AG58/SUM('Horizon Thicknesses'!$J38:$J40)*1000</f>
        <v>0.025728062180541012</v>
      </c>
      <c r="AH94" s="135"/>
      <c r="AI94" s="123">
        <f>AI58/SUM('Horizon Thicknesses'!$J38:$J40)*1000</f>
        <v>0.013719754462358158</v>
      </c>
      <c r="AJ94" s="123">
        <f>AJ58/SUM('Horizon Thicknesses'!$J38:$J40)*1000</f>
        <v>0.0039709055783788555</v>
      </c>
      <c r="AK94" s="135"/>
      <c r="AL94" s="123">
        <f>AL58/SUM('Horizon Thicknesses'!$J38:$J40)*1000</f>
        <v>0.09049265043839831</v>
      </c>
      <c r="AM94" s="123">
        <f>AM58/SUM('Horizon Thicknesses'!$J38:$J40)*1000</f>
        <v>0.025728062180541012</v>
      </c>
      <c r="AN94" s="135"/>
      <c r="AO94" s="186">
        <f>AO58/SUM('Horizon Thicknesses'!$J38:$J40)*1000</f>
        <v>0.0007697211093752612</v>
      </c>
      <c r="AP94" s="186">
        <f>AP58/SUM('Horizon Thicknesses'!$J38:$J40)*1000</f>
        <v>0.0002177235417498593</v>
      </c>
      <c r="AQ94" s="135"/>
      <c r="AR94" s="96">
        <f>AR58/SUM('Horizon Thicknesses'!$J38:$J40)*1000</f>
        <v>0.25397859083633095</v>
      </c>
      <c r="AS94" s="79">
        <f>AS58/SUM('Horizon Thicknesses'!$J38:$J40)*1000</f>
        <v>0.07256137077866222</v>
      </c>
    </row>
    <row r="95" spans="3:45" ht="12.75">
      <c r="C95" s="105" t="s">
        <v>22</v>
      </c>
      <c r="D95" s="89" t="s">
        <v>137</v>
      </c>
      <c r="H95" s="96">
        <f>H59/SUM('Horizon Thicknesses'!$J44:$J45)*1000</f>
        <v>2.2808611611331298</v>
      </c>
      <c r="I95" s="96">
        <f>I59/SUM('Horizon Thicknesses'!$J44:$J45)*1000</f>
        <v>0.7096173026770008</v>
      </c>
      <c r="J95" s="78"/>
      <c r="K95" s="96">
        <f>K59/SUM('Horizon Thicknesses'!$J44:$J45)*1000</f>
        <v>0.0040121621210291005</v>
      </c>
      <c r="L95" s="96">
        <f>L59/SUM('Horizon Thicknesses'!$J44:$J45)*1000</f>
        <v>0.0011363284287533456</v>
      </c>
      <c r="M95" s="78"/>
      <c r="N95" s="96">
        <f>N59/SUM('Horizon Thicknesses'!$J44:$J45)*1000</f>
        <v>0.04161583358998395</v>
      </c>
      <c r="O95" s="96">
        <f>O59/SUM('Horizon Thicknesses'!$J44:$J45)*1000</f>
        <v>0.012083610844254878</v>
      </c>
      <c r="P95" s="78"/>
      <c r="Q95" s="96">
        <f>Q59/SUM('Horizon Thicknesses'!$J44:$J45)*1000</f>
        <v>7.065643719871475</v>
      </c>
      <c r="R95" s="96">
        <f>R59/SUM('Horizon Thicknesses'!$J44:$J45)*1000</f>
        <v>2.2053940450175724</v>
      </c>
      <c r="S95" s="78"/>
      <c r="T95" s="96">
        <f>T59/SUM('Horizon Thicknesses'!$J44:$J45)*1000</f>
        <v>0.2870941710599048</v>
      </c>
      <c r="U95" s="96">
        <f>U59/SUM('Horizon Thicknesses'!$J44:$J45)*1000</f>
        <v>0.08391650842071255</v>
      </c>
      <c r="V95" s="78"/>
      <c r="W95" s="96">
        <f>W59/SUM('Horizon Thicknesses'!$J44:$J45)*1000</f>
        <v>0.39632183459424236</v>
      </c>
      <c r="X95" s="96">
        <f>X59/SUM('Horizon Thicknesses'!$J44:$J45)*1000</f>
        <v>0.11754719135780548</v>
      </c>
      <c r="Y95" s="78"/>
      <c r="Z95" s="120">
        <f>Z59/SUM('Horizon Thicknesses'!$J44:$J45)*1000</f>
        <v>0.11561948891793489</v>
      </c>
      <c r="AA95" s="120">
        <f>AA59/SUM('Horizon Thicknesses'!$J44:$J45)*1000</f>
        <v>0.03424596415026394</v>
      </c>
      <c r="AB95" s="78"/>
      <c r="AC95" s="96">
        <f>AC59/SUM('Horizon Thicknesses'!$J44:$J45)*1000</f>
        <v>0.012264965398103969</v>
      </c>
      <c r="AD95" s="96">
        <f>AD59/SUM('Horizon Thicknesses'!$J44:$J45)*1000</f>
        <v>0.0036193348521582486</v>
      </c>
      <c r="AE95" s="78"/>
      <c r="AF95" s="96">
        <f>AF59/SUM('Horizon Thicknesses'!$J44:$J45)*1000</f>
        <v>0.10338014176968166</v>
      </c>
      <c r="AG95" s="96">
        <f>AG59/SUM('Horizon Thicknesses'!$J44:$J45)*1000</f>
        <v>0.030432210490079825</v>
      </c>
      <c r="AH95" s="135"/>
      <c r="AI95" s="123">
        <f>AI59/SUM('Horizon Thicknesses'!$J44:$J45)*1000</f>
        <v>0.017016730172014338</v>
      </c>
      <c r="AJ95" s="123">
        <f>AJ59/SUM('Horizon Thicknesses'!$J44:$J45)*1000</f>
        <v>0.005053784558620915</v>
      </c>
      <c r="AK95" s="135"/>
      <c r="AL95" s="123">
        <f>AL59/SUM('Horizon Thicknesses'!$J44:$J45)*1000</f>
        <v>0.10338014176968166</v>
      </c>
      <c r="AM95" s="123">
        <f>AM59/SUM('Horizon Thicknesses'!$J44:$J45)*1000</f>
        <v>0.030432210490079825</v>
      </c>
      <c r="AN95" s="135"/>
      <c r="AO95" s="186">
        <f>AO59/SUM('Horizon Thicknesses'!$J44:$J45)*1000</f>
        <v>0.00010755436315310066</v>
      </c>
      <c r="AP95" s="186">
        <f>AP59/SUM('Horizon Thicknesses'!$J44:$J45)*1000</f>
        <v>3.194505414286824E-05</v>
      </c>
      <c r="AQ95" s="135"/>
      <c r="AR95" s="96">
        <f>AR59/SUM('Horizon Thicknesses'!$J44:$J45)*1000</f>
        <v>0.17709327110144957</v>
      </c>
      <c r="AS95" s="79">
        <f>AS59/SUM('Horizon Thicknesses'!$J44:$J45)*1000</f>
        <v>0.053242812888572466</v>
      </c>
    </row>
    <row r="96" spans="3:45" ht="12.75">
      <c r="C96" s="105"/>
      <c r="H96" s="96"/>
      <c r="I96" s="96"/>
      <c r="J96" s="78"/>
      <c r="K96" s="96"/>
      <c r="L96" s="96"/>
      <c r="M96" s="78"/>
      <c r="N96" s="96"/>
      <c r="O96" s="96"/>
      <c r="P96" s="78"/>
      <c r="Q96" s="96"/>
      <c r="R96" s="96"/>
      <c r="S96" s="78"/>
      <c r="T96" s="96"/>
      <c r="U96" s="96"/>
      <c r="V96" s="78"/>
      <c r="W96" s="96"/>
      <c r="X96" s="96"/>
      <c r="Y96" s="78"/>
      <c r="Z96" s="120"/>
      <c r="AA96" s="120"/>
      <c r="AB96" s="78"/>
      <c r="AC96" s="96"/>
      <c r="AD96" s="96"/>
      <c r="AE96" s="78"/>
      <c r="AF96" s="123"/>
      <c r="AG96" s="123"/>
      <c r="AH96" s="135"/>
      <c r="AI96" s="123"/>
      <c r="AJ96" s="123"/>
      <c r="AK96" s="135"/>
      <c r="AL96" s="123"/>
      <c r="AM96" s="123"/>
      <c r="AN96" s="135"/>
      <c r="AO96" s="186"/>
      <c r="AP96" s="186"/>
      <c r="AQ96" s="135"/>
      <c r="AR96" s="123"/>
      <c r="AS96" s="124"/>
    </row>
    <row r="97" spans="3:45" ht="12.75">
      <c r="C97" s="105"/>
      <c r="H97" s="96"/>
      <c r="I97" s="96"/>
      <c r="J97" s="78"/>
      <c r="K97" s="96"/>
      <c r="L97" s="96"/>
      <c r="M97" s="78"/>
      <c r="N97" s="96"/>
      <c r="O97" s="96"/>
      <c r="P97" s="78"/>
      <c r="Q97" s="96"/>
      <c r="R97" s="96"/>
      <c r="S97" s="78"/>
      <c r="T97" s="96"/>
      <c r="U97" s="96"/>
      <c r="V97" s="78"/>
      <c r="W97" s="96"/>
      <c r="X97" s="96"/>
      <c r="Y97" s="78"/>
      <c r="Z97" s="120"/>
      <c r="AA97" s="120"/>
      <c r="AB97" s="78"/>
      <c r="AC97" s="96"/>
      <c r="AD97" s="96"/>
      <c r="AE97" s="78"/>
      <c r="AF97" s="123"/>
      <c r="AG97" s="123"/>
      <c r="AH97" s="135"/>
      <c r="AI97" s="123"/>
      <c r="AJ97" s="123"/>
      <c r="AK97" s="135"/>
      <c r="AL97" s="123"/>
      <c r="AM97" s="123"/>
      <c r="AN97" s="135"/>
      <c r="AO97" s="186"/>
      <c r="AP97" s="186"/>
      <c r="AQ97" s="135"/>
      <c r="AR97" s="123"/>
      <c r="AS97" s="124"/>
    </row>
    <row r="98" spans="1:45" s="146" customFormat="1" ht="12.75">
      <c r="A98" s="137"/>
      <c r="B98" s="137"/>
      <c r="C98" s="138"/>
      <c r="D98" s="137"/>
      <c r="E98" s="137"/>
      <c r="F98" s="137"/>
      <c r="G98" s="139"/>
      <c r="H98" s="147" t="s">
        <v>193</v>
      </c>
      <c r="I98" s="148"/>
      <c r="J98" s="149"/>
      <c r="K98" s="137"/>
      <c r="L98" s="150"/>
      <c r="M98" s="139"/>
      <c r="N98" s="137"/>
      <c r="O98" s="150"/>
      <c r="P98" s="139"/>
      <c r="Q98" s="137"/>
      <c r="R98" s="150"/>
      <c r="S98" s="139"/>
      <c r="T98" s="137"/>
      <c r="U98" s="150"/>
      <c r="V98" s="139"/>
      <c r="W98" s="137"/>
      <c r="X98" s="150"/>
      <c r="Y98" s="139"/>
      <c r="Z98" s="137"/>
      <c r="AA98" s="150"/>
      <c r="AB98" s="139"/>
      <c r="AC98" s="137"/>
      <c r="AD98" s="150"/>
      <c r="AE98" s="139"/>
      <c r="AF98" s="137"/>
      <c r="AG98" s="150"/>
      <c r="AH98" s="139"/>
      <c r="AI98" s="137"/>
      <c r="AJ98" s="150"/>
      <c r="AK98" s="139"/>
      <c r="AL98" s="137"/>
      <c r="AM98" s="150"/>
      <c r="AN98" s="139"/>
      <c r="AO98" s="189"/>
      <c r="AP98" s="189"/>
      <c r="AQ98" s="139"/>
      <c r="AR98" s="137"/>
      <c r="AS98" s="150"/>
    </row>
    <row r="99" spans="8:44" ht="12.75">
      <c r="H99" s="89" t="s">
        <v>24</v>
      </c>
      <c r="I99" s="76" t="s">
        <v>167</v>
      </c>
      <c r="K99" s="89" t="s">
        <v>25</v>
      </c>
      <c r="L99" s="76" t="s">
        <v>168</v>
      </c>
      <c r="N99" s="89" t="s">
        <v>26</v>
      </c>
      <c r="O99" s="76" t="s">
        <v>169</v>
      </c>
      <c r="Q99" s="89" t="s">
        <v>27</v>
      </c>
      <c r="R99" s="76" t="s">
        <v>170</v>
      </c>
      <c r="T99" s="89" t="s">
        <v>28</v>
      </c>
      <c r="U99" s="76" t="s">
        <v>171</v>
      </c>
      <c r="W99" s="89" t="s">
        <v>29</v>
      </c>
      <c r="X99" s="76" t="s">
        <v>172</v>
      </c>
      <c r="Z99" s="89" t="s">
        <v>30</v>
      </c>
      <c r="AA99" s="76" t="s">
        <v>173</v>
      </c>
      <c r="AC99" s="89" t="s">
        <v>31</v>
      </c>
      <c r="AD99" s="76" t="s">
        <v>174</v>
      </c>
      <c r="AF99" s="89" t="s">
        <v>32</v>
      </c>
      <c r="AG99" s="76" t="s">
        <v>179</v>
      </c>
      <c r="AI99" s="89" t="s">
        <v>33</v>
      </c>
      <c r="AL99" s="89" t="s">
        <v>34</v>
      </c>
      <c r="AO99" s="157" t="s">
        <v>35</v>
      </c>
      <c r="AP99" s="157"/>
      <c r="AR99" s="89" t="s">
        <v>36</v>
      </c>
    </row>
    <row r="100" spans="3:45" ht="12.75">
      <c r="C100" s="105">
        <v>101</v>
      </c>
      <c r="D100" s="89" t="s">
        <v>137</v>
      </c>
      <c r="H100" s="96">
        <f>H76/'Horizon Thicknesses'!$J4*1000</f>
        <v>14.37847342746261</v>
      </c>
      <c r="I100" s="96">
        <f>I76/'Horizon Thicknesses'!$J4*1000</f>
        <v>4.230154343823048</v>
      </c>
      <c r="J100" s="78"/>
      <c r="K100" s="96">
        <f>K76/'Horizon Thicknesses'!$J4*1000</f>
        <v>0.03198664900064188</v>
      </c>
      <c r="L100" s="96">
        <f>L76/'Horizon Thicknesses'!$J4*1000</f>
        <v>0.00941048873491478</v>
      </c>
      <c r="M100" s="78"/>
      <c r="N100" s="96">
        <f>N76/'Horizon Thicknesses'!$J4*1000</f>
        <v>0.14230301452515676</v>
      </c>
      <c r="O100" s="96">
        <f>O76/'Horizon Thicknesses'!$J4*1000</f>
        <v>0.0418656207190234</v>
      </c>
      <c r="P100" s="78"/>
      <c r="Q100" s="96">
        <f>Q76/'Horizon Thicknesses'!$J4*1000</f>
        <v>22.421975763150666</v>
      </c>
      <c r="R100" s="96">
        <f>R76/'Horizon Thicknesses'!$J4*1000</f>
        <v>6.5965569050208215</v>
      </c>
      <c r="S100" s="78"/>
      <c r="T100" s="96">
        <f>T76/'Horizon Thicknesses'!$J4*1000</f>
        <v>1.806815866257651</v>
      </c>
      <c r="U100" s="96">
        <f>U76/'Horizon Thicknesses'!$J4*1000</f>
        <v>0.5315661654692778</v>
      </c>
      <c r="V100" s="78"/>
      <c r="W100" s="96">
        <f>W76/'Horizon Thicknesses'!$J4*1000</f>
        <v>4.055426335592168</v>
      </c>
      <c r="X100" s="96">
        <f>X76/'Horizon Thicknesses'!$J4*1000</f>
        <v>1.1931085324255437</v>
      </c>
      <c r="Y100" s="78"/>
      <c r="Z100" s="96">
        <f>Z76/'Horizon Thicknesses'!$J4*1000</f>
        <v>0.13661680093112483</v>
      </c>
      <c r="AA100" s="96">
        <f>AA76/'Horizon Thicknesses'!$J4*1000</f>
        <v>0.040192733728895653</v>
      </c>
      <c r="AB100" s="78"/>
      <c r="AC100" s="96">
        <f>AC76/'Horizon Thicknesses'!$J4*1000</f>
        <v>0.039730420251504854</v>
      </c>
      <c r="AD100" s="96">
        <f>AD76/'Horizon Thicknesses'!$J4*1000</f>
        <v>0.01168871025541668</v>
      </c>
      <c r="AE100" s="78"/>
      <c r="AF100" s="96">
        <f>AF76/'Horizon Thicknesses'!$J4*1000</f>
        <v>0.24072024822121074</v>
      </c>
      <c r="AG100" s="96">
        <f>AG76/'Horizon Thicknesses'!$J4*1000</f>
        <v>0.07082002194434732</v>
      </c>
      <c r="AH100" s="135"/>
      <c r="AI100" s="96">
        <f>AI76/'Horizon Thicknesses'!$J4*1000</f>
        <v>0.030871182959717792</v>
      </c>
      <c r="AJ100" s="96">
        <f>AJ76/'Horizon Thicknesses'!$J4*1000</f>
        <v>0.009082318046822836</v>
      </c>
      <c r="AK100" s="135"/>
      <c r="AL100" s="96">
        <f>AL76/'Horizon Thicknesses'!$J4*1000</f>
        <v>0.24072024822121074</v>
      </c>
      <c r="AM100" s="96">
        <f>AM76/'Horizon Thicknesses'!$J4*1000</f>
        <v>0.07082002194434732</v>
      </c>
      <c r="AN100" s="135"/>
      <c r="AO100" s="157">
        <f>AO76/'Horizon Thicknesses'!$J4*1000</f>
        <v>0.0007534781227543606</v>
      </c>
      <c r="AP100" s="157">
        <f>AP76/'Horizon Thicknesses'!$J4*1000</f>
        <v>0.00022167365471895348</v>
      </c>
      <c r="AQ100" s="135"/>
      <c r="AR100" s="96">
        <f>AR76/'Horizon Thicknesses'!$J4*1000</f>
        <v>0.7816063754391713</v>
      </c>
      <c r="AS100" s="79">
        <f>AS76/'Horizon Thicknesses'!$J4*1000</f>
        <v>0.22994900125550174</v>
      </c>
    </row>
    <row r="101" spans="3:45" ht="12.75">
      <c r="C101" s="105" t="s">
        <v>19</v>
      </c>
      <c r="D101" s="89" t="s">
        <v>137</v>
      </c>
      <c r="H101" s="96">
        <f>H77/SUM('Horizon Thicknesses'!$J8:$J10)*1000</f>
        <v>3.4350929032419426</v>
      </c>
      <c r="I101" s="96">
        <f>I77/SUM('Horizon Thicknesses'!$J8:$J10)*1000</f>
        <v>0.9717697861748344</v>
      </c>
      <c r="J101" s="78"/>
      <c r="K101" s="96">
        <f>K77/SUM('Horizon Thicknesses'!$J8:$J10)*1000</f>
        <v>0.003944638682054535</v>
      </c>
      <c r="L101" s="96">
        <f>L77/SUM('Horizon Thicknesses'!$J8:$J10)*1000</f>
        <v>0.0011489519182930604</v>
      </c>
      <c r="M101" s="78"/>
      <c r="N101" s="96">
        <f>N77/SUM('Horizon Thicknesses'!$J8:$J10)*1000</f>
        <v>0.028133393388929926</v>
      </c>
      <c r="O101" s="96">
        <f>O77/SUM('Horizon Thicknesses'!$J8:$J10)*1000</f>
        <v>0.008061160305253895</v>
      </c>
      <c r="P101" s="78"/>
      <c r="Q101" s="96">
        <f>Q77/SUM('Horizon Thicknesses'!$J8:$J10)*1000</f>
        <v>7.48879223860011</v>
      </c>
      <c r="R101" s="96">
        <f>R77/SUM('Horizon Thicknesses'!$J8:$J10)*1000</f>
        <v>2.1237826090306635</v>
      </c>
      <c r="S101" s="78"/>
      <c r="T101" s="96">
        <f>T77/SUM('Horizon Thicknesses'!$J8:$J10)*1000</f>
        <v>0.13603994282723778</v>
      </c>
      <c r="U101" s="96">
        <f>U77/SUM('Horizon Thicknesses'!$J8:$J10)*1000</f>
        <v>0.038861147181659755</v>
      </c>
      <c r="V101" s="78"/>
      <c r="W101" s="96">
        <f>W77/SUM('Horizon Thicknesses'!$J8:$J10)*1000</f>
        <v>0.194017365524223</v>
      </c>
      <c r="X101" s="96">
        <f>X77/SUM('Horizon Thicknesses'!$J8:$J10)*1000</f>
        <v>0.054783930820017424</v>
      </c>
      <c r="Y101" s="78"/>
      <c r="Z101" s="96">
        <f>Z77/SUM('Horizon Thicknesses'!$J8:$J10)*1000</f>
        <v>0.030793748960710368</v>
      </c>
      <c r="AA101" s="96">
        <f>AA77/SUM('Horizon Thicknesses'!$J8:$J10)*1000</f>
        <v>0.008722238293633148</v>
      </c>
      <c r="AB101" s="78"/>
      <c r="AC101" s="96">
        <f>AC77/SUM('Horizon Thicknesses'!$J8:$J10)*1000</f>
        <v>0.014218461440080607</v>
      </c>
      <c r="AD101" s="96">
        <f>AD77/SUM('Horizon Thicknesses'!$J8:$J10)*1000</f>
        <v>0.004188365040036699</v>
      </c>
      <c r="AE101" s="78"/>
      <c r="AF101" s="96">
        <f>AF77/SUM('Horizon Thicknesses'!$J8:$J10)*1000</f>
        <v>0.07334390757726345</v>
      </c>
      <c r="AG101" s="96">
        <f>AG77/SUM('Horizon Thicknesses'!$J8:$J10)*1000</f>
        <v>0.02096671318962234</v>
      </c>
      <c r="AH101" s="135"/>
      <c r="AI101" s="96">
        <f>AI77/SUM('Horizon Thicknesses'!$J8:$J10)*1000</f>
        <v>0.013011276895738003</v>
      </c>
      <c r="AJ101" s="96">
        <f>AJ77/SUM('Horizon Thicknesses'!$J8:$J10)*1000</f>
        <v>0.003761507861607045</v>
      </c>
      <c r="AK101" s="135"/>
      <c r="AL101" s="96">
        <f>AL77/SUM('Horizon Thicknesses'!$J8:$J10)*1000</f>
        <v>0.07334390757726345</v>
      </c>
      <c r="AM101" s="96">
        <f>AM77/SUM('Horizon Thicknesses'!$J8:$J10)*1000</f>
        <v>0.02096671318962234</v>
      </c>
      <c r="AN101" s="135"/>
      <c r="AO101" s="157">
        <f>AO77/SUM('Horizon Thicknesses'!$J8:$J10)*1000</f>
        <v>6.928167051747052E-05</v>
      </c>
      <c r="AP101" s="157">
        <f>AP77/SUM('Horizon Thicknesses'!$J8:$J10)*1000</f>
        <v>2.0388894497364168E-05</v>
      </c>
      <c r="AQ101" s="135"/>
      <c r="AR101" s="96">
        <f>AR77/SUM('Horizon Thicknesses'!$J8:$J10)*1000</f>
        <v>0.09254650939533578</v>
      </c>
      <c r="AS101" s="79">
        <f>AS77/SUM('Horizon Thicknesses'!$J8:$J10)*1000</f>
        <v>0.026199169970217196</v>
      </c>
    </row>
    <row r="102" spans="3:45" ht="12.75">
      <c r="C102" s="105" t="s">
        <v>5</v>
      </c>
      <c r="D102" s="89" t="s">
        <v>137</v>
      </c>
      <c r="H102" s="96">
        <f>H78/SUM('Horizon Thicknesses'!$J14:$J15)*1000</f>
        <v>3.246151791797789</v>
      </c>
      <c r="I102" s="96">
        <f>I78/SUM('Horizon Thicknesses'!$J14:$J15)*1000</f>
        <v>0.9398021798644326</v>
      </c>
      <c r="J102" s="78"/>
      <c r="K102" s="96">
        <f>K78/SUM('Horizon Thicknesses'!$J14:$J15)*1000</f>
        <v>0.003944638682054535</v>
      </c>
      <c r="L102" s="96">
        <f>L78/SUM('Horizon Thicknesses'!$J14:$J15)*1000</f>
        <v>0.0011579928946635837</v>
      </c>
      <c r="M102" s="78"/>
      <c r="N102" s="96">
        <f>N78/SUM('Horizon Thicknesses'!$J14:$J15)*1000</f>
        <v>0.016831837125350947</v>
      </c>
      <c r="O102" s="96">
        <f>O78/SUM('Horizon Thicknesses'!$J14:$J15)*1000</f>
        <v>0.004886393725370881</v>
      </c>
      <c r="P102" s="78"/>
      <c r="Q102" s="96">
        <f>Q78/SUM('Horizon Thicknesses'!$J14:$J15)*1000</f>
        <v>1.2625612271715807</v>
      </c>
      <c r="R102" s="96">
        <f>R78/SUM('Horizon Thicknesses'!$J14:$J15)*1000</f>
        <v>0.3707854317090019</v>
      </c>
      <c r="S102" s="78"/>
      <c r="T102" s="96">
        <f>T78/SUM('Horizon Thicknesses'!$J14:$J15)*1000</f>
        <v>0.15039567371144566</v>
      </c>
      <c r="U102" s="96">
        <f>U78/SUM('Horizon Thicknesses'!$J14:$J15)*1000</f>
        <v>0.043702288916135194</v>
      </c>
      <c r="V102" s="78"/>
      <c r="W102" s="96">
        <f>W78/SUM('Horizon Thicknesses'!$J14:$J15)*1000</f>
        <v>0.14617573642253165</v>
      </c>
      <c r="X102" s="96">
        <f>X78/SUM('Horizon Thicknesses'!$J14:$J15)*1000</f>
        <v>0.04226948571752213</v>
      </c>
      <c r="Y102" s="78"/>
      <c r="Z102" s="96">
        <f>Z78/SUM('Horizon Thicknesses'!$J14:$J15)*1000</f>
        <v>0.03523768865771849</v>
      </c>
      <c r="AA102" s="96">
        <f>AA78/SUM('Horizon Thicknesses'!$J14:$J15)*1000</f>
        <v>0.010215995053299643</v>
      </c>
      <c r="AB102" s="78"/>
      <c r="AC102" s="96">
        <f>AC78/SUM('Horizon Thicknesses'!$J14:$J15)*1000</f>
        <v>0.011839799244017842</v>
      </c>
      <c r="AD102" s="96">
        <f>AD78/SUM('Horizon Thicknesses'!$J14:$J15)*1000</f>
        <v>0.0034900039185012835</v>
      </c>
      <c r="AE102" s="78"/>
      <c r="AF102" s="96">
        <f>AF78/SUM('Horizon Thicknesses'!$J14:$J15)*1000</f>
        <v>0.08658603986794378</v>
      </c>
      <c r="AG102" s="96">
        <f>AG78/SUM('Horizon Thicknesses'!$J14:$J15)*1000</f>
        <v>0.025175067023861554</v>
      </c>
      <c r="AH102" s="135"/>
      <c r="AI102" s="96">
        <f>AI78/SUM('Horizon Thicknesses'!$J14:$J15)*1000</f>
        <v>0.013522490230883035</v>
      </c>
      <c r="AJ102" s="96">
        <f>AJ78/SUM('Horizon Thicknesses'!$J14:$J15)*1000</f>
        <v>0.00395788467980693</v>
      </c>
      <c r="AK102" s="135"/>
      <c r="AL102" s="96">
        <f>AL78/SUM('Horizon Thicknesses'!$J14:$J15)*1000</f>
        <v>0.08658603986794378</v>
      </c>
      <c r="AM102" s="96">
        <f>AM78/SUM('Horizon Thicknesses'!$J14:$J15)*1000</f>
        <v>0.025175067023861554</v>
      </c>
      <c r="AN102" s="135"/>
      <c r="AO102" s="157">
        <f>AO78/SUM('Horizon Thicknesses'!$J14:$J15)*1000</f>
        <v>6.574397803424227E-05</v>
      </c>
      <c r="AP102" s="157">
        <f>AP78/SUM('Horizon Thicknesses'!$J14:$J15)*1000</f>
        <v>1.9299881577726404E-05</v>
      </c>
      <c r="AQ102" s="135"/>
      <c r="AR102" s="96">
        <f>AR78/SUM('Horizon Thicknesses'!$J14:$J15)*1000</f>
        <v>0.08939722282161927</v>
      </c>
      <c r="AS102" s="79">
        <f>AS78/SUM('Horizon Thicknesses'!$J14:$J15)*1000</f>
        <v>0.02589648776896653</v>
      </c>
    </row>
    <row r="103" spans="3:45" ht="12.75">
      <c r="C103" s="105" t="s">
        <v>21</v>
      </c>
      <c r="D103" s="89" t="s">
        <v>137</v>
      </c>
      <c r="H103" s="96">
        <f>H79/SUM('Horizon Thicknesses'!$J19:$J21)*1000</f>
        <v>3.350268552984423</v>
      </c>
      <c r="I103" s="96">
        <f>I79/SUM('Horizon Thicknesses'!$J19:$J21)*1000</f>
        <v>0.9657402199707085</v>
      </c>
      <c r="J103" s="78"/>
      <c r="K103" s="96">
        <f>K79/SUM('Horizon Thicknesses'!$J19:$J21)*1000</f>
        <v>0.004624635632019786</v>
      </c>
      <c r="L103" s="96">
        <f>L79/SUM('Horizon Thicknesses'!$J19:$J21)*1000</f>
        <v>0.0013387599712031777</v>
      </c>
      <c r="M103" s="78"/>
      <c r="N103" s="96">
        <f>N79/SUM('Horizon Thicknesses'!$J19:$J21)*1000</f>
        <v>0.026434072751339875</v>
      </c>
      <c r="O103" s="96">
        <f>O79/SUM('Horizon Thicknesses'!$J19:$J21)*1000</f>
        <v>0.007580544631596741</v>
      </c>
      <c r="P103" s="78"/>
      <c r="Q103" s="96">
        <f>Q79/SUM('Horizon Thicknesses'!$J19:$J21)*1000</f>
        <v>6.568466840480676</v>
      </c>
      <c r="R103" s="96">
        <f>R79/SUM('Horizon Thicknesses'!$J19:$J21)*1000</f>
        <v>1.8982116503245081</v>
      </c>
      <c r="S103" s="78"/>
      <c r="T103" s="96">
        <f>T79/SUM('Horizon Thicknesses'!$J19:$J21)*1000</f>
        <v>0.2639584695613964</v>
      </c>
      <c r="U103" s="96">
        <f>U79/SUM('Horizon Thicknesses'!$J19:$J21)*1000</f>
        <v>0.07563939862374104</v>
      </c>
      <c r="V103" s="78"/>
      <c r="W103" s="96">
        <f>W79/SUM('Horizon Thicknesses'!$J19:$J21)*1000</f>
        <v>0.4494589031665925</v>
      </c>
      <c r="X103" s="96">
        <f>X79/SUM('Horizon Thicknesses'!$J19:$J21)*1000</f>
        <v>0.1286745445169959</v>
      </c>
      <c r="Y103" s="78"/>
      <c r="Z103" s="96">
        <f>Z79/SUM('Horizon Thicknesses'!$J19:$J21)*1000</f>
        <v>0.05294602426738242</v>
      </c>
      <c r="AA103" s="96">
        <f>AA79/SUM('Horizon Thicknesses'!$J19:$J21)*1000</f>
        <v>0.015189915342919061</v>
      </c>
      <c r="AB103" s="78"/>
      <c r="AC103" s="96">
        <f>AC79/SUM('Horizon Thicknesses'!$J19:$J21)*1000</f>
        <v>0.018269320515384095</v>
      </c>
      <c r="AD103" s="96">
        <f>AD79/SUM('Horizon Thicknesses'!$J19:$J21)*1000</f>
        <v>0.005281940338574381</v>
      </c>
      <c r="AE103" s="78"/>
      <c r="AF103" s="96">
        <f>AF79/SUM('Horizon Thicknesses'!$J19:$J21)*1000</f>
        <v>0.06999899592007494</v>
      </c>
      <c r="AG103" s="96">
        <f>AG79/SUM('Horizon Thicknesses'!$J19:$J21)*1000</f>
        <v>0.020173489132245252</v>
      </c>
      <c r="AH103" s="135"/>
      <c r="AI103" s="96">
        <f>AI79/SUM('Horizon Thicknesses'!$J19:$J21)*1000</f>
        <v>0.018433500417201057</v>
      </c>
      <c r="AJ103" s="96">
        <f>AJ79/SUM('Horizon Thicknesses'!$J19:$J21)*1000</f>
        <v>0.005321142863108619</v>
      </c>
      <c r="AK103" s="135"/>
      <c r="AL103" s="96">
        <f>AL79/SUM('Horizon Thicknesses'!$J19:$J21)*1000</f>
        <v>0.06999899592007494</v>
      </c>
      <c r="AM103" s="96">
        <f>AM79/SUM('Horizon Thicknesses'!$J19:$J21)*1000</f>
        <v>0.020173489132245252</v>
      </c>
      <c r="AN103" s="135"/>
      <c r="AO103" s="157">
        <f>AO79/SUM('Horizon Thicknesses'!$J19:$J21)*1000</f>
        <v>0.0001903540000053677</v>
      </c>
      <c r="AP103" s="157">
        <f>AP79/SUM('Horizon Thicknesses'!$J19:$J21)*1000</f>
        <v>5.459074714781539E-05</v>
      </c>
      <c r="AQ103" s="135"/>
      <c r="AR103" s="96">
        <f>AR79/SUM('Horizon Thicknesses'!$J19:$J21)*1000</f>
        <v>0.1411939390655366</v>
      </c>
      <c r="AS103" s="79">
        <f>AS79/SUM('Horizon Thicknesses'!$J19:$J21)*1000</f>
        <v>0.04051300298321165</v>
      </c>
    </row>
    <row r="104" spans="3:45" ht="12.75">
      <c r="C104" s="105" t="s">
        <v>12</v>
      </c>
      <c r="D104" s="89" t="s">
        <v>137</v>
      </c>
      <c r="H104" s="96">
        <f>H80/SUM('Horizon Thicknesses'!$J25:$J28)*1000</f>
        <v>1.8364019458238658</v>
      </c>
      <c r="I104" s="96">
        <f>I80/SUM('Horizon Thicknesses'!$J25:$J28)*1000</f>
        <v>0.5259765641230786</v>
      </c>
      <c r="J104" s="78"/>
      <c r="K104" s="96">
        <f>K80/SUM('Horizon Thicknesses'!$J25:$J28)*1000</f>
        <v>0.003944638682054535</v>
      </c>
      <c r="L104" s="96">
        <f>L80/SUM('Horizon Thicknesses'!$J25:$J28)*1000</f>
        <v>0.001143953764530765</v>
      </c>
      <c r="M104" s="78"/>
      <c r="N104" s="96">
        <f>N80/SUM('Horizon Thicknesses'!$J25:$J28)*1000</f>
        <v>0.025421403634186702</v>
      </c>
      <c r="O104" s="96">
        <f>O80/SUM('Horizon Thicknesses'!$J25:$J28)*1000</f>
        <v>0.007232257662217837</v>
      </c>
      <c r="P104" s="78"/>
      <c r="Q104" s="96">
        <f>Q80/SUM('Horizon Thicknesses'!$J25:$J28)*1000</f>
        <v>4.851405157939572</v>
      </c>
      <c r="R104" s="96">
        <f>R80/SUM('Horizon Thicknesses'!$J25:$J28)*1000</f>
        <v>1.4036256261381193</v>
      </c>
      <c r="S104" s="78"/>
      <c r="T104" s="96">
        <f>T80/SUM('Horizon Thicknesses'!$J25:$J28)*1000</f>
        <v>0.16684921449764425</v>
      </c>
      <c r="U104" s="96">
        <f>U80/SUM('Horizon Thicknesses'!$J25:$J28)*1000</f>
        <v>0.047495312677111025</v>
      </c>
      <c r="V104" s="78"/>
      <c r="W104" s="96">
        <f>W80/SUM('Horizon Thicknesses'!$J25:$J28)*1000</f>
        <v>0.24553204114758254</v>
      </c>
      <c r="X104" s="96">
        <f>X80/SUM('Horizon Thicknesses'!$J25:$J28)*1000</f>
        <v>0.06937003338423868</v>
      </c>
      <c r="Y104" s="78"/>
      <c r="Z104" s="96">
        <f>Z80/SUM('Horizon Thicknesses'!$J25:$J28)*1000</f>
        <v>0.06303845451063675</v>
      </c>
      <c r="AA104" s="96">
        <f>AA80/SUM('Horizon Thicknesses'!$J25:$J28)*1000</f>
        <v>0.017846807056619257</v>
      </c>
      <c r="AB104" s="78"/>
      <c r="AC104" s="96">
        <f>AC80/SUM('Horizon Thicknesses'!$J25:$J28)*1000</f>
        <v>0.01498111617587046</v>
      </c>
      <c r="AD104" s="96">
        <f>AD80/SUM('Horizon Thicknesses'!$J25:$J28)*1000</f>
        <v>0.004341187497089876</v>
      </c>
      <c r="AE104" s="78"/>
      <c r="AF104" s="96">
        <f>AF80/SUM('Horizon Thicknesses'!$J25:$J28)*1000</f>
        <v>0.04249114697775301</v>
      </c>
      <c r="AG104" s="96">
        <f>AG80/SUM('Horizon Thicknesses'!$J25:$J28)*1000</f>
        <v>0.012362964998635505</v>
      </c>
      <c r="AH104" s="135"/>
      <c r="AI104" s="96">
        <f>AI80/SUM('Horizon Thicknesses'!$J25:$J28)*1000</f>
        <v>0.014658678177628778</v>
      </c>
      <c r="AJ104" s="96">
        <f>AJ80/SUM('Horizon Thicknesses'!$J25:$J28)*1000</f>
        <v>0.00422047461309893</v>
      </c>
      <c r="AK104" s="135"/>
      <c r="AL104" s="96">
        <f>AL80/SUM('Horizon Thicknesses'!$J25:$J28)*1000</f>
        <v>0.04249114697775301</v>
      </c>
      <c r="AM104" s="96">
        <f>AM80/SUM('Horizon Thicknesses'!$J25:$J28)*1000</f>
        <v>0.012362964998635505</v>
      </c>
      <c r="AN104" s="135"/>
      <c r="AO104" s="157">
        <f>AO80/SUM('Horizon Thicknesses'!$J25:$J28)*1000</f>
        <v>0.0001832838765702597</v>
      </c>
      <c r="AP104" s="157">
        <f>AP80/SUM('Horizon Thicknesses'!$J25:$J28)*1000</f>
        <v>5.215965391575069E-05</v>
      </c>
      <c r="AQ104" s="135"/>
      <c r="AR104" s="96">
        <f>AR80/SUM('Horizon Thicknesses'!$J25:$J28)*1000</f>
        <v>0.10579245582571664</v>
      </c>
      <c r="AS104" s="79">
        <f>AS80/SUM('Horizon Thicknesses'!$J25:$J28)*1000</f>
        <v>0.030465798577008225</v>
      </c>
    </row>
    <row r="105" spans="3:45" ht="12.75">
      <c r="C105" s="105" t="s">
        <v>20</v>
      </c>
      <c r="D105" s="89" t="s">
        <v>137</v>
      </c>
      <c r="H105" s="96">
        <f>H81/SUM('Horizon Thicknesses'!$J32:$J34)*1000</f>
        <v>5.1049165335695035</v>
      </c>
      <c r="I105" s="96">
        <f>I81/SUM('Horizon Thicknesses'!$J32:$J34)*1000</f>
        <v>1.4435868019974356</v>
      </c>
      <c r="J105" s="78"/>
      <c r="K105" s="96">
        <f>K81/SUM('Horizon Thicknesses'!$J32:$J34)*1000</f>
        <v>0.00990436103837513</v>
      </c>
      <c r="L105" s="96">
        <f>L81/SUM('Horizon Thicknesses'!$J32:$J34)*1000</f>
        <v>0.002832982065343076</v>
      </c>
      <c r="M105" s="78"/>
      <c r="N105" s="96">
        <f>N81/SUM('Horizon Thicknesses'!$J32:$J34)*1000</f>
        <v>0.01745581974597632</v>
      </c>
      <c r="O105" s="96">
        <f>O81/SUM('Horizon Thicknesses'!$J32:$J34)*1000</f>
        <v>0.004950255314040394</v>
      </c>
      <c r="P105" s="78"/>
      <c r="Q105" s="96">
        <f>Q81/SUM('Horizon Thicknesses'!$J32:$J34)*1000</f>
        <v>18.260441834673284</v>
      </c>
      <c r="R105" s="96">
        <f>R81/SUM('Horizon Thicknesses'!$J32:$J34)*1000</f>
        <v>5.196321168500061</v>
      </c>
      <c r="S105" s="78"/>
      <c r="T105" s="96">
        <f>T81/SUM('Horizon Thicknesses'!$J32:$J34)*1000</f>
        <v>0.828091575007926</v>
      </c>
      <c r="U105" s="96">
        <f>U81/SUM('Horizon Thicknesses'!$J32:$J34)*1000</f>
        <v>0.2335211415450972</v>
      </c>
      <c r="V105" s="78"/>
      <c r="W105" s="96">
        <f>W81/SUM('Horizon Thicknesses'!$J32:$J34)*1000</f>
        <v>1.7699880698457358</v>
      </c>
      <c r="X105" s="96">
        <f>X81/SUM('Horizon Thicknesses'!$J32:$J34)*1000</f>
        <v>0.49873368051583045</v>
      </c>
      <c r="Y105" s="78"/>
      <c r="Z105" s="96">
        <f>Z81/SUM('Horizon Thicknesses'!$J32:$J34)*1000</f>
        <v>0.06382581958191252</v>
      </c>
      <c r="AA105" s="96">
        <f>AA81/SUM('Horizon Thicknesses'!$J32:$J34)*1000</f>
        <v>0.018065678115401607</v>
      </c>
      <c r="AB105" s="78"/>
      <c r="AC105" s="96">
        <f>AC81/SUM('Horizon Thicknesses'!$J32:$J34)*1000</f>
        <v>0.015981905009826953</v>
      </c>
      <c r="AD105" s="96">
        <f>AD81/SUM('Horizon Thicknesses'!$J32:$J34)*1000</f>
        <v>0.004576443632180075</v>
      </c>
      <c r="AE105" s="78"/>
      <c r="AF105" s="96">
        <f>AF81/SUM('Horizon Thicknesses'!$J32:$J34)*1000</f>
        <v>0.11838503578447136</v>
      </c>
      <c r="AG105" s="96">
        <f>AG81/SUM('Horizon Thicknesses'!$J32:$J34)*1000</f>
        <v>0.0335403636600631</v>
      </c>
      <c r="AH105" s="135"/>
      <c r="AI105" s="96">
        <f>AI81/SUM('Horizon Thicknesses'!$J32:$J34)*1000</f>
        <v>0.018491554476001794</v>
      </c>
      <c r="AJ105" s="96">
        <f>AJ81/SUM('Horizon Thicknesses'!$J32:$J34)*1000</f>
        <v>0.005300019085522403</v>
      </c>
      <c r="AK105" s="135"/>
      <c r="AL105" s="96">
        <f>AL81/SUM('Horizon Thicknesses'!$J32:$J34)*1000</f>
        <v>0.11838503578447136</v>
      </c>
      <c r="AM105" s="96">
        <f>AM81/SUM('Horizon Thicknesses'!$J32:$J34)*1000</f>
        <v>0.0335403636600631</v>
      </c>
      <c r="AN105" s="135"/>
      <c r="AO105" s="157">
        <f>AO81/SUM('Horizon Thicknesses'!$J32:$J34)*1000</f>
        <v>0.00029930378539567564</v>
      </c>
      <c r="AP105" s="157">
        <f>AP81/SUM('Horizon Thicknesses'!$J32:$J34)*1000</f>
        <v>8.602994258470147E-05</v>
      </c>
      <c r="AQ105" s="135"/>
      <c r="AR105" s="96">
        <f>AR81/SUM('Horizon Thicknesses'!$J32:$J34)*1000</f>
        <v>0.20236878132668518</v>
      </c>
      <c r="AS105" s="79">
        <f>AS81/SUM('Horizon Thicknesses'!$J32:$J34)*1000</f>
        <v>0.05740821493896373</v>
      </c>
    </row>
    <row r="106" spans="3:45" ht="12.75">
      <c r="C106" s="105" t="s">
        <v>17</v>
      </c>
      <c r="D106" s="89" t="s">
        <v>137</v>
      </c>
      <c r="H106" s="96">
        <f>H82/SUM('Horizon Thicknesses'!$J38:$J40)*1000</f>
        <v>5.209749278675639</v>
      </c>
      <c r="I106" s="96">
        <f>I82/SUM('Horizon Thicknesses'!$J38:$J40)*1000</f>
        <v>1.4744148539067417</v>
      </c>
      <c r="J106" s="78"/>
      <c r="K106" s="96">
        <f>K82/SUM('Horizon Thicknesses'!$J38:$J40)*1000</f>
        <v>0.010452625918459656</v>
      </c>
      <c r="L106" s="96">
        <f>L82/SUM('Horizon Thicknesses'!$J38:$J40)*1000</f>
        <v>0.0029911506188183543</v>
      </c>
      <c r="M106" s="78"/>
      <c r="N106" s="96">
        <f>N82/SUM('Horizon Thicknesses'!$J38:$J40)*1000</f>
        <v>0.0353337420910828</v>
      </c>
      <c r="O106" s="96">
        <f>O82/SUM('Horizon Thicknesses'!$J38:$J40)*1000</f>
        <v>0.01000324897053181</v>
      </c>
      <c r="P106" s="78"/>
      <c r="Q106" s="96">
        <f>Q82/SUM('Horizon Thicknesses'!$J38:$J40)*1000</f>
        <v>14.185497840687466</v>
      </c>
      <c r="R106" s="96">
        <f>R82/SUM('Horizon Thicknesses'!$J38:$J40)*1000</f>
        <v>4.043624715870522</v>
      </c>
      <c r="S106" s="78"/>
      <c r="T106" s="96">
        <f>T82/SUM('Horizon Thicknesses'!$J38:$J40)*1000</f>
        <v>0.47056824676618</v>
      </c>
      <c r="U106" s="96">
        <f>U82/SUM('Horizon Thicknesses'!$J38:$J40)*1000</f>
        <v>0.13294258822712732</v>
      </c>
      <c r="V106" s="78"/>
      <c r="W106" s="96">
        <f>W82/SUM('Horizon Thicknesses'!$J38:$J40)*1000</f>
        <v>1.3628133691651556</v>
      </c>
      <c r="X106" s="96">
        <f>X82/SUM('Horizon Thicknesses'!$J38:$J40)*1000</f>
        <v>0.38406300810202215</v>
      </c>
      <c r="Y106" s="78"/>
      <c r="Z106" s="96">
        <f>Z82/SUM('Horizon Thicknesses'!$J38:$J40)*1000</f>
        <v>0.0092132076807447</v>
      </c>
      <c r="AA106" s="96">
        <f>AA82/SUM('Horizon Thicknesses'!$J38:$J40)*1000</f>
        <v>0.002632088022833613</v>
      </c>
      <c r="AB106" s="78"/>
      <c r="AC106" s="96">
        <f>AC82/SUM('Horizon Thicknesses'!$J38:$J40)*1000</f>
        <v>0.013410806304564177</v>
      </c>
      <c r="AD106" s="96">
        <f>AD82/SUM('Horizon Thicknesses'!$J38:$J40)*1000</f>
        <v>0.0038842426729594425</v>
      </c>
      <c r="AE106" s="78"/>
      <c r="AF106" s="96">
        <f>AF82/SUM('Horizon Thicknesses'!$J38:$J40)*1000</f>
        <v>0.09049265043839831</v>
      </c>
      <c r="AG106" s="96">
        <f>AG82/SUM('Horizon Thicknesses'!$J38:$J40)*1000</f>
        <v>0.025728062180541012</v>
      </c>
      <c r="AH106" s="135"/>
      <c r="AI106" s="96">
        <f>AI82/SUM('Horizon Thicknesses'!$J38:$J40)*1000</f>
        <v>0.013719754462358158</v>
      </c>
      <c r="AJ106" s="96">
        <f>AJ82/SUM('Horizon Thicknesses'!$J38:$J40)*1000</f>
        <v>0.0039709055783788555</v>
      </c>
      <c r="AK106" s="135"/>
      <c r="AL106" s="96">
        <f>AL82/SUM('Horizon Thicknesses'!$J38:$J40)*1000</f>
        <v>0.09049265043839831</v>
      </c>
      <c r="AM106" s="96">
        <f>AM82/SUM('Horizon Thicknesses'!$J38:$J40)*1000</f>
        <v>0.025728062180541012</v>
      </c>
      <c r="AN106" s="135"/>
      <c r="AO106" s="157">
        <f>AO82/SUM('Horizon Thicknesses'!$J38:$J40)*1000</f>
        <v>0.0007697211093752612</v>
      </c>
      <c r="AP106" s="157">
        <f>AP82/SUM('Horizon Thicknesses'!$J38:$J40)*1000</f>
        <v>0.0002177235417498593</v>
      </c>
      <c r="AQ106" s="135"/>
      <c r="AR106" s="96">
        <f>AR82/SUM('Horizon Thicknesses'!$J38:$J40)*1000</f>
        <v>0.25397859083633095</v>
      </c>
      <c r="AS106" s="79">
        <f>AS82/SUM('Horizon Thicknesses'!$J38:$J40)*1000</f>
        <v>0.07256137077866222</v>
      </c>
    </row>
    <row r="107" spans="3:45" ht="12.75">
      <c r="C107" s="105" t="s">
        <v>22</v>
      </c>
      <c r="D107" s="89" t="s">
        <v>137</v>
      </c>
      <c r="H107" s="96">
        <f>H83/SUM('Horizon Thicknesses'!$J44:$J45)*1000</f>
        <v>2.2808611611331298</v>
      </c>
      <c r="I107" s="96">
        <f>I83/SUM('Horizon Thicknesses'!$J44:$J45)*1000</f>
        <v>0.7096173026770008</v>
      </c>
      <c r="J107" s="78"/>
      <c r="K107" s="96">
        <f>K83/SUM('Horizon Thicknesses'!$J44:$J45)*1000</f>
        <v>0.004540741969654425</v>
      </c>
      <c r="L107" s="96">
        <f>L83/SUM('Horizon Thicknesses'!$J44:$J45)*1000</f>
        <v>0.001336420450735882</v>
      </c>
      <c r="M107" s="78"/>
      <c r="N107" s="96">
        <f>N83/SUM('Horizon Thicknesses'!$J44:$J45)*1000</f>
        <v>0.04161583358998395</v>
      </c>
      <c r="O107" s="96">
        <f>O83/SUM('Horizon Thicknesses'!$J44:$J45)*1000</f>
        <v>0.012083610844254878</v>
      </c>
      <c r="P107" s="78"/>
      <c r="Q107" s="96">
        <f>Q83/SUM('Horizon Thicknesses'!$J44:$J45)*1000</f>
        <v>7.065643719871475</v>
      </c>
      <c r="R107" s="96">
        <f>R83/SUM('Horizon Thicknesses'!$J44:$J45)*1000</f>
        <v>2.2053940450175724</v>
      </c>
      <c r="S107" s="78"/>
      <c r="T107" s="96">
        <f>T83/SUM('Horizon Thicknesses'!$J44:$J45)*1000</f>
        <v>0.2870941710599048</v>
      </c>
      <c r="U107" s="96">
        <f>U83/SUM('Horizon Thicknesses'!$J44:$J45)*1000</f>
        <v>0.08391650842071255</v>
      </c>
      <c r="V107" s="78"/>
      <c r="W107" s="96">
        <f>W83/SUM('Horizon Thicknesses'!$J44:$J45)*1000</f>
        <v>0.39632183459424236</v>
      </c>
      <c r="X107" s="96">
        <f>X83/SUM('Horizon Thicknesses'!$J44:$J45)*1000</f>
        <v>0.11754719135780548</v>
      </c>
      <c r="Y107" s="78"/>
      <c r="Z107" s="96">
        <f>Z83/SUM('Horizon Thicknesses'!$J44:$J45)*1000</f>
        <v>0.11561948891793489</v>
      </c>
      <c r="AA107" s="96">
        <f>AA83/SUM('Horizon Thicknesses'!$J44:$J45)*1000</f>
        <v>0.03424596415026394</v>
      </c>
      <c r="AB107" s="78"/>
      <c r="AC107" s="96">
        <f>AC83/SUM('Horizon Thicknesses'!$J44:$J45)*1000</f>
        <v>0.012264965398103969</v>
      </c>
      <c r="AD107" s="96">
        <f>AD83/SUM('Horizon Thicknesses'!$J44:$J45)*1000</f>
        <v>0.0036193348521582486</v>
      </c>
      <c r="AE107" s="78"/>
      <c r="AF107" s="96">
        <f>AF83/SUM('Horizon Thicknesses'!$J44:$J45)*1000</f>
        <v>0.10338014176968166</v>
      </c>
      <c r="AG107" s="96">
        <f>AG83/SUM('Horizon Thicknesses'!$J44:$J45)*1000</f>
        <v>0.030432210490079825</v>
      </c>
      <c r="AH107" s="135"/>
      <c r="AI107" s="96">
        <f>AI83/SUM('Horizon Thicknesses'!$J44:$J45)*1000</f>
        <v>0.017016730172014338</v>
      </c>
      <c r="AJ107" s="96">
        <f>AJ83/SUM('Horizon Thicknesses'!$J44:$J45)*1000</f>
        <v>0.005053784558620915</v>
      </c>
      <c r="AK107" s="135"/>
      <c r="AL107" s="96">
        <f>AL83/SUM('Horizon Thicknesses'!$J44:$J45)*1000</f>
        <v>0.10338014176968166</v>
      </c>
      <c r="AM107" s="96">
        <f>AM83/SUM('Horizon Thicknesses'!$J44:$J45)*1000</f>
        <v>0.030432210490079825</v>
      </c>
      <c r="AN107" s="135"/>
      <c r="AO107" s="157">
        <f>AO83/SUM('Horizon Thicknesses'!$J44:$J45)*1000</f>
        <v>0.00010755436315310066</v>
      </c>
      <c r="AP107" s="157">
        <f>AP83/SUM('Horizon Thicknesses'!$J44:$J45)*1000</f>
        <v>3.194505414286824E-05</v>
      </c>
      <c r="AQ107" s="135"/>
      <c r="AR107" s="96">
        <f>AR83/SUM('Horizon Thicknesses'!$J44:$J45)*1000</f>
        <v>0.17709327110144957</v>
      </c>
      <c r="AS107" s="79">
        <f>AS83/SUM('Horizon Thicknesses'!$J44:$J45)*1000</f>
        <v>0.053242812888572466</v>
      </c>
    </row>
    <row r="108" spans="3:45" ht="12.75">
      <c r="C108" s="105"/>
      <c r="H108" s="96"/>
      <c r="I108" s="96"/>
      <c r="J108" s="78"/>
      <c r="K108" s="96"/>
      <c r="L108" s="96"/>
      <c r="M108" s="78"/>
      <c r="N108" s="96"/>
      <c r="O108" s="96"/>
      <c r="P108" s="78"/>
      <c r="Q108" s="96"/>
      <c r="R108" s="96"/>
      <c r="S108" s="78"/>
      <c r="T108" s="96"/>
      <c r="U108" s="96"/>
      <c r="V108" s="78"/>
      <c r="W108" s="96"/>
      <c r="X108" s="96"/>
      <c r="Y108" s="78"/>
      <c r="Z108" s="120"/>
      <c r="AA108" s="120"/>
      <c r="AB108" s="78"/>
      <c r="AC108" s="96"/>
      <c r="AD108" s="96"/>
      <c r="AE108" s="78"/>
      <c r="AF108" s="123"/>
      <c r="AG108" s="123"/>
      <c r="AH108" s="135"/>
      <c r="AI108" s="123"/>
      <c r="AJ108" s="123"/>
      <c r="AK108" s="135"/>
      <c r="AL108" s="123"/>
      <c r="AM108" s="123"/>
      <c r="AN108" s="135"/>
      <c r="AO108" s="123"/>
      <c r="AP108" s="123"/>
      <c r="AQ108" s="135"/>
      <c r="AR108" s="123"/>
      <c r="AS108" s="124"/>
    </row>
    <row r="109" spans="3:45" ht="13.5" thickBot="1">
      <c r="C109" s="105"/>
      <c r="H109" s="96"/>
      <c r="I109" s="96"/>
      <c r="J109" s="78"/>
      <c r="K109" s="96"/>
      <c r="L109" s="96"/>
      <c r="M109" s="78"/>
      <c r="N109" s="96"/>
      <c r="O109" s="96"/>
      <c r="P109" s="78"/>
      <c r="Q109" s="96"/>
      <c r="R109" s="96"/>
      <c r="S109" s="78"/>
      <c r="T109" s="96"/>
      <c r="U109" s="96"/>
      <c r="V109" s="78"/>
      <c r="W109" s="96"/>
      <c r="X109" s="96"/>
      <c r="Y109" s="78"/>
      <c r="Z109" s="120"/>
      <c r="AA109" s="120"/>
      <c r="AB109" s="78"/>
      <c r="AC109" s="96"/>
      <c r="AD109" s="96"/>
      <c r="AE109" s="78"/>
      <c r="AF109" s="123"/>
      <c r="AG109" s="123"/>
      <c r="AH109" s="135"/>
      <c r="AI109" s="123"/>
      <c r="AJ109" s="123"/>
      <c r="AK109" s="135"/>
      <c r="AL109" s="123"/>
      <c r="AM109" s="123"/>
      <c r="AN109" s="135"/>
      <c r="AO109" s="123"/>
      <c r="AP109" s="123"/>
      <c r="AQ109" s="135"/>
      <c r="AR109" s="123"/>
      <c r="AS109" s="124"/>
    </row>
    <row r="110" spans="3:45" s="209" customFormat="1" ht="13.5" thickTop="1">
      <c r="C110" s="210"/>
      <c r="G110" s="211"/>
      <c r="H110" s="212" t="s">
        <v>260</v>
      </c>
      <c r="I110" s="213"/>
      <c r="J110" s="214"/>
      <c r="K110" s="213"/>
      <c r="L110" s="213"/>
      <c r="M110" s="214"/>
      <c r="N110" s="213"/>
      <c r="O110" s="213"/>
      <c r="P110" s="214"/>
      <c r="Q110" s="213"/>
      <c r="R110" s="213"/>
      <c r="S110" s="214"/>
      <c r="T110" s="213"/>
      <c r="U110" s="213"/>
      <c r="V110" s="214"/>
      <c r="W110" s="213"/>
      <c r="X110" s="213"/>
      <c r="Y110" s="214"/>
      <c r="Z110" s="215"/>
      <c r="AA110" s="215"/>
      <c r="AB110" s="214"/>
      <c r="AC110" s="213"/>
      <c r="AD110" s="213"/>
      <c r="AE110" s="214"/>
      <c r="AF110" s="213"/>
      <c r="AG110" s="213"/>
      <c r="AH110" s="214"/>
      <c r="AI110" s="213"/>
      <c r="AJ110" s="213"/>
      <c r="AK110" s="214"/>
      <c r="AL110" s="213"/>
      <c r="AM110" s="213"/>
      <c r="AN110" s="214"/>
      <c r="AO110" s="213"/>
      <c r="AP110" s="213"/>
      <c r="AQ110" s="214"/>
      <c r="AR110" s="213"/>
      <c r="AS110" s="216"/>
    </row>
    <row r="111" spans="8:45" ht="12.75">
      <c r="H111" s="89" t="s">
        <v>75</v>
      </c>
      <c r="I111" s="76" t="s">
        <v>194</v>
      </c>
      <c r="K111" s="89" t="s">
        <v>76</v>
      </c>
      <c r="L111" s="76" t="s">
        <v>195</v>
      </c>
      <c r="N111" s="89" t="s">
        <v>77</v>
      </c>
      <c r="O111" s="76" t="s">
        <v>196</v>
      </c>
      <c r="Q111" s="89" t="s">
        <v>78</v>
      </c>
      <c r="R111" s="76" t="s">
        <v>197</v>
      </c>
      <c r="T111" s="89" t="s">
        <v>79</v>
      </c>
      <c r="U111" s="76" t="s">
        <v>198</v>
      </c>
      <c r="W111" s="89" t="s">
        <v>80</v>
      </c>
      <c r="X111" s="76" t="s">
        <v>199</v>
      </c>
      <c r="Z111" s="89" t="s">
        <v>81</v>
      </c>
      <c r="AA111" s="76" t="s">
        <v>200</v>
      </c>
      <c r="AC111" s="89" t="s">
        <v>82</v>
      </c>
      <c r="AD111" s="76" t="s">
        <v>201</v>
      </c>
      <c r="AF111" s="89" t="s">
        <v>83</v>
      </c>
      <c r="AG111" s="76" t="s">
        <v>202</v>
      </c>
      <c r="AI111" s="89" t="s">
        <v>84</v>
      </c>
      <c r="AJ111" s="76" t="s">
        <v>203</v>
      </c>
      <c r="AL111" s="89" t="s">
        <v>85</v>
      </c>
      <c r="AM111" s="76" t="s">
        <v>204</v>
      </c>
      <c r="AO111" s="89" t="s">
        <v>86</v>
      </c>
      <c r="AP111" s="89" t="s">
        <v>205</v>
      </c>
      <c r="AR111" s="89" t="s">
        <v>87</v>
      </c>
      <c r="AS111" s="76" t="s">
        <v>206</v>
      </c>
    </row>
    <row r="112" spans="3:45" ht="12.75">
      <c r="C112" s="105">
        <v>101</v>
      </c>
      <c r="D112" s="89" t="s">
        <v>137</v>
      </c>
      <c r="H112" s="127">
        <f aca="true" t="shared" si="13" ref="H112:H119">AVERAGE(H76,H52)</f>
        <v>5674.550808988684</v>
      </c>
      <c r="I112" s="88">
        <f aca="true" t="shared" si="14" ref="I112:I119">I76*2+0.5*(H76-H52)</f>
        <v>3338.911585431658</v>
      </c>
      <c r="J112" s="78"/>
      <c r="K112" s="94">
        <f aca="true" t="shared" si="15" ref="K112:K119">AVERAGE(K76,K52)</f>
        <v>12.62372294799732</v>
      </c>
      <c r="L112" s="86">
        <f aca="true" t="shared" si="16" ref="L112:L119">L76*2+0.5*(K76-K52)</f>
        <v>7.427811684333054</v>
      </c>
      <c r="M112" s="78"/>
      <c r="N112" s="94">
        <f aca="true" t="shared" si="17" ref="N112:N119">AVERAGE(N76,N52)</f>
        <v>56.16073850044026</v>
      </c>
      <c r="O112" s="86">
        <f aca="true" t="shared" si="18" ref="O112:O119">O76*2+0.5*(N76-N52)</f>
        <v>33.0450368209738</v>
      </c>
      <c r="P112" s="78"/>
      <c r="Q112" s="127">
        <f aca="true" t="shared" si="19" ref="Q112:Q119">AVERAGE(Q76,Q52)</f>
        <v>8848.967266781989</v>
      </c>
      <c r="R112" s="88">
        <f aca="true" t="shared" si="20" ref="R112:R119">R76*2+0.5*(Q76-Q52)</f>
        <v>5206.741523815795</v>
      </c>
      <c r="S112" s="78"/>
      <c r="T112" s="94">
        <f aca="true" t="shared" si="21" ref="T112:T119">AVERAGE(T76,T52)</f>
        <v>713.0707225137795</v>
      </c>
      <c r="U112" s="86">
        <f aca="true" t="shared" si="22" ref="U112:U119">U76*2+0.5*(T76-T52)</f>
        <v>419.57155319888665</v>
      </c>
      <c r="V112" s="78"/>
      <c r="W112" s="94">
        <f aca="true" t="shared" si="23" ref="W112:W119">AVERAGE(W76,W52)</f>
        <v>1600.4983358994625</v>
      </c>
      <c r="X112" s="86">
        <f aca="true" t="shared" si="24" ref="X112:X119">X76*2+0.5*(W76-W52)</f>
        <v>941.7348819458708</v>
      </c>
      <c r="Y112" s="78"/>
      <c r="Z112" s="94">
        <f aca="true" t="shared" si="25" ref="Z112:Z119">AVERAGE(Z76,Z52)</f>
        <v>53.916640188274</v>
      </c>
      <c r="AA112" s="86">
        <f aca="true" t="shared" si="26" ref="AA112:AA119">AA76*2+0.5*(Z76-Z52)</f>
        <v>31.724607045022083</v>
      </c>
      <c r="AB112" s="78"/>
      <c r="AC112" s="94">
        <f aca="true" t="shared" si="27" ref="AC112:AC119">AVERAGE(AC76,AC52)</f>
        <v>15.6798487347779</v>
      </c>
      <c r="AD112" s="86">
        <f aca="true" t="shared" si="28" ref="AD112:AD119">AD76*2+0.5*(AC76-AC52)</f>
        <v>9.22603926912345</v>
      </c>
      <c r="AE112" s="78"/>
      <c r="AF112" s="94">
        <f aca="true" t="shared" si="29" ref="AF112:AF119">AVERAGE(AF76,AF52)</f>
        <v>95.00169028199015</v>
      </c>
      <c r="AG112" s="86">
        <f aca="true" t="shared" si="30" ref="AG112:AG119">AG76*2+0.5*(AF76-AF52)</f>
        <v>55.89909316093667</v>
      </c>
      <c r="AH112" s="135"/>
      <c r="AI112" s="94">
        <f aca="true" t="shared" si="31" ref="AI112:AI119">AVERAGE(AI76,AI52)</f>
        <v>12.183497582150386</v>
      </c>
      <c r="AJ112" s="86">
        <f aca="true" t="shared" si="32" ref="AJ112:AJ119">AJ76*2+0.5*(AI76-AI52)</f>
        <v>7.168782622173827</v>
      </c>
      <c r="AK112" s="135"/>
      <c r="AL112" s="94">
        <f aca="true" t="shared" si="33" ref="AL112:AL119">AVERAGE(AL76,AL52)</f>
        <v>95.00169028199015</v>
      </c>
      <c r="AM112" s="86">
        <f aca="true" t="shared" si="34" ref="AM112:AM119">AM76*2+0.5*(AL76-AL52)</f>
        <v>55.89909316093667</v>
      </c>
      <c r="AN112" s="135"/>
      <c r="AO112" s="94">
        <f aca="true" t="shared" si="35" ref="AO112:AO119">AVERAGE(AO76,AO52)</f>
        <v>0.29736466201374495</v>
      </c>
      <c r="AP112" s="86">
        <f aca="true" t="shared" si="36" ref="AP112:AP119">AP76*2+0.5*(AO76-AO52)</f>
        <v>0.17496967575352662</v>
      </c>
      <c r="AQ112" s="135"/>
      <c r="AR112" s="94">
        <f aca="true" t="shared" si="37" ref="AR112:AR119">AVERAGE(AR76,AR52)</f>
        <v>308.4656457053216</v>
      </c>
      <c r="AS112" s="86">
        <f aca="true" t="shared" si="38" ref="AS112:AS119">AS76*2+0.5*(AR76-AR52)</f>
        <v>181.5015060789826</v>
      </c>
    </row>
    <row r="113" spans="3:45" ht="12.75">
      <c r="C113" s="105" t="s">
        <v>19</v>
      </c>
      <c r="D113" s="89" t="s">
        <v>137</v>
      </c>
      <c r="H113" s="127">
        <f t="shared" si="13"/>
        <v>1764.6896666250636</v>
      </c>
      <c r="I113" s="88">
        <f t="shared" si="14"/>
        <v>998.4429232657614</v>
      </c>
      <c r="J113" s="78"/>
      <c r="K113" s="94">
        <f t="shared" si="15"/>
        <v>1.0132277811498918</v>
      </c>
      <c r="L113" s="86">
        <f t="shared" si="16"/>
        <v>2.19371613169626</v>
      </c>
      <c r="M113" s="78"/>
      <c r="N113" s="94">
        <f t="shared" si="17"/>
        <v>14.452799385334636</v>
      </c>
      <c r="O113" s="86">
        <f t="shared" si="18"/>
        <v>8.282423033312504</v>
      </c>
      <c r="P113" s="78"/>
      <c r="Q113" s="127">
        <f t="shared" si="19"/>
        <v>3847.1723039826024</v>
      </c>
      <c r="R113" s="88">
        <f t="shared" si="20"/>
        <v>2182.076194083337</v>
      </c>
      <c r="S113" s="78"/>
      <c r="T113" s="94">
        <f t="shared" si="21"/>
        <v>69.88698358897989</v>
      </c>
      <c r="U113" s="86">
        <f t="shared" si="22"/>
        <v>39.927807949501954</v>
      </c>
      <c r="V113" s="78"/>
      <c r="W113" s="94">
        <f t="shared" si="23"/>
        <v>99.67137708656594</v>
      </c>
      <c r="X113" s="86">
        <f t="shared" si="24"/>
        <v>56.28764015316526</v>
      </c>
      <c r="Y113" s="78"/>
      <c r="Z113" s="94">
        <f t="shared" si="25"/>
        <v>15.819487891091974</v>
      </c>
      <c r="AA113" s="86">
        <f t="shared" si="26"/>
        <v>8.961646290316791</v>
      </c>
      <c r="AB113" s="78"/>
      <c r="AC113" s="94">
        <f t="shared" si="27"/>
        <v>7.30436488484397</v>
      </c>
      <c r="AD113" s="86">
        <f t="shared" si="28"/>
        <v>4.3033272836556264</v>
      </c>
      <c r="AE113" s="78"/>
      <c r="AF113" s="94">
        <f t="shared" si="29"/>
        <v>37.678525576222086</v>
      </c>
      <c r="AG113" s="86">
        <f t="shared" si="30"/>
        <v>21.542207533251094</v>
      </c>
      <c r="AH113" s="135"/>
      <c r="AI113" s="94">
        <f t="shared" si="31"/>
        <v>6.68420521198611</v>
      </c>
      <c r="AJ113" s="86">
        <f t="shared" si="32"/>
        <v>3.864753729392435</v>
      </c>
      <c r="AK113" s="135"/>
      <c r="AL113" s="94">
        <f t="shared" si="33"/>
        <v>37.678525576222086</v>
      </c>
      <c r="AM113" s="86">
        <f t="shared" si="34"/>
        <v>21.542207533251094</v>
      </c>
      <c r="AN113" s="135"/>
      <c r="AO113" s="94">
        <f t="shared" si="35"/>
        <v>0.02108682600713429</v>
      </c>
      <c r="AP113" s="86">
        <f t="shared" si="36"/>
        <v>0.035453359771310554</v>
      </c>
      <c r="AQ113" s="135"/>
      <c r="AR113" s="94">
        <f t="shared" si="37"/>
        <v>47.543362992609474</v>
      </c>
      <c r="AS113" s="86">
        <f t="shared" si="38"/>
        <v>26.918284787559717</v>
      </c>
    </row>
    <row r="114" spans="3:45" ht="12.75">
      <c r="C114" s="105" t="s">
        <v>5</v>
      </c>
      <c r="D114" s="89" t="s">
        <v>137</v>
      </c>
      <c r="H114" s="127">
        <f t="shared" si="13"/>
        <v>1349.3214229930034</v>
      </c>
      <c r="I114" s="88">
        <f t="shared" si="14"/>
        <v>781.291384999778</v>
      </c>
      <c r="J114" s="78"/>
      <c r="K114" s="94">
        <f t="shared" si="15"/>
        <v>0.819830035846122</v>
      </c>
      <c r="L114" s="86">
        <f t="shared" si="16"/>
        <v>1.782511216924167</v>
      </c>
      <c r="M114" s="78"/>
      <c r="N114" s="94">
        <f t="shared" si="17"/>
        <v>6.996456074220378</v>
      </c>
      <c r="O114" s="86">
        <f t="shared" si="18"/>
        <v>4.062235014074926</v>
      </c>
      <c r="P114" s="78"/>
      <c r="Q114" s="127">
        <f t="shared" si="19"/>
        <v>524.8063001759566</v>
      </c>
      <c r="R114" s="88">
        <f t="shared" si="20"/>
        <v>308.2472776552348</v>
      </c>
      <c r="S114" s="78"/>
      <c r="T114" s="94">
        <f t="shared" si="21"/>
        <v>62.514668900289195</v>
      </c>
      <c r="U114" s="86">
        <f t="shared" si="22"/>
        <v>36.331286058384165</v>
      </c>
      <c r="V114" s="78"/>
      <c r="W114" s="94">
        <f t="shared" si="23"/>
        <v>60.76057600728088</v>
      </c>
      <c r="X114" s="86">
        <f t="shared" si="24"/>
        <v>35.14014517846198</v>
      </c>
      <c r="Y114" s="78"/>
      <c r="Z114" s="94">
        <f t="shared" si="25"/>
        <v>14.647179568976528</v>
      </c>
      <c r="AA114" s="86">
        <f t="shared" si="26"/>
        <v>8.492924463629912</v>
      </c>
      <c r="AB114" s="78"/>
      <c r="AC114" s="94">
        <f t="shared" si="27"/>
        <v>4.921425672162409</v>
      </c>
      <c r="AD114" s="86">
        <f t="shared" si="28"/>
        <v>2.901365897591183</v>
      </c>
      <c r="AE114" s="78"/>
      <c r="AF114" s="94">
        <f t="shared" si="29"/>
        <v>35.99104601982845</v>
      </c>
      <c r="AG114" s="86">
        <f t="shared" si="30"/>
        <v>20.92893951934897</v>
      </c>
      <c r="AH114" s="135"/>
      <c r="AI114" s="94">
        <f t="shared" si="31"/>
        <v>5.620866469290689</v>
      </c>
      <c r="AJ114" s="86">
        <f t="shared" si="32"/>
        <v>3.290332018171974</v>
      </c>
      <c r="AK114" s="135"/>
      <c r="AL114" s="94">
        <f t="shared" si="33"/>
        <v>35.99104601982845</v>
      </c>
      <c r="AM114" s="86">
        <f t="shared" si="34"/>
        <v>20.92893951934897</v>
      </c>
      <c r="AN114" s="135"/>
      <c r="AO114" s="94">
        <f t="shared" si="35"/>
        <v>0.013663833930768707</v>
      </c>
      <c r="AP114" s="86">
        <f t="shared" si="36"/>
        <v>0.029708520282069467</v>
      </c>
      <c r="AQ114" s="135"/>
      <c r="AR114" s="94">
        <f t="shared" si="37"/>
        <v>37.159564815816836</v>
      </c>
      <c r="AS114" s="86">
        <f t="shared" si="38"/>
        <v>21.528682555901558</v>
      </c>
    </row>
    <row r="115" spans="3:45" ht="12.75">
      <c r="C115" s="105" t="s">
        <v>21</v>
      </c>
      <c r="D115" s="89" t="s">
        <v>137</v>
      </c>
      <c r="H115" s="127">
        <f t="shared" si="13"/>
        <v>1908.835609674193</v>
      </c>
      <c r="I115" s="88">
        <f t="shared" si="14"/>
        <v>1100.472569539262</v>
      </c>
      <c r="J115" s="78"/>
      <c r="K115" s="94">
        <f t="shared" si="15"/>
        <v>2.59431567784136</v>
      </c>
      <c r="L115" s="86">
        <f t="shared" si="16"/>
        <v>1.5661312736213806</v>
      </c>
      <c r="M115" s="78"/>
      <c r="N115" s="94">
        <f t="shared" si="17"/>
        <v>15.060971554512403</v>
      </c>
      <c r="O115" s="86">
        <f t="shared" si="18"/>
        <v>8.638121574240065</v>
      </c>
      <c r="P115" s="78"/>
      <c r="Q115" s="127">
        <f t="shared" si="19"/>
        <v>3742.423393164908</v>
      </c>
      <c r="R115" s="88">
        <f t="shared" si="20"/>
        <v>2163.034954084581</v>
      </c>
      <c r="S115" s="78"/>
      <c r="T115" s="94">
        <f t="shared" si="21"/>
        <v>150.39192178342296</v>
      </c>
      <c r="U115" s="86">
        <f t="shared" si="22"/>
        <v>86.1920024045364</v>
      </c>
      <c r="V115" s="78"/>
      <c r="W115" s="94">
        <f t="shared" si="23"/>
        <v>256.08190683258505</v>
      </c>
      <c r="X115" s="86">
        <f t="shared" si="24"/>
        <v>146.62618757165103</v>
      </c>
      <c r="Y115" s="78"/>
      <c r="Z115" s="94">
        <f t="shared" si="25"/>
        <v>30.16631500248674</v>
      </c>
      <c r="AA115" s="86">
        <f t="shared" si="26"/>
        <v>17.309090812240385</v>
      </c>
      <c r="AB115" s="78"/>
      <c r="AC115" s="94">
        <f t="shared" si="27"/>
        <v>10.40905497956318</v>
      </c>
      <c r="AD115" s="86">
        <f t="shared" si="28"/>
        <v>6.01883439908957</v>
      </c>
      <c r="AE115" s="78"/>
      <c r="AF115" s="94">
        <f t="shared" si="29"/>
        <v>39.88234791943822</v>
      </c>
      <c r="AG115" s="86">
        <f t="shared" si="30"/>
        <v>22.98793294806305</v>
      </c>
      <c r="AH115" s="135"/>
      <c r="AI115" s="94">
        <f t="shared" si="31"/>
        <v>10.502597463702804</v>
      </c>
      <c r="AJ115" s="86">
        <f t="shared" si="32"/>
        <v>6.063506146226629</v>
      </c>
      <c r="AK115" s="135"/>
      <c r="AL115" s="94">
        <f t="shared" si="33"/>
        <v>39.88234791943822</v>
      </c>
      <c r="AM115" s="86">
        <f t="shared" si="34"/>
        <v>22.98793294806305</v>
      </c>
      <c r="AN115" s="135"/>
      <c r="AO115" s="94">
        <f t="shared" si="35"/>
        <v>0.10777869660512984</v>
      </c>
      <c r="AP115" s="86">
        <f t="shared" si="36"/>
        <v>0.06288344848582983</v>
      </c>
      <c r="AQ115" s="135"/>
      <c r="AR115" s="94">
        <f t="shared" si="37"/>
        <v>80.44609394622387</v>
      </c>
      <c r="AS115" s="86">
        <f t="shared" si="38"/>
        <v>46.16505305540547</v>
      </c>
    </row>
    <row r="116" spans="3:45" ht="12.75">
      <c r="C116" s="105" t="s">
        <v>12</v>
      </c>
      <c r="D116" s="89" t="s">
        <v>137</v>
      </c>
      <c r="H116" s="127">
        <f t="shared" si="13"/>
        <v>1084.8875047304737</v>
      </c>
      <c r="I116" s="88">
        <f t="shared" si="14"/>
        <v>621.4602456677258</v>
      </c>
      <c r="J116" s="78"/>
      <c r="K116" s="94">
        <f t="shared" si="15"/>
        <v>1.1651831524599965</v>
      </c>
      <c r="L116" s="86">
        <f t="shared" si="16"/>
        <v>2.5168057075886185</v>
      </c>
      <c r="M116" s="78"/>
      <c r="N116" s="94">
        <f t="shared" si="17"/>
        <v>15.01815178216121</v>
      </c>
      <c r="O116" s="86">
        <f t="shared" si="18"/>
        <v>8.545172789186214</v>
      </c>
      <c r="P116" s="78"/>
      <c r="Q116" s="127">
        <f t="shared" si="19"/>
        <v>2866.0549223456455</v>
      </c>
      <c r="R116" s="88">
        <f t="shared" si="20"/>
        <v>1658.4342078047289</v>
      </c>
      <c r="S116" s="78"/>
      <c r="T116" s="94">
        <f t="shared" si="21"/>
        <v>98.5691767503443</v>
      </c>
      <c r="U116" s="86">
        <f t="shared" si="22"/>
        <v>56.117421759263046</v>
      </c>
      <c r="V116" s="78"/>
      <c r="W116" s="94">
        <f t="shared" si="23"/>
        <v>145.05247288467504</v>
      </c>
      <c r="X116" s="86">
        <f t="shared" si="24"/>
        <v>81.96319176467983</v>
      </c>
      <c r="Y116" s="78"/>
      <c r="Z116" s="94">
        <f t="shared" si="25"/>
        <v>37.24110169433985</v>
      </c>
      <c r="AA116" s="86">
        <f t="shared" si="26"/>
        <v>21.086645022449687</v>
      </c>
      <c r="AB116" s="78"/>
      <c r="AC116" s="94">
        <f t="shared" si="27"/>
        <v>8.85036404098664</v>
      </c>
      <c r="AD116" s="86">
        <f t="shared" si="28"/>
        <v>5.129269310561583</v>
      </c>
      <c r="AE116" s="78"/>
      <c r="AF116" s="94">
        <f t="shared" si="29"/>
        <v>25.102409917753192</v>
      </c>
      <c r="AG116" s="86">
        <f t="shared" si="30"/>
        <v>14.6072882126278</v>
      </c>
      <c r="AH116" s="135"/>
      <c r="AI116" s="94">
        <f t="shared" si="31"/>
        <v>8.659877989641398</v>
      </c>
      <c r="AJ116" s="86">
        <f t="shared" si="32"/>
        <v>4.986642692462457</v>
      </c>
      <c r="AK116" s="135"/>
      <c r="AL116" s="94">
        <f t="shared" si="33"/>
        <v>25.102409917753192</v>
      </c>
      <c r="AM116" s="86">
        <f t="shared" si="34"/>
        <v>14.6072882126278</v>
      </c>
      <c r="AN116" s="135"/>
      <c r="AO116" s="94">
        <f t="shared" si="35"/>
        <v>0.10658665663883814</v>
      </c>
      <c r="AP116" s="86">
        <f t="shared" si="36"/>
        <v>0.06332010140382147</v>
      </c>
      <c r="AQ116" s="135"/>
      <c r="AR116" s="94">
        <f t="shared" si="37"/>
        <v>62.498797543246965</v>
      </c>
      <c r="AS116" s="86">
        <f t="shared" si="38"/>
        <v>35.99643778748399</v>
      </c>
    </row>
    <row r="117" spans="3:45" ht="12.75">
      <c r="C117" s="105" t="s">
        <v>20</v>
      </c>
      <c r="D117" s="89" t="s">
        <v>137</v>
      </c>
      <c r="H117" s="127">
        <f t="shared" si="13"/>
        <v>2264.9697872802517</v>
      </c>
      <c r="I117" s="88">
        <f t="shared" si="14"/>
        <v>1280.9927333148605</v>
      </c>
      <c r="J117" s="78"/>
      <c r="K117" s="94">
        <f t="shared" si="15"/>
        <v>4.154769723015619</v>
      </c>
      <c r="L117" s="86">
        <f t="shared" si="16"/>
        <v>2.7535344292941675</v>
      </c>
      <c r="M117" s="78"/>
      <c r="N117" s="94">
        <f t="shared" si="17"/>
        <v>7.744867928173758</v>
      </c>
      <c r="O117" s="86">
        <f t="shared" si="18"/>
        <v>4.392698157509397</v>
      </c>
      <c r="P117" s="78"/>
      <c r="Q117" s="127">
        <f t="shared" si="19"/>
        <v>8101.865874975181</v>
      </c>
      <c r="R117" s="88">
        <f t="shared" si="20"/>
        <v>4611.049122649562</v>
      </c>
      <c r="S117" s="78"/>
      <c r="T117" s="94">
        <f t="shared" si="21"/>
        <v>367.4109823658166</v>
      </c>
      <c r="U117" s="86">
        <f t="shared" si="22"/>
        <v>207.21918833058982</v>
      </c>
      <c r="V117" s="78"/>
      <c r="W117" s="94">
        <f t="shared" si="23"/>
        <v>785.3153867814354</v>
      </c>
      <c r="X117" s="86">
        <f t="shared" si="24"/>
        <v>442.56030861197144</v>
      </c>
      <c r="Y117" s="78"/>
      <c r="Z117" s="94">
        <f t="shared" si="25"/>
        <v>28.318494935381278</v>
      </c>
      <c r="AA117" s="86">
        <f t="shared" si="26"/>
        <v>16.030904657907694</v>
      </c>
      <c r="AB117" s="78"/>
      <c r="AC117" s="94">
        <f t="shared" si="27"/>
        <v>7.090915542380062</v>
      </c>
      <c r="AD117" s="86">
        <f t="shared" si="28"/>
        <v>4.060989633000369</v>
      </c>
      <c r="AE117" s="78"/>
      <c r="AF117" s="94">
        <f t="shared" si="29"/>
        <v>52.52554621699739</v>
      </c>
      <c r="AG117" s="86">
        <f t="shared" si="30"/>
        <v>29.76264542030287</v>
      </c>
      <c r="AH117" s="135"/>
      <c r="AI117" s="94">
        <f t="shared" si="31"/>
        <v>8.20440685613038</v>
      </c>
      <c r="AJ117" s="86">
        <f t="shared" si="32"/>
        <v>4.703067335881844</v>
      </c>
      <c r="AK117" s="135"/>
      <c r="AL117" s="94">
        <f t="shared" si="33"/>
        <v>52.52554621699739</v>
      </c>
      <c r="AM117" s="86">
        <f t="shared" si="34"/>
        <v>29.76264542030287</v>
      </c>
      <c r="AN117" s="135"/>
      <c r="AO117" s="94">
        <f t="shared" si="35"/>
        <v>0.13279630071949494</v>
      </c>
      <c r="AP117" s="86">
        <f t="shared" si="36"/>
        <v>0.07634021809150138</v>
      </c>
      <c r="AQ117" s="135"/>
      <c r="AR117" s="94">
        <f t="shared" si="37"/>
        <v>89.78779037414898</v>
      </c>
      <c r="AS117" s="86">
        <f t="shared" si="38"/>
        <v>50.94221287395837</v>
      </c>
    </row>
    <row r="118" spans="3:45" ht="12.75">
      <c r="C118" s="105" t="s">
        <v>17</v>
      </c>
      <c r="D118" s="89" t="s">
        <v>137</v>
      </c>
      <c r="H118" s="127">
        <f t="shared" si="13"/>
        <v>2129.0369792207016</v>
      </c>
      <c r="I118" s="88">
        <f t="shared" si="14"/>
        <v>1205.0805437138893</v>
      </c>
      <c r="J118" s="78"/>
      <c r="K118" s="94">
        <f t="shared" si="15"/>
        <v>4.128673991058468</v>
      </c>
      <c r="L118" s="86">
        <f t="shared" si="16"/>
        <v>2.5876890802604957</v>
      </c>
      <c r="M118" s="78"/>
      <c r="N118" s="94">
        <f t="shared" si="17"/>
        <v>14.43962837791026</v>
      </c>
      <c r="O118" s="86">
        <f t="shared" si="18"/>
        <v>8.175935474586824</v>
      </c>
      <c r="P118" s="78"/>
      <c r="Q118" s="127">
        <f t="shared" si="19"/>
        <v>5797.102289566703</v>
      </c>
      <c r="R118" s="88">
        <f t="shared" si="20"/>
        <v>3304.9677017730223</v>
      </c>
      <c r="S118" s="78"/>
      <c r="T118" s="94">
        <f t="shared" si="21"/>
        <v>192.30430199645417</v>
      </c>
      <c r="U118" s="86">
        <f t="shared" si="22"/>
        <v>108.65769975050151</v>
      </c>
      <c r="V118" s="78"/>
      <c r="W118" s="94">
        <f t="shared" si="23"/>
        <v>556.9327626965091</v>
      </c>
      <c r="X118" s="86">
        <f t="shared" si="24"/>
        <v>313.90545028600957</v>
      </c>
      <c r="Y118" s="78"/>
      <c r="Z118" s="94">
        <f t="shared" si="25"/>
        <v>3.7651063036438517</v>
      </c>
      <c r="AA118" s="86">
        <f t="shared" si="26"/>
        <v>2.151279239526551</v>
      </c>
      <c r="AB118" s="78"/>
      <c r="AC118" s="94">
        <f t="shared" si="27"/>
        <v>5.4805137476484145</v>
      </c>
      <c r="AD118" s="86">
        <f t="shared" si="28"/>
        <v>3.1747002954045955</v>
      </c>
      <c r="AE118" s="78"/>
      <c r="AF118" s="94">
        <f t="shared" si="29"/>
        <v>36.98108849875761</v>
      </c>
      <c r="AG118" s="86">
        <f t="shared" si="30"/>
        <v>21.028265605897225</v>
      </c>
      <c r="AH118" s="135"/>
      <c r="AI118" s="94">
        <f t="shared" si="31"/>
        <v>5.606769737605134</v>
      </c>
      <c r="AJ118" s="86">
        <f t="shared" si="32"/>
        <v>3.2455323145652333</v>
      </c>
      <c r="AK118" s="135"/>
      <c r="AL118" s="94">
        <f t="shared" si="33"/>
        <v>36.98108849875761</v>
      </c>
      <c r="AM118" s="86">
        <f t="shared" si="34"/>
        <v>21.028265605897225</v>
      </c>
      <c r="AN118" s="135"/>
      <c r="AO118" s="94">
        <f t="shared" si="35"/>
        <v>0.31455730744173177</v>
      </c>
      <c r="AP118" s="86">
        <f t="shared" si="36"/>
        <v>0.177951546931329</v>
      </c>
      <c r="AQ118" s="135"/>
      <c r="AR118" s="94">
        <f t="shared" si="37"/>
        <v>103.79190684553835</v>
      </c>
      <c r="AS118" s="86">
        <f t="shared" si="38"/>
        <v>59.30644005578243</v>
      </c>
    </row>
    <row r="119" spans="3:45" ht="13.5" thickBot="1">
      <c r="C119" s="105" t="s">
        <v>22</v>
      </c>
      <c r="D119" s="89" t="s">
        <v>137</v>
      </c>
      <c r="H119" s="127">
        <f t="shared" si="13"/>
        <v>788.3294814001214</v>
      </c>
      <c r="I119" s="88">
        <f t="shared" si="14"/>
        <v>490.52721817929284</v>
      </c>
      <c r="J119" s="78"/>
      <c r="K119" s="94">
        <f t="shared" si="15"/>
        <v>1.4780615675273827</v>
      </c>
      <c r="L119" s="86">
        <f t="shared" si="16"/>
        <v>1.0151546530542197</v>
      </c>
      <c r="M119" s="78"/>
      <c r="N119" s="94">
        <f t="shared" si="17"/>
        <v>14.383597332038972</v>
      </c>
      <c r="O119" s="86">
        <f t="shared" si="18"/>
        <v>8.35286849775625</v>
      </c>
      <c r="P119" s="78"/>
      <c r="Q119" s="127">
        <f t="shared" si="19"/>
        <v>2442.084307611738</v>
      </c>
      <c r="R119" s="88">
        <f t="shared" si="20"/>
        <v>1524.491865982667</v>
      </c>
      <c r="S119" s="78"/>
      <c r="T119" s="94">
        <f t="shared" si="21"/>
        <v>99.22778415509278</v>
      </c>
      <c r="U119" s="86">
        <f t="shared" si="22"/>
        <v>58.00778994486808</v>
      </c>
      <c r="V119" s="78"/>
      <c r="W119" s="94">
        <f t="shared" si="23"/>
        <v>136.97992304713878</v>
      </c>
      <c r="X119" s="86">
        <f t="shared" si="24"/>
        <v>81.25520130923118</v>
      </c>
      <c r="Y119" s="78"/>
      <c r="Z119" s="94">
        <f t="shared" si="25"/>
        <v>39.961332715728</v>
      </c>
      <c r="AA119" s="86">
        <f t="shared" si="26"/>
        <v>23.672728194654848</v>
      </c>
      <c r="AB119" s="78"/>
      <c r="AC119" s="94">
        <f t="shared" si="27"/>
        <v>4.239115460615879</v>
      </c>
      <c r="AD119" s="86">
        <f t="shared" si="28"/>
        <v>2.5018869325635023</v>
      </c>
      <c r="AE119" s="78"/>
      <c r="AF119" s="94">
        <f t="shared" si="29"/>
        <v>35.73107163957153</v>
      </c>
      <c r="AG119" s="86">
        <f t="shared" si="30"/>
        <v>21.03644809453062</v>
      </c>
      <c r="AH119" s="135"/>
      <c r="AI119" s="94">
        <f t="shared" si="31"/>
        <v>5.881458415892971</v>
      </c>
      <c r="AJ119" s="86">
        <f t="shared" si="32"/>
        <v>3.493458898854059</v>
      </c>
      <c r="AK119" s="135"/>
      <c r="AL119" s="94">
        <f t="shared" si="33"/>
        <v>35.73107163957153</v>
      </c>
      <c r="AM119" s="86">
        <f t="shared" si="34"/>
        <v>21.03644809453062</v>
      </c>
      <c r="AN119" s="135"/>
      <c r="AO119" s="94">
        <f t="shared" si="35"/>
        <v>0.03717379942787987</v>
      </c>
      <c r="AP119" s="86">
        <f t="shared" si="36"/>
        <v>0.022082210346582528</v>
      </c>
      <c r="AQ119" s="135"/>
      <c r="AR119" s="94">
        <f t="shared" si="37"/>
        <v>61.20839310425181</v>
      </c>
      <c r="AS119" s="86">
        <f t="shared" si="38"/>
        <v>36.80441386610305</v>
      </c>
    </row>
    <row r="120" spans="3:45" ht="13.5" thickTop="1">
      <c r="C120" s="105"/>
      <c r="D120" s="89" t="s">
        <v>207</v>
      </c>
      <c r="G120" s="200"/>
      <c r="H120" s="201">
        <f>MAX(H112:H119)</f>
        <v>5674.550808988684</v>
      </c>
      <c r="I120" s="202"/>
      <c r="J120" s="200"/>
      <c r="K120" s="201">
        <f>MAX(K112:K119)</f>
        <v>12.62372294799732</v>
      </c>
      <c r="L120" s="202"/>
      <c r="M120" s="200"/>
      <c r="N120" s="201">
        <f>MAX(N112:N119)</f>
        <v>56.16073850044026</v>
      </c>
      <c r="O120" s="202"/>
      <c r="P120" s="200"/>
      <c r="Q120" s="201">
        <f>MAX(Q112:Q119)</f>
        <v>8848.967266781989</v>
      </c>
      <c r="R120" s="202"/>
      <c r="S120" s="200"/>
      <c r="T120" s="201">
        <f>MAX(T112:T119)</f>
        <v>713.0707225137795</v>
      </c>
      <c r="U120" s="202"/>
      <c r="V120" s="200"/>
      <c r="W120" s="201">
        <f>MAX(W112:W119)</f>
        <v>1600.4983358994625</v>
      </c>
      <c r="X120" s="202"/>
      <c r="Y120" s="200"/>
      <c r="Z120" s="201">
        <f>MAX(Z112:Z119)</f>
        <v>53.916640188274</v>
      </c>
      <c r="AA120" s="202"/>
      <c r="AB120" s="200"/>
      <c r="AC120" s="201">
        <f>MAX(AC112:AC119)</f>
        <v>15.6798487347779</v>
      </c>
      <c r="AD120" s="202"/>
      <c r="AE120" s="200"/>
      <c r="AF120" s="201">
        <f>MAX(AF112:AF119)</f>
        <v>95.00169028199015</v>
      </c>
      <c r="AG120" s="202"/>
      <c r="AH120" s="200"/>
      <c r="AI120" s="201">
        <f>MAX(AI112:AI119)</f>
        <v>12.183497582150386</v>
      </c>
      <c r="AJ120" s="202"/>
      <c r="AK120" s="200"/>
      <c r="AL120" s="201">
        <f>MAX(AL112:AL119)</f>
        <v>95.00169028199015</v>
      </c>
      <c r="AM120" s="202"/>
      <c r="AN120" s="200"/>
      <c r="AO120" s="203">
        <f>MAX(AO112:AO119)</f>
        <v>0.31455730744173177</v>
      </c>
      <c r="AP120" s="202"/>
      <c r="AQ120" s="200"/>
      <c r="AR120" s="201">
        <f>MAX(AR112:AR119)</f>
        <v>308.4656457053216</v>
      </c>
      <c r="AS120" s="202"/>
    </row>
    <row r="121" spans="3:45" ht="12.75">
      <c r="C121" s="105"/>
      <c r="D121" s="89" t="s">
        <v>208</v>
      </c>
      <c r="H121" s="127">
        <f>MIN(H112:H119)</f>
        <v>788.3294814001214</v>
      </c>
      <c r="I121" s="88"/>
      <c r="K121" s="127">
        <f>MIN(K112:K119)</f>
        <v>0.819830035846122</v>
      </c>
      <c r="L121" s="88"/>
      <c r="N121" s="127">
        <f>MIN(N112:N119)</f>
        <v>6.996456074220378</v>
      </c>
      <c r="O121" s="88"/>
      <c r="Q121" s="127">
        <f>MIN(Q112:Q119)</f>
        <v>524.8063001759566</v>
      </c>
      <c r="R121" s="88"/>
      <c r="T121" s="127">
        <f>MIN(T112:T119)</f>
        <v>62.514668900289195</v>
      </c>
      <c r="U121" s="88"/>
      <c r="W121" s="127">
        <f>MIN(W112:W119)</f>
        <v>60.76057600728088</v>
      </c>
      <c r="X121" s="88"/>
      <c r="Z121" s="127">
        <f>MIN(Z112:Z119)</f>
        <v>3.7651063036438517</v>
      </c>
      <c r="AA121" s="88"/>
      <c r="AC121" s="127">
        <f>MIN(AC112:AC119)</f>
        <v>4.239115460615879</v>
      </c>
      <c r="AD121" s="88"/>
      <c r="AF121" s="127">
        <f>MIN(AF112:AF119)</f>
        <v>25.102409917753192</v>
      </c>
      <c r="AG121" s="88"/>
      <c r="AI121" s="127">
        <f>MIN(AI112:AI119)</f>
        <v>5.606769737605134</v>
      </c>
      <c r="AJ121" s="88"/>
      <c r="AL121" s="127">
        <f>MIN(AL112:AL119)</f>
        <v>25.102409917753192</v>
      </c>
      <c r="AM121" s="88"/>
      <c r="AO121" s="119">
        <f>MIN(AO112:AO119)</f>
        <v>0.013663833930768707</v>
      </c>
      <c r="AP121" s="88"/>
      <c r="AR121" s="127">
        <f>MIN(AR112:AR119)</f>
        <v>37.159564815816836</v>
      </c>
      <c r="AS121" s="88"/>
    </row>
    <row r="122" spans="3:45" ht="12.75">
      <c r="C122" s="105"/>
      <c r="H122" s="96"/>
      <c r="I122" s="96"/>
      <c r="J122" s="78"/>
      <c r="K122" s="96"/>
      <c r="L122" s="96"/>
      <c r="M122" s="78"/>
      <c r="N122" s="96"/>
      <c r="O122" s="96"/>
      <c r="P122" s="78"/>
      <c r="Q122" s="96"/>
      <c r="R122" s="96"/>
      <c r="S122" s="78"/>
      <c r="T122" s="96"/>
      <c r="U122" s="96"/>
      <c r="V122" s="78"/>
      <c r="W122" s="96"/>
      <c r="X122" s="96"/>
      <c r="Y122" s="78"/>
      <c r="Z122" s="120"/>
      <c r="AA122" s="120"/>
      <c r="AB122" s="78"/>
      <c r="AC122" s="96"/>
      <c r="AD122" s="96"/>
      <c r="AE122" s="78"/>
      <c r="AF122" s="123"/>
      <c r="AG122" s="123"/>
      <c r="AH122" s="135"/>
      <c r="AI122" s="123"/>
      <c r="AJ122" s="123"/>
      <c r="AK122" s="135"/>
      <c r="AL122" s="123"/>
      <c r="AM122" s="123"/>
      <c r="AN122" s="135"/>
      <c r="AO122" s="123"/>
      <c r="AP122" s="123"/>
      <c r="AQ122" s="135"/>
      <c r="AR122" s="123"/>
      <c r="AS122" s="124"/>
    </row>
    <row r="123" spans="3:45" ht="12.75">
      <c r="C123" s="105"/>
      <c r="H123" s="96"/>
      <c r="I123" s="96"/>
      <c r="J123" s="78"/>
      <c r="K123" s="96"/>
      <c r="L123" s="96"/>
      <c r="M123" s="78"/>
      <c r="N123" s="96"/>
      <c r="O123" s="96"/>
      <c r="P123" s="78"/>
      <c r="Q123" s="96"/>
      <c r="R123" s="96"/>
      <c r="S123" s="78"/>
      <c r="T123" s="96"/>
      <c r="U123" s="96"/>
      <c r="V123" s="78"/>
      <c r="W123" s="96"/>
      <c r="X123" s="96"/>
      <c r="Y123" s="78"/>
      <c r="Z123" s="120"/>
      <c r="AA123" s="120"/>
      <c r="AB123" s="78"/>
      <c r="AC123" s="96"/>
      <c r="AD123" s="96"/>
      <c r="AE123" s="78"/>
      <c r="AF123" s="123"/>
      <c r="AG123" s="123"/>
      <c r="AH123" s="135"/>
      <c r="AI123" s="123"/>
      <c r="AJ123" s="123"/>
      <c r="AK123" s="135"/>
      <c r="AL123" s="123"/>
      <c r="AM123" s="123"/>
      <c r="AN123" s="135"/>
      <c r="AO123" s="123"/>
      <c r="AP123" s="123"/>
      <c r="AQ123" s="135"/>
      <c r="AR123" s="123"/>
      <c r="AS123" s="124"/>
    </row>
    <row r="124" spans="1:45" s="197" customFormat="1" ht="12.75">
      <c r="A124" s="194"/>
      <c r="B124" s="194"/>
      <c r="C124" s="198"/>
      <c r="D124" s="194"/>
      <c r="E124" s="194"/>
      <c r="F124" s="194"/>
      <c r="G124" s="195"/>
      <c r="H124" s="196" t="s">
        <v>261</v>
      </c>
      <c r="I124" s="199"/>
      <c r="J124" s="195"/>
      <c r="K124" s="194"/>
      <c r="L124" s="199"/>
      <c r="M124" s="195"/>
      <c r="N124" s="194"/>
      <c r="O124" s="199"/>
      <c r="P124" s="195"/>
      <c r="Q124" s="194"/>
      <c r="R124" s="199"/>
      <c r="S124" s="195"/>
      <c r="T124" s="194"/>
      <c r="U124" s="199"/>
      <c r="V124" s="195"/>
      <c r="W124" s="194"/>
      <c r="X124" s="199"/>
      <c r="Y124" s="195"/>
      <c r="Z124" s="194"/>
      <c r="AA124" s="199"/>
      <c r="AB124" s="195"/>
      <c r="AC124" s="194"/>
      <c r="AD124" s="199"/>
      <c r="AE124" s="195"/>
      <c r="AF124" s="194"/>
      <c r="AG124" s="199"/>
      <c r="AH124" s="195"/>
      <c r="AI124" s="194"/>
      <c r="AJ124" s="199"/>
      <c r="AK124" s="195"/>
      <c r="AL124" s="194"/>
      <c r="AM124" s="199"/>
      <c r="AN124" s="195"/>
      <c r="AO124" s="194"/>
      <c r="AP124" s="194"/>
      <c r="AQ124" s="195"/>
      <c r="AR124" s="194"/>
      <c r="AS124" s="199"/>
    </row>
    <row r="125" spans="1:45" s="169" customFormat="1" ht="12.75">
      <c r="A125" s="184"/>
      <c r="B125" s="184"/>
      <c r="C125" s="193"/>
      <c r="D125" s="184"/>
      <c r="E125" s="184"/>
      <c r="F125" s="184"/>
      <c r="G125" s="182"/>
      <c r="H125" s="89" t="s">
        <v>24</v>
      </c>
      <c r="I125" s="76" t="s">
        <v>194</v>
      </c>
      <c r="J125" s="75"/>
      <c r="K125" s="89" t="s">
        <v>25</v>
      </c>
      <c r="L125" s="76" t="s">
        <v>195</v>
      </c>
      <c r="M125" s="75"/>
      <c r="N125" s="89" t="s">
        <v>26</v>
      </c>
      <c r="O125" s="76" t="s">
        <v>196</v>
      </c>
      <c r="P125" s="75"/>
      <c r="Q125" s="89" t="s">
        <v>27</v>
      </c>
      <c r="R125" s="76" t="s">
        <v>197</v>
      </c>
      <c r="S125" s="75"/>
      <c r="T125" s="89" t="s">
        <v>28</v>
      </c>
      <c r="U125" s="76" t="s">
        <v>198</v>
      </c>
      <c r="V125" s="75"/>
      <c r="W125" s="89" t="s">
        <v>29</v>
      </c>
      <c r="X125" s="76" t="s">
        <v>199</v>
      </c>
      <c r="Y125" s="75"/>
      <c r="Z125" s="89" t="s">
        <v>30</v>
      </c>
      <c r="AA125" s="76" t="s">
        <v>200</v>
      </c>
      <c r="AB125" s="75"/>
      <c r="AC125" s="89" t="s">
        <v>31</v>
      </c>
      <c r="AD125" s="76" t="s">
        <v>201</v>
      </c>
      <c r="AE125" s="75"/>
      <c r="AF125" s="89" t="s">
        <v>32</v>
      </c>
      <c r="AG125" s="76" t="s">
        <v>202</v>
      </c>
      <c r="AH125" s="75"/>
      <c r="AI125" s="89" t="s">
        <v>33</v>
      </c>
      <c r="AJ125" s="76" t="s">
        <v>203</v>
      </c>
      <c r="AK125" s="75"/>
      <c r="AL125" s="89" t="s">
        <v>34</v>
      </c>
      <c r="AM125" s="76" t="s">
        <v>204</v>
      </c>
      <c r="AN125" s="75"/>
      <c r="AO125" s="89" t="s">
        <v>35</v>
      </c>
      <c r="AP125" s="89" t="s">
        <v>205</v>
      </c>
      <c r="AQ125" s="75"/>
      <c r="AR125" s="89" t="s">
        <v>36</v>
      </c>
      <c r="AS125" s="76" t="s">
        <v>206</v>
      </c>
    </row>
    <row r="126" spans="3:45" ht="12.75">
      <c r="C126" s="105">
        <v>101</v>
      </c>
      <c r="D126" s="89" t="s">
        <v>137</v>
      </c>
      <c r="H126" s="157">
        <f aca="true" t="shared" si="39" ref="H126:H133">AVERAGE(H100,H88)</f>
        <v>14.37847342746261</v>
      </c>
      <c r="I126" s="76">
        <f aca="true" t="shared" si="40" ref="I126:I133">I100*2+0.5*(H100-H88)</f>
        <v>8.460308687646096</v>
      </c>
      <c r="K126" s="157">
        <f aca="true" t="shared" si="41" ref="K126:K133">AVERAGE(K100,K88)</f>
        <v>0.03198664900064188</v>
      </c>
      <c r="L126" s="76">
        <f aca="true" t="shared" si="42" ref="L126:L133">L100*2+0.5*(K100-K88)</f>
        <v>0.01882097746982956</v>
      </c>
      <c r="N126" s="157">
        <f aca="true" t="shared" si="43" ref="N126:N133">AVERAGE(N100,N88)</f>
        <v>0.14230301452515676</v>
      </c>
      <c r="O126" s="76">
        <f aca="true" t="shared" si="44" ref="O126:O133">O100*2+0.5*(N100-N88)</f>
        <v>0.0837312414380468</v>
      </c>
      <c r="Q126" s="157">
        <f aca="true" t="shared" si="45" ref="Q126:Q133">AVERAGE(Q100,Q88)</f>
        <v>22.421975763150666</v>
      </c>
      <c r="R126" s="76">
        <f aca="true" t="shared" si="46" ref="R126:R133">R100*2+0.5*(Q100-Q88)</f>
        <v>13.193113810041643</v>
      </c>
      <c r="T126" s="157">
        <f aca="true" t="shared" si="47" ref="T126:T133">AVERAGE(T100,T88)</f>
        <v>1.806815866257651</v>
      </c>
      <c r="U126" s="76">
        <f aca="true" t="shared" si="48" ref="U126:U133">U100*2+0.5*(T100-T88)</f>
        <v>1.0631323309385556</v>
      </c>
      <c r="W126" s="157">
        <f aca="true" t="shared" si="49" ref="W126:W133">AVERAGE(W100,W88)</f>
        <v>4.055426335592168</v>
      </c>
      <c r="X126" s="76">
        <f aca="true" t="shared" si="50" ref="X126:X133">X100*2+0.5*(W100-W88)</f>
        <v>2.3862170648510874</v>
      </c>
      <c r="Z126" s="157">
        <f aca="true" t="shared" si="51" ref="Z126:Z133">AVERAGE(Z100,Z88)</f>
        <v>0.13661680093112483</v>
      </c>
      <c r="AA126" s="76">
        <f aca="true" t="shared" si="52" ref="AA126:AA133">AA100*2+0.5*(Z100-Z88)</f>
        <v>0.08038546745779131</v>
      </c>
      <c r="AC126" s="157">
        <f aca="true" t="shared" si="53" ref="AC126:AC133">AVERAGE(AC100,AC88)</f>
        <v>0.039730420251504854</v>
      </c>
      <c r="AD126" s="76">
        <f aca="true" t="shared" si="54" ref="AD126:AD133">AD100*2+0.5*(AC100-AC88)</f>
        <v>0.02337742051083336</v>
      </c>
      <c r="AF126" s="157">
        <f aca="true" t="shared" si="55" ref="AF126:AF133">AVERAGE(AF100,AF88)</f>
        <v>0.24072024822121074</v>
      </c>
      <c r="AG126" s="76">
        <f aca="true" t="shared" si="56" ref="AG126:AG133">AG100*2+0.5*(AF100-AF88)</f>
        <v>0.14164004388869464</v>
      </c>
      <c r="AI126" s="157">
        <f aca="true" t="shared" si="57" ref="AI126:AI133">AVERAGE(AI100,AI88)</f>
        <v>0.030871182959717792</v>
      </c>
      <c r="AJ126" s="76">
        <f aca="true" t="shared" si="58" ref="AJ126:AJ133">AJ100*2+0.5*(AI100-AI88)</f>
        <v>0.018164636093645672</v>
      </c>
      <c r="AL126" s="157">
        <f aca="true" t="shared" si="59" ref="AL126:AL133">AVERAGE(AL100,AL88)</f>
        <v>0.24072024822121074</v>
      </c>
      <c r="AM126" s="76">
        <f aca="true" t="shared" si="60" ref="AM126:AM133">AM100*2+0.5*(AL100-AL88)</f>
        <v>0.14164004388869464</v>
      </c>
      <c r="AO126" s="157">
        <f aca="true" t="shared" si="61" ref="AO126:AO133">AVERAGE(AO100,AO88)</f>
        <v>0.0007534781227543606</v>
      </c>
      <c r="AP126" s="76">
        <f>AP100*2+0.5*(AO100-AO88)</f>
        <v>0.00044334730943790696</v>
      </c>
      <c r="AR126" s="157">
        <f aca="true" t="shared" si="62" ref="AR126:AR133">AVERAGE(AR100,AR88)</f>
        <v>0.7816063754391713</v>
      </c>
      <c r="AS126" s="76">
        <f aca="true" t="shared" si="63" ref="AS126:AS133">AS100*2+0.5*(AR100-AR88)</f>
        <v>0.4598980025110035</v>
      </c>
    </row>
    <row r="127" spans="3:45" ht="12.75">
      <c r="C127" s="105" t="s">
        <v>19</v>
      </c>
      <c r="D127" s="89" t="s">
        <v>137</v>
      </c>
      <c r="H127" s="157">
        <f t="shared" si="39"/>
        <v>3.4350929032419426</v>
      </c>
      <c r="I127" s="76">
        <f t="shared" si="40"/>
        <v>1.943539572349669</v>
      </c>
      <c r="K127" s="157">
        <f t="shared" si="41"/>
        <v>0.0019723193410272673</v>
      </c>
      <c r="L127" s="76">
        <f t="shared" si="42"/>
        <v>0.004270223177613388</v>
      </c>
      <c r="N127" s="157">
        <f t="shared" si="43"/>
        <v>0.028133393388929926</v>
      </c>
      <c r="O127" s="76">
        <f t="shared" si="44"/>
        <v>0.01612232061050779</v>
      </c>
      <c r="Q127" s="157">
        <f t="shared" si="45"/>
        <v>7.48879223860011</v>
      </c>
      <c r="R127" s="76">
        <f t="shared" si="46"/>
        <v>4.247565218061327</v>
      </c>
      <c r="T127" s="157">
        <f t="shared" si="47"/>
        <v>0.13603994282723778</v>
      </c>
      <c r="U127" s="76">
        <f t="shared" si="48"/>
        <v>0.07772229436331951</v>
      </c>
      <c r="W127" s="157">
        <f t="shared" si="49"/>
        <v>0.194017365524223</v>
      </c>
      <c r="X127" s="76">
        <f t="shared" si="50"/>
        <v>0.10956786164003485</v>
      </c>
      <c r="Z127" s="157">
        <f t="shared" si="51"/>
        <v>0.030793748960710368</v>
      </c>
      <c r="AA127" s="76">
        <f t="shared" si="52"/>
        <v>0.017444476587266295</v>
      </c>
      <c r="AC127" s="157">
        <f t="shared" si="53"/>
        <v>0.014218461440080607</v>
      </c>
      <c r="AD127" s="76">
        <f t="shared" si="54"/>
        <v>0.008376730080073398</v>
      </c>
      <c r="AF127" s="157">
        <f t="shared" si="55"/>
        <v>0.07334390757726345</v>
      </c>
      <c r="AG127" s="76">
        <f t="shared" si="56"/>
        <v>0.04193342637924468</v>
      </c>
      <c r="AI127" s="157">
        <f t="shared" si="57"/>
        <v>0.013011276895738003</v>
      </c>
      <c r="AJ127" s="76">
        <f t="shared" si="58"/>
        <v>0.00752301572321409</v>
      </c>
      <c r="AL127" s="157">
        <f t="shared" si="59"/>
        <v>0.07334390757726345</v>
      </c>
      <c r="AM127" s="76">
        <f t="shared" si="60"/>
        <v>0.04193342637924468</v>
      </c>
      <c r="AO127" s="157">
        <f t="shared" si="61"/>
        <v>4.104699411967182E-05</v>
      </c>
      <c r="AP127" s="76">
        <f aca="true" t="shared" si="64" ref="AP127:AP133">AP101*2+0.5*(AO101-AO89)</f>
        <v>6.901246539252703E-05</v>
      </c>
      <c r="AR127" s="157">
        <f t="shared" si="62"/>
        <v>0.09254650939533578</v>
      </c>
      <c r="AS127" s="76">
        <f t="shared" si="63"/>
        <v>0.05239833994043439</v>
      </c>
    </row>
    <row r="128" spans="3:45" ht="12.75">
      <c r="C128" s="105" t="s">
        <v>5</v>
      </c>
      <c r="D128" s="89" t="s">
        <v>137</v>
      </c>
      <c r="H128" s="157">
        <f t="shared" si="39"/>
        <v>3.246151791797789</v>
      </c>
      <c r="I128" s="76">
        <f t="shared" si="40"/>
        <v>1.8796043597288652</v>
      </c>
      <c r="K128" s="157">
        <f t="shared" si="41"/>
        <v>0.0019723193410272673</v>
      </c>
      <c r="L128" s="76">
        <f t="shared" si="42"/>
        <v>0.004288305130354435</v>
      </c>
      <c r="N128" s="157">
        <f t="shared" si="43"/>
        <v>0.016831837125350947</v>
      </c>
      <c r="O128" s="76">
        <f t="shared" si="44"/>
        <v>0.009772787450741761</v>
      </c>
      <c r="Q128" s="157">
        <f t="shared" si="45"/>
        <v>1.2625612271715807</v>
      </c>
      <c r="R128" s="76">
        <f t="shared" si="46"/>
        <v>0.7415708634180038</v>
      </c>
      <c r="T128" s="157">
        <f t="shared" si="47"/>
        <v>0.15039567371144566</v>
      </c>
      <c r="U128" s="76">
        <f t="shared" si="48"/>
        <v>0.08740457783227039</v>
      </c>
      <c r="W128" s="157">
        <f t="shared" si="49"/>
        <v>0.14617573642253165</v>
      </c>
      <c r="X128" s="76">
        <f t="shared" si="50"/>
        <v>0.08453897143504426</v>
      </c>
      <c r="Z128" s="157">
        <f t="shared" si="51"/>
        <v>0.03523768865771849</v>
      </c>
      <c r="AA128" s="76">
        <f t="shared" si="52"/>
        <v>0.020431990106599286</v>
      </c>
      <c r="AC128" s="157">
        <f t="shared" si="53"/>
        <v>0.011839799244017842</v>
      </c>
      <c r="AD128" s="76">
        <f t="shared" si="54"/>
        <v>0.006980007837002567</v>
      </c>
      <c r="AF128" s="157">
        <f t="shared" si="55"/>
        <v>0.08658603986794378</v>
      </c>
      <c r="AG128" s="76">
        <f t="shared" si="56"/>
        <v>0.05035013404772311</v>
      </c>
      <c r="AI128" s="157">
        <f t="shared" si="57"/>
        <v>0.013522490230883035</v>
      </c>
      <c r="AJ128" s="76">
        <f t="shared" si="58"/>
        <v>0.00791576935961386</v>
      </c>
      <c r="AL128" s="157">
        <f t="shared" si="59"/>
        <v>0.08658603986794378</v>
      </c>
      <c r="AM128" s="76">
        <f t="shared" si="60"/>
        <v>0.05035013404772311</v>
      </c>
      <c r="AO128" s="157">
        <f t="shared" si="61"/>
        <v>3.2871989017121134E-05</v>
      </c>
      <c r="AP128" s="76">
        <f t="shared" si="64"/>
        <v>7.147175217257393E-05</v>
      </c>
      <c r="AR128" s="157">
        <f t="shared" si="62"/>
        <v>0.08939722282161927</v>
      </c>
      <c r="AS128" s="76">
        <f t="shared" si="63"/>
        <v>0.05179297553793306</v>
      </c>
    </row>
    <row r="129" spans="3:45" ht="12.75">
      <c r="C129" s="105" t="s">
        <v>21</v>
      </c>
      <c r="D129" s="89" t="s">
        <v>137</v>
      </c>
      <c r="H129" s="157">
        <f t="shared" si="39"/>
        <v>3.350268552984423</v>
      </c>
      <c r="I129" s="76">
        <f t="shared" si="40"/>
        <v>1.931480439941417</v>
      </c>
      <c r="K129" s="157">
        <f t="shared" si="41"/>
        <v>0.004553380180009267</v>
      </c>
      <c r="L129" s="76">
        <f t="shared" si="42"/>
        <v>0.0027487753944168743</v>
      </c>
      <c r="N129" s="157">
        <f t="shared" si="43"/>
        <v>0.026434072751339875</v>
      </c>
      <c r="O129" s="76">
        <f t="shared" si="44"/>
        <v>0.015161089263193482</v>
      </c>
      <c r="Q129" s="157">
        <f t="shared" si="45"/>
        <v>6.568466840480676</v>
      </c>
      <c r="R129" s="76">
        <f t="shared" si="46"/>
        <v>3.7964233006490162</v>
      </c>
      <c r="T129" s="157">
        <f t="shared" si="47"/>
        <v>0.2639584695613964</v>
      </c>
      <c r="U129" s="76">
        <f t="shared" si="48"/>
        <v>0.15127879724748208</v>
      </c>
      <c r="W129" s="157">
        <f t="shared" si="49"/>
        <v>0.4494589031665925</v>
      </c>
      <c r="X129" s="76">
        <f t="shared" si="50"/>
        <v>0.2573490890339918</v>
      </c>
      <c r="Z129" s="157">
        <f t="shared" si="51"/>
        <v>0.05294602426738242</v>
      </c>
      <c r="AA129" s="76">
        <f t="shared" si="52"/>
        <v>0.030379830685838122</v>
      </c>
      <c r="AC129" s="157">
        <f t="shared" si="53"/>
        <v>0.018269320515384095</v>
      </c>
      <c r="AD129" s="76">
        <f t="shared" si="54"/>
        <v>0.010563880677148762</v>
      </c>
      <c r="AF129" s="157">
        <f t="shared" si="55"/>
        <v>0.06999899592007494</v>
      </c>
      <c r="AG129" s="76">
        <f t="shared" si="56"/>
        <v>0.040346978264490505</v>
      </c>
      <c r="AI129" s="157">
        <f t="shared" si="57"/>
        <v>0.018433500417201057</v>
      </c>
      <c r="AJ129" s="76">
        <f t="shared" si="58"/>
        <v>0.010642285726217239</v>
      </c>
      <c r="AL129" s="157">
        <f t="shared" si="59"/>
        <v>0.06999899592007494</v>
      </c>
      <c r="AM129" s="76">
        <f t="shared" si="60"/>
        <v>0.040346978264490505</v>
      </c>
      <c r="AO129" s="157">
        <f t="shared" si="61"/>
        <v>0.0001891664091385257</v>
      </c>
      <c r="AP129" s="76">
        <f t="shared" si="64"/>
        <v>0.00011036908516247276</v>
      </c>
      <c r="AR129" s="157">
        <f t="shared" si="62"/>
        <v>0.1411939390655366</v>
      </c>
      <c r="AS129" s="76">
        <f t="shared" si="63"/>
        <v>0.0810260059664233</v>
      </c>
    </row>
    <row r="130" spans="3:45" ht="12.75">
      <c r="C130" s="105" t="s">
        <v>12</v>
      </c>
      <c r="D130" s="89" t="s">
        <v>137</v>
      </c>
      <c r="H130" s="157">
        <f t="shared" si="39"/>
        <v>1.8364019458238658</v>
      </c>
      <c r="I130" s="76">
        <f t="shared" si="40"/>
        <v>1.0519531282461572</v>
      </c>
      <c r="K130" s="157">
        <f t="shared" si="41"/>
        <v>0.0019723193410272673</v>
      </c>
      <c r="L130" s="76">
        <f t="shared" si="42"/>
        <v>0.004260226870088797</v>
      </c>
      <c r="N130" s="157">
        <f t="shared" si="43"/>
        <v>0.025421403634186702</v>
      </c>
      <c r="O130" s="76">
        <f t="shared" si="44"/>
        <v>0.014464515324435673</v>
      </c>
      <c r="Q130" s="157">
        <f t="shared" si="45"/>
        <v>4.851405157939572</v>
      </c>
      <c r="R130" s="76">
        <f t="shared" si="46"/>
        <v>2.8072512522762385</v>
      </c>
      <c r="T130" s="157">
        <f t="shared" si="47"/>
        <v>0.16684921449764425</v>
      </c>
      <c r="U130" s="76">
        <f t="shared" si="48"/>
        <v>0.09499062535422205</v>
      </c>
      <c r="W130" s="157">
        <f t="shared" si="49"/>
        <v>0.24553204114758254</v>
      </c>
      <c r="X130" s="76">
        <f t="shared" si="50"/>
        <v>0.13874006676847736</v>
      </c>
      <c r="Z130" s="157">
        <f t="shared" si="51"/>
        <v>0.06303845451063675</v>
      </c>
      <c r="AA130" s="76">
        <f t="shared" si="52"/>
        <v>0.035693614113238514</v>
      </c>
      <c r="AC130" s="157">
        <f t="shared" si="53"/>
        <v>0.01498111617587046</v>
      </c>
      <c r="AD130" s="76">
        <f t="shared" si="54"/>
        <v>0.008682374994179752</v>
      </c>
      <c r="AF130" s="157">
        <f t="shared" si="55"/>
        <v>0.04249114697775301</v>
      </c>
      <c r="AG130" s="76">
        <f t="shared" si="56"/>
        <v>0.02472592999727101</v>
      </c>
      <c r="AI130" s="157">
        <f t="shared" si="57"/>
        <v>0.014658678177628778</v>
      </c>
      <c r="AJ130" s="76">
        <f t="shared" si="58"/>
        <v>0.00844094922619786</v>
      </c>
      <c r="AL130" s="157">
        <f t="shared" si="59"/>
        <v>0.04249114697775301</v>
      </c>
      <c r="AM130" s="76">
        <f t="shared" si="60"/>
        <v>0.02472592999727101</v>
      </c>
      <c r="AO130" s="157">
        <f t="shared" si="61"/>
        <v>0.00018042049779073703</v>
      </c>
      <c r="AP130" s="76">
        <f t="shared" si="64"/>
        <v>0.00010718268661102405</v>
      </c>
      <c r="AR130" s="157">
        <f t="shared" si="62"/>
        <v>0.10579245582571664</v>
      </c>
      <c r="AS130" s="76">
        <f t="shared" si="63"/>
        <v>0.06093159715401645</v>
      </c>
    </row>
    <row r="131" spans="3:45" ht="12.75">
      <c r="C131" s="105" t="s">
        <v>20</v>
      </c>
      <c r="D131" s="89" t="s">
        <v>137</v>
      </c>
      <c r="H131" s="157">
        <f t="shared" si="39"/>
        <v>5.1049165335695035</v>
      </c>
      <c r="I131" s="76">
        <f t="shared" si="40"/>
        <v>2.887173603994871</v>
      </c>
      <c r="K131" s="157">
        <f t="shared" si="41"/>
        <v>0.009364254115576894</v>
      </c>
      <c r="L131" s="76">
        <f t="shared" si="42"/>
        <v>0.006206071053484388</v>
      </c>
      <c r="N131" s="157">
        <f t="shared" si="43"/>
        <v>0.01745581974597632</v>
      </c>
      <c r="O131" s="76">
        <f t="shared" si="44"/>
        <v>0.009900510628080788</v>
      </c>
      <c r="Q131" s="157">
        <f t="shared" si="45"/>
        <v>18.260441834673284</v>
      </c>
      <c r="R131" s="76">
        <f t="shared" si="46"/>
        <v>10.392642337000122</v>
      </c>
      <c r="T131" s="157">
        <f t="shared" si="47"/>
        <v>0.828091575007926</v>
      </c>
      <c r="U131" s="76">
        <f t="shared" si="48"/>
        <v>0.4670422830901944</v>
      </c>
      <c r="W131" s="157">
        <f t="shared" si="49"/>
        <v>1.7699880698457358</v>
      </c>
      <c r="X131" s="76">
        <f t="shared" si="50"/>
        <v>0.9974673610316609</v>
      </c>
      <c r="Z131" s="157">
        <f t="shared" si="51"/>
        <v>0.06382581958191252</v>
      </c>
      <c r="AA131" s="76">
        <f t="shared" si="52"/>
        <v>0.03613135623080321</v>
      </c>
      <c r="AC131" s="157">
        <f t="shared" si="53"/>
        <v>0.015981905009826953</v>
      </c>
      <c r="AD131" s="76">
        <f t="shared" si="54"/>
        <v>0.00915288726436015</v>
      </c>
      <c r="AF131" s="157">
        <f t="shared" si="55"/>
        <v>0.11838503578447136</v>
      </c>
      <c r="AG131" s="76">
        <f t="shared" si="56"/>
        <v>0.0670807273201262</v>
      </c>
      <c r="AI131" s="157">
        <f t="shared" si="57"/>
        <v>0.018491554476001794</v>
      </c>
      <c r="AJ131" s="76">
        <f t="shared" si="58"/>
        <v>0.010600038171044806</v>
      </c>
      <c r="AL131" s="157">
        <f t="shared" si="59"/>
        <v>0.11838503578447136</v>
      </c>
      <c r="AM131" s="76">
        <f t="shared" si="60"/>
        <v>0.0670807273201262</v>
      </c>
      <c r="AO131" s="157">
        <f t="shared" si="61"/>
        <v>0.00029930378539567564</v>
      </c>
      <c r="AP131" s="76">
        <f t="shared" si="64"/>
        <v>0.00017205988516940293</v>
      </c>
      <c r="AR131" s="157">
        <f t="shared" si="62"/>
        <v>0.20236878132668518</v>
      </c>
      <c r="AS131" s="76">
        <f t="shared" si="63"/>
        <v>0.11481642987792746</v>
      </c>
    </row>
    <row r="132" spans="3:45" ht="12.75">
      <c r="C132" s="105" t="s">
        <v>17</v>
      </c>
      <c r="D132" s="89" t="s">
        <v>137</v>
      </c>
      <c r="H132" s="157">
        <f t="shared" si="39"/>
        <v>5.209749278675639</v>
      </c>
      <c r="I132" s="76">
        <f t="shared" si="40"/>
        <v>2.9488297078134833</v>
      </c>
      <c r="K132" s="157">
        <f t="shared" si="41"/>
        <v>0.010102857093011543</v>
      </c>
      <c r="L132" s="76">
        <f t="shared" si="42"/>
        <v>0.0063320700630848225</v>
      </c>
      <c r="N132" s="157">
        <f t="shared" si="43"/>
        <v>0.0353337420910828</v>
      </c>
      <c r="O132" s="76">
        <f t="shared" si="44"/>
        <v>0.02000649794106362</v>
      </c>
      <c r="Q132" s="157">
        <f t="shared" si="45"/>
        <v>14.185497840687466</v>
      </c>
      <c r="R132" s="76">
        <f t="shared" si="46"/>
        <v>8.087249431741045</v>
      </c>
      <c r="T132" s="157">
        <f t="shared" si="47"/>
        <v>0.47056824676618</v>
      </c>
      <c r="U132" s="76">
        <f t="shared" si="48"/>
        <v>0.26588517645425463</v>
      </c>
      <c r="W132" s="157">
        <f t="shared" si="49"/>
        <v>1.3628133691651556</v>
      </c>
      <c r="X132" s="76">
        <f t="shared" si="50"/>
        <v>0.7681260162040443</v>
      </c>
      <c r="Z132" s="157">
        <f t="shared" si="51"/>
        <v>0.0092132076807447</v>
      </c>
      <c r="AA132" s="76">
        <f t="shared" si="52"/>
        <v>0.005264176045667226</v>
      </c>
      <c r="AC132" s="157">
        <f t="shared" si="53"/>
        <v>0.013410806304564177</v>
      </c>
      <c r="AD132" s="76">
        <f t="shared" si="54"/>
        <v>0.007768485345918885</v>
      </c>
      <c r="AF132" s="157">
        <f t="shared" si="55"/>
        <v>0.09049265043839831</v>
      </c>
      <c r="AG132" s="76">
        <f t="shared" si="56"/>
        <v>0.051456124361082024</v>
      </c>
      <c r="AI132" s="157">
        <f t="shared" si="57"/>
        <v>0.013719754462358158</v>
      </c>
      <c r="AJ132" s="76">
        <f t="shared" si="58"/>
        <v>0.007941811156757711</v>
      </c>
      <c r="AL132" s="157">
        <f t="shared" si="59"/>
        <v>0.09049265043839831</v>
      </c>
      <c r="AM132" s="76">
        <f t="shared" si="60"/>
        <v>0.051456124361082024</v>
      </c>
      <c r="AO132" s="157">
        <f t="shared" si="61"/>
        <v>0.0007697211093752612</v>
      </c>
      <c r="AP132" s="76">
        <f t="shared" si="64"/>
        <v>0.0004354470834997186</v>
      </c>
      <c r="AR132" s="157">
        <f t="shared" si="62"/>
        <v>0.25397859083633095</v>
      </c>
      <c r="AS132" s="76">
        <f t="shared" si="63"/>
        <v>0.14512274155732444</v>
      </c>
    </row>
    <row r="133" spans="3:45" ht="13.5" thickBot="1">
      <c r="C133" s="105" t="s">
        <v>22</v>
      </c>
      <c r="D133" s="89" t="s">
        <v>137</v>
      </c>
      <c r="H133" s="157">
        <f t="shared" si="39"/>
        <v>2.2808611611331298</v>
      </c>
      <c r="I133" s="76">
        <f t="shared" si="40"/>
        <v>1.4192346053540017</v>
      </c>
      <c r="K133" s="157">
        <f t="shared" si="41"/>
        <v>0.004276452045341763</v>
      </c>
      <c r="L133" s="76">
        <f t="shared" si="42"/>
        <v>0.0029371308257844266</v>
      </c>
      <c r="N133" s="157">
        <f t="shared" si="43"/>
        <v>0.04161583358998395</v>
      </c>
      <c r="O133" s="76">
        <f t="shared" si="44"/>
        <v>0.024167221688509755</v>
      </c>
      <c r="Q133" s="157">
        <f t="shared" si="45"/>
        <v>7.065643719871475</v>
      </c>
      <c r="R133" s="76">
        <f t="shared" si="46"/>
        <v>4.410788090035145</v>
      </c>
      <c r="T133" s="157">
        <f t="shared" si="47"/>
        <v>0.2870941710599048</v>
      </c>
      <c r="U133" s="76">
        <f t="shared" si="48"/>
        <v>0.1678330168414251</v>
      </c>
      <c r="W133" s="157">
        <f t="shared" si="49"/>
        <v>0.39632183459424236</v>
      </c>
      <c r="X133" s="76">
        <f t="shared" si="50"/>
        <v>0.23509438271561095</v>
      </c>
      <c r="Z133" s="157">
        <f t="shared" si="51"/>
        <v>0.11561948891793489</v>
      </c>
      <c r="AA133" s="76">
        <f t="shared" si="52"/>
        <v>0.06849192830052787</v>
      </c>
      <c r="AC133" s="157">
        <f t="shared" si="53"/>
        <v>0.012264965398103969</v>
      </c>
      <c r="AD133" s="76">
        <f t="shared" si="54"/>
        <v>0.007238669704316497</v>
      </c>
      <c r="AF133" s="157">
        <f t="shared" si="55"/>
        <v>0.10338014176968166</v>
      </c>
      <c r="AG133" s="76">
        <f t="shared" si="56"/>
        <v>0.06086442098015965</v>
      </c>
      <c r="AI133" s="157">
        <f t="shared" si="57"/>
        <v>0.017016730172014338</v>
      </c>
      <c r="AJ133" s="76">
        <f t="shared" si="58"/>
        <v>0.01010756911724183</v>
      </c>
      <c r="AL133" s="157">
        <f t="shared" si="59"/>
        <v>0.10338014176968166</v>
      </c>
      <c r="AM133" s="76">
        <f t="shared" si="60"/>
        <v>0.06086442098015965</v>
      </c>
      <c r="AO133" s="157">
        <f t="shared" si="61"/>
        <v>0.00010755436315310066</v>
      </c>
      <c r="AP133" s="76">
        <f t="shared" si="64"/>
        <v>6.389010828573648E-05</v>
      </c>
      <c r="AR133" s="157">
        <f t="shared" si="62"/>
        <v>0.17709327110144957</v>
      </c>
      <c r="AS133" s="76">
        <f t="shared" si="63"/>
        <v>0.10648562577714493</v>
      </c>
    </row>
    <row r="134" spans="4:45" ht="13.5" thickTop="1">
      <c r="D134" s="89" t="s">
        <v>207</v>
      </c>
      <c r="G134" s="200"/>
      <c r="H134" s="203">
        <f>MAX(H126:H133)</f>
        <v>14.37847342746261</v>
      </c>
      <c r="I134" s="204"/>
      <c r="J134" s="205"/>
      <c r="K134" s="203">
        <f>MAX(K126:K133)</f>
        <v>0.03198664900064188</v>
      </c>
      <c r="L134" s="204"/>
      <c r="M134" s="205"/>
      <c r="N134" s="203">
        <f>MAX(N126:N133)</f>
        <v>0.14230301452515676</v>
      </c>
      <c r="O134" s="204"/>
      <c r="P134" s="205"/>
      <c r="Q134" s="203">
        <f>MAX(Q126:Q133)</f>
        <v>22.421975763150666</v>
      </c>
      <c r="R134" s="204"/>
      <c r="S134" s="205"/>
      <c r="T134" s="203">
        <f>MAX(T126:T133)</f>
        <v>1.806815866257651</v>
      </c>
      <c r="U134" s="204"/>
      <c r="V134" s="205"/>
      <c r="W134" s="203">
        <f>MAX(W126:W133)</f>
        <v>4.055426335592168</v>
      </c>
      <c r="X134" s="204"/>
      <c r="Y134" s="205"/>
      <c r="Z134" s="203">
        <f>MAX(Z126:Z133)</f>
        <v>0.13661680093112483</v>
      </c>
      <c r="AA134" s="204"/>
      <c r="AB134" s="205"/>
      <c r="AC134" s="203">
        <f>MAX(AC126:AC133)</f>
        <v>0.039730420251504854</v>
      </c>
      <c r="AD134" s="204"/>
      <c r="AE134" s="205"/>
      <c r="AF134" s="203">
        <f>MAX(AF126:AF133)</f>
        <v>0.24072024822121074</v>
      </c>
      <c r="AG134" s="204"/>
      <c r="AH134" s="205"/>
      <c r="AI134" s="203">
        <f>MAX(AI126:AI133)</f>
        <v>0.030871182959717792</v>
      </c>
      <c r="AJ134" s="204"/>
      <c r="AK134" s="205"/>
      <c r="AL134" s="203">
        <f>MAX(AL126:AL133)</f>
        <v>0.24072024822121074</v>
      </c>
      <c r="AM134" s="202"/>
      <c r="AN134" s="205"/>
      <c r="AO134" s="207">
        <f>MAX(AO126:AO133)</f>
        <v>0.0007697211093752612</v>
      </c>
      <c r="AP134" s="204"/>
      <c r="AQ134" s="205"/>
      <c r="AR134" s="203">
        <f>MAX(AR126:AR133)</f>
        <v>0.7816063754391713</v>
      </c>
      <c r="AS134" s="202"/>
    </row>
    <row r="135" spans="4:45" ht="12.75">
      <c r="D135" s="89" t="s">
        <v>208</v>
      </c>
      <c r="H135" s="119">
        <f>MIN(H126:H133)</f>
        <v>1.8364019458238658</v>
      </c>
      <c r="I135" s="84"/>
      <c r="J135" s="206"/>
      <c r="K135" s="96">
        <f>MIN(K126:K133)</f>
        <v>0.0019723193410272673</v>
      </c>
      <c r="L135" s="84"/>
      <c r="M135" s="206"/>
      <c r="N135" s="119">
        <f>MIN(N126:N133)</f>
        <v>0.016831837125350947</v>
      </c>
      <c r="O135" s="84"/>
      <c r="P135" s="206"/>
      <c r="Q135" s="119">
        <f>MIN(Q126:Q133)</f>
        <v>1.2625612271715807</v>
      </c>
      <c r="R135" s="84"/>
      <c r="S135" s="206"/>
      <c r="T135" s="119">
        <f>MIN(T126:T133)</f>
        <v>0.13603994282723778</v>
      </c>
      <c r="U135" s="84"/>
      <c r="V135" s="206"/>
      <c r="W135" s="119">
        <f>MIN(W126:W133)</f>
        <v>0.14617573642253165</v>
      </c>
      <c r="X135" s="84"/>
      <c r="Y135" s="206"/>
      <c r="Z135" s="119">
        <f>MIN(Z126:Z133)</f>
        <v>0.0092132076807447</v>
      </c>
      <c r="AA135" s="84"/>
      <c r="AB135" s="206"/>
      <c r="AC135" s="119">
        <f>MIN(AC126:AC133)</f>
        <v>0.011839799244017842</v>
      </c>
      <c r="AD135" s="84"/>
      <c r="AE135" s="206"/>
      <c r="AF135" s="119">
        <f>MIN(AF126:AF133)</f>
        <v>0.04249114697775301</v>
      </c>
      <c r="AG135" s="84"/>
      <c r="AH135" s="206"/>
      <c r="AI135" s="119">
        <f>MIN(AI126:AI133)</f>
        <v>0.013011276895738003</v>
      </c>
      <c r="AJ135" s="84"/>
      <c r="AK135" s="206"/>
      <c r="AL135" s="119">
        <f>MIN(AL126:AL133)</f>
        <v>0.04249114697775301</v>
      </c>
      <c r="AM135" s="88"/>
      <c r="AN135" s="206"/>
      <c r="AO135" s="157">
        <f>MIN(AO126:AO133)</f>
        <v>3.2871989017121134E-05</v>
      </c>
      <c r="AP135" s="84"/>
      <c r="AQ135" s="206"/>
      <c r="AR135" s="119">
        <f>MIN(AR126:AR133)</f>
        <v>0.08939722282161927</v>
      </c>
      <c r="AS135" s="88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U26"/>
  <sheetViews>
    <sheetView workbookViewId="0" topLeftCell="A1">
      <selection activeCell="A2" sqref="A2"/>
    </sheetView>
  </sheetViews>
  <sheetFormatPr defaultColWidth="8.88671875" defaultRowHeight="15"/>
  <cols>
    <col min="1" max="4" width="8.88671875" style="101" customWidth="1"/>
    <col min="5" max="5" width="5.88671875" style="243" customWidth="1"/>
    <col min="6" max="6" width="5.88671875" style="228" customWidth="1"/>
    <col min="7" max="7" width="5.88671875" style="227" customWidth="1"/>
    <col min="8" max="8" width="5.88671875" style="228" customWidth="1"/>
    <col min="9" max="9" width="5.88671875" style="227" customWidth="1"/>
    <col min="10" max="10" width="5.88671875" style="228" customWidth="1"/>
    <col min="11" max="11" width="5.88671875" style="227" customWidth="1"/>
    <col min="12" max="12" width="5.88671875" style="228" customWidth="1"/>
    <col min="13" max="13" width="5.88671875" style="227" customWidth="1"/>
    <col min="14" max="14" width="5.88671875" style="228" customWidth="1"/>
    <col min="15" max="15" width="5.88671875" style="227" customWidth="1"/>
    <col min="16" max="16" width="5.88671875" style="228" customWidth="1"/>
    <col min="17" max="17" width="5.88671875" style="227" customWidth="1"/>
    <col min="18" max="18" width="5.88671875" style="228" customWidth="1"/>
    <col min="19" max="19" width="5.88671875" style="227" customWidth="1"/>
    <col min="20" max="20" width="5.88671875" style="228" customWidth="1"/>
    <col min="21" max="21" width="5.88671875" style="227" customWidth="1"/>
    <col min="22" max="22" width="5.88671875" style="228" customWidth="1"/>
    <col min="23" max="23" width="5.88671875" style="227" customWidth="1"/>
    <col min="24" max="24" width="5.88671875" style="228" customWidth="1"/>
    <col min="25" max="25" width="5.88671875" style="227" customWidth="1"/>
    <col min="26" max="26" width="5.88671875" style="228" customWidth="1"/>
    <col min="27" max="27" width="5.88671875" style="227" customWidth="1"/>
    <col min="28" max="28" width="5.88671875" style="228" customWidth="1"/>
    <col min="29" max="29" width="5.88671875" style="227" customWidth="1"/>
    <col min="30" max="30" width="5.88671875" style="244" customWidth="1"/>
    <col min="31" max="32" width="5.88671875" style="101" customWidth="1"/>
    <col min="33" max="33" width="5.88671875" style="227" customWidth="1"/>
    <col min="34" max="34" width="5.88671875" style="228" customWidth="1"/>
    <col min="35" max="36" width="5.88671875" style="101" customWidth="1"/>
    <col min="37" max="37" width="5.88671875" style="227" customWidth="1"/>
    <col min="38" max="38" width="5.88671875" style="228" customWidth="1"/>
    <col min="39" max="40" width="5.88671875" style="101" customWidth="1"/>
    <col min="41" max="41" width="5.88671875" style="227" customWidth="1"/>
    <col min="42" max="42" width="5.88671875" style="228" customWidth="1"/>
    <col min="43" max="44" width="5.88671875" style="101" customWidth="1"/>
    <col min="45" max="45" width="5.88671875" style="227" customWidth="1"/>
    <col min="46" max="46" width="5.88671875" style="228" customWidth="1"/>
    <col min="47" max="48" width="5.88671875" style="101" customWidth="1"/>
    <col min="49" max="49" width="5.88671875" style="227" customWidth="1"/>
    <col min="50" max="50" width="5.88671875" style="228" customWidth="1"/>
    <col min="51" max="52" width="5.88671875" style="101" customWidth="1"/>
    <col min="53" max="53" width="5.88671875" style="227" customWidth="1"/>
    <col min="54" max="54" width="5.88671875" style="228" customWidth="1"/>
    <col min="55" max="56" width="5.88671875" style="101" customWidth="1"/>
    <col min="57" max="57" width="5.88671875" style="243" customWidth="1"/>
    <col min="58" max="58" width="5.88671875" style="101" customWidth="1"/>
    <col min="59" max="59" width="5.88671875" style="227" customWidth="1"/>
    <col min="60" max="60" width="5.88671875" style="228" customWidth="1"/>
    <col min="61" max="62" width="5.88671875" style="101" customWidth="1"/>
    <col min="63" max="63" width="5.88671875" style="227" customWidth="1"/>
    <col min="64" max="64" width="5.88671875" style="228" customWidth="1"/>
    <col min="65" max="66" width="5.88671875" style="101" customWidth="1"/>
    <col min="67" max="67" width="5.88671875" style="227" customWidth="1"/>
    <col min="68" max="68" width="5.88671875" style="228" customWidth="1"/>
    <col min="69" max="70" width="5.88671875" style="101" customWidth="1"/>
    <col min="71" max="71" width="5.88671875" style="227" customWidth="1"/>
    <col min="72" max="72" width="5.88671875" style="228" customWidth="1"/>
    <col min="73" max="74" width="5.88671875" style="101" customWidth="1"/>
    <col min="75" max="75" width="5.88671875" style="227" customWidth="1"/>
    <col min="76" max="76" width="5.88671875" style="228" customWidth="1"/>
    <col min="77" max="78" width="5.88671875" style="101" customWidth="1"/>
    <col min="79" max="79" width="5.88671875" style="227" customWidth="1"/>
    <col min="80" max="80" width="5.88671875" style="228" customWidth="1"/>
    <col min="81" max="81" width="5.88671875" style="101" customWidth="1"/>
    <col min="82" max="82" width="5.88671875" style="264" customWidth="1"/>
    <col min="83" max="99" width="8.88671875" style="101" customWidth="1"/>
    <col min="100" max="16384" width="8.88671875" style="42" customWidth="1"/>
  </cols>
  <sheetData>
    <row r="1" spans="1:99" s="246" customFormat="1" ht="12.75">
      <c r="A1" s="312" t="s">
        <v>233</v>
      </c>
      <c r="B1" s="238"/>
      <c r="C1" s="238"/>
      <c r="D1" s="238"/>
      <c r="E1" s="235"/>
      <c r="F1" s="236"/>
      <c r="G1" s="237"/>
      <c r="H1" s="236"/>
      <c r="I1" s="237"/>
      <c r="J1" s="236"/>
      <c r="K1" s="237"/>
      <c r="L1" s="236"/>
      <c r="M1" s="237"/>
      <c r="N1" s="236"/>
      <c r="O1" s="237"/>
      <c r="P1" s="236"/>
      <c r="Q1" s="237"/>
      <c r="R1" s="236"/>
      <c r="S1" s="237"/>
      <c r="T1" s="236"/>
      <c r="U1" s="237"/>
      <c r="V1" s="236"/>
      <c r="W1" s="237"/>
      <c r="X1" s="236"/>
      <c r="Y1" s="237"/>
      <c r="Z1" s="236"/>
      <c r="AA1" s="237"/>
      <c r="AB1" s="236"/>
      <c r="AC1" s="237"/>
      <c r="AD1" s="239"/>
      <c r="AE1" s="238"/>
      <c r="AF1" s="238"/>
      <c r="AG1" s="224"/>
      <c r="AH1" s="225"/>
      <c r="AI1" s="238"/>
      <c r="AJ1" s="238"/>
      <c r="AK1" s="224"/>
      <c r="AL1" s="225"/>
      <c r="AM1" s="238"/>
      <c r="AN1" s="238"/>
      <c r="AO1" s="224"/>
      <c r="AP1" s="225"/>
      <c r="AQ1" s="238"/>
      <c r="AR1" s="238"/>
      <c r="AS1" s="224"/>
      <c r="AT1" s="225"/>
      <c r="AU1" s="238"/>
      <c r="AV1" s="238"/>
      <c r="AW1" s="224"/>
      <c r="AX1" s="225"/>
      <c r="AY1" s="238"/>
      <c r="AZ1" s="238"/>
      <c r="BA1" s="224"/>
      <c r="BB1" s="225"/>
      <c r="BC1" s="238"/>
      <c r="BD1" s="238"/>
      <c r="BE1" s="235"/>
      <c r="BF1" s="238"/>
      <c r="BG1" s="237"/>
      <c r="BH1" s="236"/>
      <c r="BI1" s="238"/>
      <c r="BJ1" s="238"/>
      <c r="BK1" s="237"/>
      <c r="BL1" s="236"/>
      <c r="BM1" s="238"/>
      <c r="BN1" s="238"/>
      <c r="BO1" s="237"/>
      <c r="BP1" s="236"/>
      <c r="BQ1" s="238"/>
      <c r="BR1" s="238"/>
      <c r="BS1" s="237"/>
      <c r="BT1" s="236"/>
      <c r="BU1" s="238"/>
      <c r="BV1" s="238"/>
      <c r="BW1" s="237"/>
      <c r="BX1" s="236"/>
      <c r="BY1" s="238"/>
      <c r="BZ1" s="238"/>
      <c r="CA1" s="237"/>
      <c r="CB1" s="236"/>
      <c r="CC1" s="238"/>
      <c r="CD1" s="263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</row>
    <row r="2" spans="1:99" s="247" customFormat="1" ht="12.75">
      <c r="A2" s="243"/>
      <c r="B2" s="101"/>
      <c r="C2" s="101"/>
      <c r="D2" s="101"/>
      <c r="E2" s="359" t="s">
        <v>234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240"/>
      <c r="AE2" s="360" t="s">
        <v>235</v>
      </c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222"/>
      <c r="BE2" s="359" t="s">
        <v>236</v>
      </c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264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</row>
    <row r="3" spans="1:99" s="250" customFormat="1" ht="26.25" thickBot="1">
      <c r="A3" s="217" t="s">
        <v>3</v>
      </c>
      <c r="B3" s="218" t="s">
        <v>211</v>
      </c>
      <c r="C3" s="218" t="s">
        <v>4</v>
      </c>
      <c r="D3" s="248" t="s">
        <v>212</v>
      </c>
      <c r="E3" s="251" t="s">
        <v>24</v>
      </c>
      <c r="F3" s="252" t="s">
        <v>194</v>
      </c>
      <c r="G3" s="253" t="s">
        <v>25</v>
      </c>
      <c r="H3" s="252" t="s">
        <v>195</v>
      </c>
      <c r="I3" s="253" t="s">
        <v>26</v>
      </c>
      <c r="J3" s="252" t="s">
        <v>196</v>
      </c>
      <c r="K3" s="253" t="s">
        <v>27</v>
      </c>
      <c r="L3" s="252" t="s">
        <v>197</v>
      </c>
      <c r="M3" s="253" t="s">
        <v>28</v>
      </c>
      <c r="N3" s="252" t="s">
        <v>198</v>
      </c>
      <c r="O3" s="253" t="s">
        <v>29</v>
      </c>
      <c r="P3" s="252" t="s">
        <v>199</v>
      </c>
      <c r="Q3" s="253" t="s">
        <v>30</v>
      </c>
      <c r="R3" s="252" t="s">
        <v>200</v>
      </c>
      <c r="S3" s="253" t="s">
        <v>31</v>
      </c>
      <c r="T3" s="252" t="s">
        <v>201</v>
      </c>
      <c r="U3" s="253" t="s">
        <v>32</v>
      </c>
      <c r="V3" s="252" t="s">
        <v>202</v>
      </c>
      <c r="W3" s="253" t="s">
        <v>33</v>
      </c>
      <c r="X3" s="252" t="s">
        <v>203</v>
      </c>
      <c r="Y3" s="253" t="s">
        <v>34</v>
      </c>
      <c r="Z3" s="252" t="s">
        <v>204</v>
      </c>
      <c r="AA3" s="253" t="s">
        <v>35</v>
      </c>
      <c r="AB3" s="252" t="s">
        <v>205</v>
      </c>
      <c r="AC3" s="253" t="s">
        <v>36</v>
      </c>
      <c r="AD3" s="254" t="s">
        <v>206</v>
      </c>
      <c r="AE3" s="255" t="s">
        <v>24</v>
      </c>
      <c r="AF3" s="255" t="s">
        <v>194</v>
      </c>
      <c r="AG3" s="253" t="s">
        <v>25</v>
      </c>
      <c r="AH3" s="252" t="s">
        <v>195</v>
      </c>
      <c r="AI3" s="255" t="s">
        <v>26</v>
      </c>
      <c r="AJ3" s="255" t="s">
        <v>196</v>
      </c>
      <c r="AK3" s="253" t="s">
        <v>27</v>
      </c>
      <c r="AL3" s="252" t="s">
        <v>197</v>
      </c>
      <c r="AM3" s="255" t="s">
        <v>28</v>
      </c>
      <c r="AN3" s="255" t="s">
        <v>198</v>
      </c>
      <c r="AO3" s="253" t="s">
        <v>29</v>
      </c>
      <c r="AP3" s="252" t="s">
        <v>199</v>
      </c>
      <c r="AQ3" s="255" t="s">
        <v>30</v>
      </c>
      <c r="AR3" s="255" t="s">
        <v>200</v>
      </c>
      <c r="AS3" s="253" t="s">
        <v>31</v>
      </c>
      <c r="AT3" s="252" t="s">
        <v>201</v>
      </c>
      <c r="AU3" s="255" t="s">
        <v>32</v>
      </c>
      <c r="AV3" s="255" t="s">
        <v>202</v>
      </c>
      <c r="AW3" s="253" t="s">
        <v>33</v>
      </c>
      <c r="AX3" s="252" t="s">
        <v>203</v>
      </c>
      <c r="AY3" s="255" t="s">
        <v>34</v>
      </c>
      <c r="AZ3" s="255" t="s">
        <v>204</v>
      </c>
      <c r="BA3" s="253" t="s">
        <v>35</v>
      </c>
      <c r="BB3" s="252" t="s">
        <v>205</v>
      </c>
      <c r="BC3" s="255" t="s">
        <v>36</v>
      </c>
      <c r="BD3" s="255" t="s">
        <v>206</v>
      </c>
      <c r="BE3" s="251" t="s">
        <v>24</v>
      </c>
      <c r="BF3" s="255" t="s">
        <v>194</v>
      </c>
      <c r="BG3" s="253" t="s">
        <v>25</v>
      </c>
      <c r="BH3" s="252" t="s">
        <v>195</v>
      </c>
      <c r="BI3" s="255" t="s">
        <v>26</v>
      </c>
      <c r="BJ3" s="255" t="s">
        <v>196</v>
      </c>
      <c r="BK3" s="253" t="s">
        <v>27</v>
      </c>
      <c r="BL3" s="252" t="s">
        <v>197</v>
      </c>
      <c r="BM3" s="255" t="s">
        <v>28</v>
      </c>
      <c r="BN3" s="255" t="s">
        <v>198</v>
      </c>
      <c r="BO3" s="253" t="s">
        <v>29</v>
      </c>
      <c r="BP3" s="252" t="s">
        <v>199</v>
      </c>
      <c r="BQ3" s="255" t="s">
        <v>30</v>
      </c>
      <c r="BR3" s="255" t="s">
        <v>200</v>
      </c>
      <c r="BS3" s="253" t="s">
        <v>31</v>
      </c>
      <c r="BT3" s="252" t="s">
        <v>201</v>
      </c>
      <c r="BU3" s="255" t="s">
        <v>32</v>
      </c>
      <c r="BV3" s="255" t="s">
        <v>202</v>
      </c>
      <c r="BW3" s="253" t="s">
        <v>33</v>
      </c>
      <c r="BX3" s="252" t="s">
        <v>203</v>
      </c>
      <c r="BY3" s="255" t="s">
        <v>34</v>
      </c>
      <c r="BZ3" s="255" t="s">
        <v>204</v>
      </c>
      <c r="CA3" s="253" t="s">
        <v>35</v>
      </c>
      <c r="CB3" s="252" t="s">
        <v>205</v>
      </c>
      <c r="CC3" s="255" t="s">
        <v>36</v>
      </c>
      <c r="CD3" s="254" t="s">
        <v>206</v>
      </c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</row>
    <row r="4" spans="1:99" s="245" customFormat="1" ht="12.75">
      <c r="A4" s="35" t="s">
        <v>213</v>
      </c>
      <c r="B4" s="105" t="s">
        <v>214</v>
      </c>
      <c r="C4" s="105" t="s">
        <v>215</v>
      </c>
      <c r="D4" s="223">
        <v>405509.1464363774</v>
      </c>
      <c r="E4" s="356">
        <v>0.032666074841438776</v>
      </c>
      <c r="F4" s="231">
        <v>0.007144457240379108</v>
      </c>
      <c r="G4" s="230">
        <v>0.004968729162417109</v>
      </c>
      <c r="H4" s="231">
        <v>0.0014167431570091345</v>
      </c>
      <c r="I4" s="230">
        <v>0.03061881581163359</v>
      </c>
      <c r="J4" s="231">
        <v>0.016244090208232274</v>
      </c>
      <c r="K4" s="230">
        <v>0.005403336005742636</v>
      </c>
      <c r="L4" s="231">
        <v>0.0006322034447724935</v>
      </c>
      <c r="M4" s="230">
        <v>0.026224188742623198</v>
      </c>
      <c r="N4" s="231">
        <v>0.013690088258275812</v>
      </c>
      <c r="O4" s="230">
        <v>0.0034273789577480202</v>
      </c>
      <c r="P4" s="231">
        <v>0.0010747362871161112</v>
      </c>
      <c r="Q4" s="230">
        <v>0.006343878412417726</v>
      </c>
      <c r="R4" s="231">
        <v>0.00316425788303639</v>
      </c>
      <c r="S4" s="230">
        <v>0.006461796307908298</v>
      </c>
      <c r="T4" s="231">
        <v>0.0022755734577894473</v>
      </c>
      <c r="U4" s="230">
        <v>0</v>
      </c>
      <c r="V4" s="231">
        <v>0</v>
      </c>
      <c r="W4" s="319"/>
      <c r="X4" s="320"/>
      <c r="Y4" s="231">
        <v>0.011815189337363953</v>
      </c>
      <c r="Z4" s="231">
        <v>0.0029814323828219417</v>
      </c>
      <c r="AA4" s="230">
        <v>0.0001798281816162273</v>
      </c>
      <c r="AB4" s="231">
        <v>6.883864080535823E-05</v>
      </c>
      <c r="AC4" s="230">
        <v>8.606184906256253E-05</v>
      </c>
      <c r="AD4" s="326">
        <v>4.0872171804777806E-05</v>
      </c>
      <c r="AE4" s="327">
        <v>6.342899473112455</v>
      </c>
      <c r="AF4" s="231">
        <v>0.4352033022179489</v>
      </c>
      <c r="AG4" s="230">
        <v>0.004381726172780022</v>
      </c>
      <c r="AH4" s="231">
        <v>0.004063404485716192</v>
      </c>
      <c r="AI4" s="327">
        <v>0.08257015810039996</v>
      </c>
      <c r="AJ4" s="231">
        <v>0.07415533547897801</v>
      </c>
      <c r="AK4" s="230">
        <v>2.8698603483917955</v>
      </c>
      <c r="AL4" s="231">
        <v>1.302572813253562</v>
      </c>
      <c r="AM4" s="327">
        <v>0.04336115574254551</v>
      </c>
      <c r="AN4" s="231">
        <v>0.03743022642172152</v>
      </c>
      <c r="AO4" s="230">
        <v>0.0514274394080076</v>
      </c>
      <c r="AP4" s="231">
        <v>0.02368605211089538</v>
      </c>
      <c r="AQ4" s="327">
        <v>0.04923952537453201</v>
      </c>
      <c r="AR4" s="231">
        <v>0.024956628238797716</v>
      </c>
      <c r="AS4" s="230">
        <v>0.00872657132804051</v>
      </c>
      <c r="AT4" s="231">
        <v>0.000833233709818543</v>
      </c>
      <c r="AU4" s="327">
        <v>0.036645292926766077</v>
      </c>
      <c r="AV4" s="231">
        <v>0.02153265634349958</v>
      </c>
      <c r="AW4" s="319"/>
      <c r="AX4" s="320"/>
      <c r="AY4" s="327">
        <v>1.91438039004053</v>
      </c>
      <c r="AZ4" s="231">
        <v>0.15246513845091195</v>
      </c>
      <c r="BA4" s="230">
        <v>0.00020659175944606935</v>
      </c>
      <c r="BB4" s="231">
        <v>0.00012425601251912186</v>
      </c>
      <c r="BC4" s="327">
        <v>0.11382450066318103</v>
      </c>
      <c r="BD4" s="231">
        <v>0.07124970052598424</v>
      </c>
      <c r="BE4" s="318">
        <v>4.070406566441304</v>
      </c>
      <c r="BF4" s="231">
        <v>0.369629677145921</v>
      </c>
      <c r="BG4" s="230">
        <v>0.0062549527232733</v>
      </c>
      <c r="BH4" s="231">
        <v>0.0030287806992081545</v>
      </c>
      <c r="BI4" s="327">
        <v>0.08048494703949692</v>
      </c>
      <c r="BJ4" s="231">
        <v>0.07432902730915676</v>
      </c>
      <c r="BK4" s="230">
        <v>9.667502114917083</v>
      </c>
      <c r="BL4" s="231">
        <v>2.108366718566873</v>
      </c>
      <c r="BM4" s="327">
        <v>0.30381839926802995</v>
      </c>
      <c r="BN4" s="231">
        <v>0.16381512315620272</v>
      </c>
      <c r="BO4" s="230">
        <v>0.4643025988998633</v>
      </c>
      <c r="BP4" s="231">
        <v>0.13759189705225858</v>
      </c>
      <c r="BQ4" s="327">
        <v>0.07579708107229115</v>
      </c>
      <c r="BR4" s="231">
        <v>0.027058187733072905</v>
      </c>
      <c r="BS4" s="230">
        <v>0.017742288550106622</v>
      </c>
      <c r="BT4" s="231">
        <v>0.0019898345878222876</v>
      </c>
      <c r="BU4" s="327">
        <v>0.03109117153313365</v>
      </c>
      <c r="BV4" s="231">
        <v>0.007409078826293337</v>
      </c>
      <c r="BW4" s="230">
        <v>0.014102778019929688</v>
      </c>
      <c r="BX4" s="231">
        <v>0.005600123688904204</v>
      </c>
      <c r="BY4" s="327">
        <v>0.08420138019253672</v>
      </c>
      <c r="BZ4" s="231">
        <v>0.04132958329562674</v>
      </c>
      <c r="CA4" s="230">
        <v>0.00043079022210724586</v>
      </c>
      <c r="CB4" s="231">
        <v>0.00012781160477463304</v>
      </c>
      <c r="CC4" s="327">
        <v>0.20173409410785278</v>
      </c>
      <c r="CD4" s="326">
        <v>0.1541554532662384</v>
      </c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</row>
    <row r="5" spans="1:99" s="57" customFormat="1" ht="12.75">
      <c r="A5" s="35" t="s">
        <v>216</v>
      </c>
      <c r="B5" s="105" t="s">
        <v>214</v>
      </c>
      <c r="C5" s="105" t="s">
        <v>215</v>
      </c>
      <c r="D5" s="223">
        <v>428130.1480249976</v>
      </c>
      <c r="E5" s="356">
        <v>0.05131122252344853</v>
      </c>
      <c r="F5" s="231">
        <v>0.01796511310072299</v>
      </c>
      <c r="G5" s="230">
        <v>0.0058342136744393884</v>
      </c>
      <c r="H5" s="231">
        <v>0.001452974736774192</v>
      </c>
      <c r="I5" s="230">
        <v>0.040901615767311474</v>
      </c>
      <c r="J5" s="231">
        <v>0.039819801011318524</v>
      </c>
      <c r="K5" s="230">
        <v>0.010684372019946287</v>
      </c>
      <c r="L5" s="231">
        <v>0.0032012937866567593</v>
      </c>
      <c r="M5" s="230">
        <v>0.021737331630186336</v>
      </c>
      <c r="N5" s="231">
        <v>0.0023962177049266374</v>
      </c>
      <c r="O5" s="230">
        <v>0.003968459100832815</v>
      </c>
      <c r="P5" s="231">
        <v>0.002327864124225807</v>
      </c>
      <c r="Q5" s="230">
        <v>0.003907917802644917</v>
      </c>
      <c r="R5" s="231">
        <v>0.0029395346468948434</v>
      </c>
      <c r="S5" s="230">
        <v>0.010468666314947061</v>
      </c>
      <c r="T5" s="231">
        <v>0.002333716767967363</v>
      </c>
      <c r="U5" s="230">
        <v>4.800246687704826E-05</v>
      </c>
      <c r="V5" s="231">
        <v>8.314271151968972E-05</v>
      </c>
      <c r="W5" s="319"/>
      <c r="X5" s="320"/>
      <c r="Y5" s="231">
        <v>0.007793643498734119</v>
      </c>
      <c r="Z5" s="231">
        <v>0.00474813245477141</v>
      </c>
      <c r="AA5" s="230">
        <v>0.0002171154142567563</v>
      </c>
      <c r="AB5" s="231">
        <v>0.00019502819597768585</v>
      </c>
      <c r="AC5" s="230">
        <v>0.00012082270170573267</v>
      </c>
      <c r="AD5" s="326">
        <v>8.936770732694227E-05</v>
      </c>
      <c r="AE5" s="327">
        <v>6.066605785177895</v>
      </c>
      <c r="AF5" s="231">
        <v>4.149614756076898</v>
      </c>
      <c r="AG5" s="230">
        <v>0.0028934985145095413</v>
      </c>
      <c r="AH5" s="231">
        <v>0.0016461979685298595</v>
      </c>
      <c r="AI5" s="327">
        <v>0.03637852589014414</v>
      </c>
      <c r="AJ5" s="231">
        <v>0.03681965053772501</v>
      </c>
      <c r="AK5" s="230">
        <v>1.9619672388966425</v>
      </c>
      <c r="AL5" s="231">
        <v>0.2560059037867439</v>
      </c>
      <c r="AM5" s="327">
        <v>0.02769335119720338</v>
      </c>
      <c r="AN5" s="231">
        <v>0.0061883795662622055</v>
      </c>
      <c r="AO5" s="230">
        <v>0.010724314128961887</v>
      </c>
      <c r="AP5" s="231">
        <v>0.005811130201035192</v>
      </c>
      <c r="AQ5" s="327">
        <v>0.06364310923162965</v>
      </c>
      <c r="AR5" s="231">
        <v>0.08280262314844133</v>
      </c>
      <c r="AS5" s="230">
        <v>0.008808360800145121</v>
      </c>
      <c r="AT5" s="231">
        <v>0.0007020966670598969</v>
      </c>
      <c r="AU5" s="327">
        <v>0.01831713446820444</v>
      </c>
      <c r="AV5" s="231">
        <v>0.010114265684580162</v>
      </c>
      <c r="AW5" s="319"/>
      <c r="AX5" s="320"/>
      <c r="AY5" s="327">
        <v>1.9343465137780218</v>
      </c>
      <c r="AZ5" s="231">
        <v>1.392288382915535</v>
      </c>
      <c r="BA5" s="230">
        <v>9.74434077930362E-05</v>
      </c>
      <c r="BB5" s="231">
        <v>7.038627285059067E-05</v>
      </c>
      <c r="BC5" s="327">
        <v>0.04915770480815048</v>
      </c>
      <c r="BD5" s="231">
        <v>0.011530964036944195</v>
      </c>
      <c r="BE5" s="318">
        <v>3.561074639067273</v>
      </c>
      <c r="BF5" s="231">
        <v>0.9899733340242766</v>
      </c>
      <c r="BG5" s="230">
        <v>0.003969918054313953</v>
      </c>
      <c r="BH5" s="231">
        <v>0.0009496472305616972</v>
      </c>
      <c r="BI5" s="327">
        <v>0.028517056101119626</v>
      </c>
      <c r="BJ5" s="231">
        <v>0.0076194627099345985</v>
      </c>
      <c r="BK5" s="230">
        <v>8.409438592895695</v>
      </c>
      <c r="BL5" s="231">
        <v>2.4780328561085656</v>
      </c>
      <c r="BM5" s="327">
        <v>0.23477163682922186</v>
      </c>
      <c r="BN5" s="231">
        <v>0.05809431164718826</v>
      </c>
      <c r="BO5" s="230">
        <v>0.1829039922587484</v>
      </c>
      <c r="BP5" s="231">
        <v>0.03150645393627141</v>
      </c>
      <c r="BQ5" s="327">
        <v>0.0536663082962426</v>
      </c>
      <c r="BR5" s="231">
        <v>0.023833609552470554</v>
      </c>
      <c r="BS5" s="230">
        <v>0.01675921823031175</v>
      </c>
      <c r="BT5" s="231">
        <v>0.0010750331601661802</v>
      </c>
      <c r="BU5" s="327">
        <v>0.014112328917563139</v>
      </c>
      <c r="BV5" s="231">
        <v>0.007626194949291214</v>
      </c>
      <c r="BW5" s="230">
        <v>0.01128203752248541</v>
      </c>
      <c r="BX5" s="231">
        <v>0.003883353136825201</v>
      </c>
      <c r="BY5" s="327">
        <v>0.04121196027187514</v>
      </c>
      <c r="BZ5" s="231">
        <v>0.030282763604665176</v>
      </c>
      <c r="CA5" s="230">
        <v>0.0003466187446633951</v>
      </c>
      <c r="CB5" s="231">
        <v>5.9138917083064344E-05</v>
      </c>
      <c r="CC5" s="327">
        <v>0.06557301012544181</v>
      </c>
      <c r="CD5" s="326">
        <v>0.01714767344252509</v>
      </c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</row>
    <row r="6" spans="1:99" s="57" customFormat="1" ht="12.75">
      <c r="A6" s="35" t="s">
        <v>217</v>
      </c>
      <c r="B6" s="105" t="s">
        <v>214</v>
      </c>
      <c r="C6" s="105" t="s">
        <v>215</v>
      </c>
      <c r="D6" s="223">
        <v>534144.5698751864</v>
      </c>
      <c r="E6" s="356">
        <v>0.04358044086999233</v>
      </c>
      <c r="F6" s="231">
        <v>0.03679970745325284</v>
      </c>
      <c r="G6" s="230">
        <v>0.0026552594122151566</v>
      </c>
      <c r="H6" s="231">
        <v>0.00018285643991010768</v>
      </c>
      <c r="I6" s="230">
        <v>0.01852322391389205</v>
      </c>
      <c r="J6" s="231">
        <v>0.008089244544467996</v>
      </c>
      <c r="K6" s="230">
        <v>0.006246866743574967</v>
      </c>
      <c r="L6" s="231">
        <v>0.0031869836196273854</v>
      </c>
      <c r="M6" s="230">
        <v>0.017056065424037176</v>
      </c>
      <c r="N6" s="231">
        <v>0.0032944700862214175</v>
      </c>
      <c r="O6" s="230">
        <v>0.0024039000418649478</v>
      </c>
      <c r="P6" s="231">
        <v>0.0008426988698064029</v>
      </c>
      <c r="Q6" s="230">
        <v>0.001660744977020738</v>
      </c>
      <c r="R6" s="231">
        <v>0.0006389022022153815</v>
      </c>
      <c r="S6" s="230">
        <v>0.009712821864205105</v>
      </c>
      <c r="T6" s="231">
        <v>0.001607009402346457</v>
      </c>
      <c r="U6" s="230">
        <v>0</v>
      </c>
      <c r="V6" s="231">
        <v>0</v>
      </c>
      <c r="W6" s="319"/>
      <c r="X6" s="320"/>
      <c r="Y6" s="231">
        <v>0.007508106741371326</v>
      </c>
      <c r="Z6" s="231">
        <v>0.0024201504474784226</v>
      </c>
      <c r="AA6" s="230">
        <v>0.0001213945605843393</v>
      </c>
      <c r="AB6" s="231">
        <v>7.30059223321923E-05</v>
      </c>
      <c r="AC6" s="230">
        <v>6.235673104547892E-05</v>
      </c>
      <c r="AD6" s="326">
        <v>6.5770120024716635E-06</v>
      </c>
      <c r="AE6" s="327">
        <v>6.656831229859599</v>
      </c>
      <c r="AF6" s="231">
        <v>1.4422522501573154</v>
      </c>
      <c r="AG6" s="230">
        <v>0.0011650333224477033</v>
      </c>
      <c r="AH6" s="231">
        <v>0.00018418038918963206</v>
      </c>
      <c r="AI6" s="327">
        <v>0.014871446041512514</v>
      </c>
      <c r="AJ6" s="231">
        <v>0.00568493571513238</v>
      </c>
      <c r="AK6" s="230">
        <v>1.9837562077610262</v>
      </c>
      <c r="AL6" s="231">
        <v>0.36040699626984896</v>
      </c>
      <c r="AM6" s="327">
        <v>0.02055251673539479</v>
      </c>
      <c r="AN6" s="231">
        <v>0.0024655908298196246</v>
      </c>
      <c r="AO6" s="230">
        <v>0.00777631030959288</v>
      </c>
      <c r="AP6" s="231">
        <v>0.0019727980486108454</v>
      </c>
      <c r="AQ6" s="327">
        <v>0.014565003159050582</v>
      </c>
      <c r="AR6" s="231">
        <v>0.014009219562772868</v>
      </c>
      <c r="AS6" s="230">
        <v>0.0074432859987824465</v>
      </c>
      <c r="AT6" s="231">
        <v>0.0005367722471764067</v>
      </c>
      <c r="AU6" s="327">
        <v>0.014919512333402099</v>
      </c>
      <c r="AV6" s="231">
        <v>0.008499753021567143</v>
      </c>
      <c r="AW6" s="319"/>
      <c r="AX6" s="320"/>
      <c r="AY6" s="327">
        <v>2.0860924863577877</v>
      </c>
      <c r="AZ6" s="231">
        <v>0.3073186335067042</v>
      </c>
      <c r="BA6" s="230">
        <v>5.185431327639566E-05</v>
      </c>
      <c r="BB6" s="231">
        <v>1.2310197784925203E-05</v>
      </c>
      <c r="BC6" s="327">
        <v>0.05400283268516457</v>
      </c>
      <c r="BD6" s="231">
        <v>0.009371428214696914</v>
      </c>
      <c r="BE6" s="318">
        <v>2.316237450609797</v>
      </c>
      <c r="BF6" s="231">
        <v>0.3095534712304738</v>
      </c>
      <c r="BG6" s="230">
        <v>0.0021385177647392766</v>
      </c>
      <c r="BH6" s="231">
        <v>0.0003786155326319995</v>
      </c>
      <c r="BI6" s="327">
        <v>0.024585018540912617</v>
      </c>
      <c r="BJ6" s="231">
        <v>0.004877197004477103</v>
      </c>
      <c r="BK6" s="230">
        <v>5.326395870486</v>
      </c>
      <c r="BL6" s="231">
        <v>0.9514549137300049</v>
      </c>
      <c r="BM6" s="327">
        <v>0.11308493513655186</v>
      </c>
      <c r="BN6" s="231">
        <v>0.02077005856291642</v>
      </c>
      <c r="BO6" s="230">
        <v>0.1308477427240521</v>
      </c>
      <c r="BP6" s="231">
        <v>0.015383521042912253</v>
      </c>
      <c r="BQ6" s="327">
        <v>0.030617812767490437</v>
      </c>
      <c r="BR6" s="231">
        <v>0.0041335358467621975</v>
      </c>
      <c r="BS6" s="230">
        <v>0.013851620437929826</v>
      </c>
      <c r="BT6" s="231">
        <v>0.001091529027573617</v>
      </c>
      <c r="BU6" s="327">
        <v>0.025050843185522975</v>
      </c>
      <c r="BV6" s="231">
        <v>0.0037406011047852687</v>
      </c>
      <c r="BW6" s="230">
        <v>0.004514912671341682</v>
      </c>
      <c r="BX6" s="231">
        <v>0.0020105060392359374</v>
      </c>
      <c r="BY6" s="327">
        <v>0.033315050104074845</v>
      </c>
      <c r="BZ6" s="231">
        <v>0.008539662190362056</v>
      </c>
      <c r="CA6" s="230">
        <v>0.00025391628922641715</v>
      </c>
      <c r="CB6" s="231">
        <v>3.434469587504291E-05</v>
      </c>
      <c r="CC6" s="327">
        <v>0.04663994856186659</v>
      </c>
      <c r="CD6" s="326">
        <v>0.008147548918135272</v>
      </c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</row>
    <row r="7" spans="1:99" s="57" customFormat="1" ht="12.75">
      <c r="A7" s="35" t="s">
        <v>218</v>
      </c>
      <c r="B7" s="105" t="s">
        <v>214</v>
      </c>
      <c r="C7" s="105" t="s">
        <v>215</v>
      </c>
      <c r="D7" s="223">
        <v>251510.47546358485</v>
      </c>
      <c r="E7" s="356">
        <v>0.1793216091182254</v>
      </c>
      <c r="F7" s="231">
        <v>0.10014470639269055</v>
      </c>
      <c r="G7" s="230">
        <v>0.004451943964944386</v>
      </c>
      <c r="H7" s="231">
        <v>0.00038301138988555266</v>
      </c>
      <c r="I7" s="230">
        <v>0.046897008947967334</v>
      </c>
      <c r="J7" s="231">
        <v>0.02647116895754825</v>
      </c>
      <c r="K7" s="230">
        <v>0.013881336187584387</v>
      </c>
      <c r="L7" s="231">
        <v>0.007803029925559883</v>
      </c>
      <c r="M7" s="230">
        <v>0.0248486305694296</v>
      </c>
      <c r="N7" s="231">
        <v>0.003862594447505546</v>
      </c>
      <c r="O7" s="230">
        <v>0.0054775412643994735</v>
      </c>
      <c r="P7" s="231">
        <v>0.0020227662371893065</v>
      </c>
      <c r="Q7" s="230">
        <v>0.0020763528967108202</v>
      </c>
      <c r="R7" s="231">
        <v>0.0012533863701454724</v>
      </c>
      <c r="S7" s="230">
        <v>0.01293839402384344</v>
      </c>
      <c r="T7" s="231">
        <v>0.0009010358896132795</v>
      </c>
      <c r="U7" s="230">
        <v>0</v>
      </c>
      <c r="V7" s="231">
        <v>0</v>
      </c>
      <c r="W7" s="319"/>
      <c r="X7" s="320"/>
      <c r="Y7" s="231">
        <v>0.00541327593848055</v>
      </c>
      <c r="Z7" s="231">
        <v>0.0002778104170682882</v>
      </c>
      <c r="AA7" s="230">
        <v>0.0004169269400894785</v>
      </c>
      <c r="AB7" s="231">
        <v>0.00031039457893457153</v>
      </c>
      <c r="AC7" s="230">
        <v>0.00010457319471880201</v>
      </c>
      <c r="AD7" s="326">
        <v>5.37319536670057E-05</v>
      </c>
      <c r="AE7" s="327">
        <v>7.402847821669319</v>
      </c>
      <c r="AF7" s="231">
        <v>1.5886696777651532</v>
      </c>
      <c r="AG7" s="230">
        <v>0.0020682664232835254</v>
      </c>
      <c r="AH7" s="231">
        <v>0.00012939663645855035</v>
      </c>
      <c r="AI7" s="327">
        <v>0.042614114052125014</v>
      </c>
      <c r="AJ7" s="231">
        <v>0.041483731380185664</v>
      </c>
      <c r="AK7" s="230">
        <v>4.769941839471193</v>
      </c>
      <c r="AL7" s="231">
        <v>1.0936699099658198</v>
      </c>
      <c r="AM7" s="327">
        <v>0.023898085299855803</v>
      </c>
      <c r="AN7" s="231">
        <v>0.003002811542934001</v>
      </c>
      <c r="AO7" s="230">
        <v>0.026248102087199413</v>
      </c>
      <c r="AP7" s="231">
        <v>0.01077965158158288</v>
      </c>
      <c r="AQ7" s="327">
        <v>0.012528026089803301</v>
      </c>
      <c r="AR7" s="231">
        <v>0.01650979347091857</v>
      </c>
      <c r="AS7" s="230">
        <v>0.010337671369746278</v>
      </c>
      <c r="AT7" s="231">
        <v>0.0012313431712134303</v>
      </c>
      <c r="AU7" s="327">
        <v>0.028642663756087587</v>
      </c>
      <c r="AV7" s="231">
        <v>0.022423678029402674</v>
      </c>
      <c r="AW7" s="319"/>
      <c r="AX7" s="320"/>
      <c r="AY7" s="327">
        <v>1.5459699245040701</v>
      </c>
      <c r="AZ7" s="231">
        <v>0.25831240642751874</v>
      </c>
      <c r="BA7" s="230">
        <v>0.0001151440930667263</v>
      </c>
      <c r="BB7" s="231">
        <v>4.8837115744046915E-05</v>
      </c>
      <c r="BC7" s="327">
        <v>0.12829561746318158</v>
      </c>
      <c r="BD7" s="231">
        <v>0.03999809821794768</v>
      </c>
      <c r="BE7" s="318">
        <v>3.2354335193394075</v>
      </c>
      <c r="BF7" s="231">
        <v>1.0953788362401229</v>
      </c>
      <c r="BG7" s="230">
        <v>0.003494148565932598</v>
      </c>
      <c r="BH7" s="231">
        <v>0.0017422738257773162</v>
      </c>
      <c r="BI7" s="327">
        <v>0.031036874810359678</v>
      </c>
      <c r="BJ7" s="231">
        <v>0.013611797342621225</v>
      </c>
      <c r="BK7" s="230">
        <v>10.297635813635791</v>
      </c>
      <c r="BL7" s="231">
        <v>6.602707008913066</v>
      </c>
      <c r="BM7" s="327">
        <v>0.2531619248867776</v>
      </c>
      <c r="BN7" s="231">
        <v>0.20094794940011948</v>
      </c>
      <c r="BO7" s="230">
        <v>0.37938781194415666</v>
      </c>
      <c r="BP7" s="231">
        <v>0.19878606267027324</v>
      </c>
      <c r="BQ7" s="327">
        <v>0.09313462397366418</v>
      </c>
      <c r="BR7" s="231">
        <v>0.09738164493189114</v>
      </c>
      <c r="BS7" s="230">
        <v>0.017069181379481435</v>
      </c>
      <c r="BT7" s="231">
        <v>0.0008225033244244205</v>
      </c>
      <c r="BU7" s="327">
        <v>0.058631788090701666</v>
      </c>
      <c r="BV7" s="231">
        <v>0.0341806677034047</v>
      </c>
      <c r="BW7" s="230">
        <v>0.015027986024399578</v>
      </c>
      <c r="BX7" s="231">
        <v>0.017228610218633495</v>
      </c>
      <c r="BY7" s="327">
        <v>0.06151612809170546</v>
      </c>
      <c r="BZ7" s="231">
        <v>0.027513861184960645</v>
      </c>
      <c r="CA7" s="230">
        <v>0.00039761075311287795</v>
      </c>
      <c r="CB7" s="231">
        <v>0.00012280574191793358</v>
      </c>
      <c r="CC7" s="327">
        <v>0.13343119313117452</v>
      </c>
      <c r="CD7" s="326">
        <v>0.08454122455428181</v>
      </c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</row>
    <row r="8" spans="1:99" s="57" customFormat="1" ht="12.75">
      <c r="A8" s="35" t="s">
        <v>219</v>
      </c>
      <c r="B8" s="105" t="s">
        <v>214</v>
      </c>
      <c r="C8" s="105" t="s">
        <v>215</v>
      </c>
      <c r="D8" s="223">
        <v>436379.56150115194</v>
      </c>
      <c r="E8" s="356">
        <v>0.02808616532097323</v>
      </c>
      <c r="F8" s="231">
        <v>0.012624661274225893</v>
      </c>
      <c r="G8" s="230">
        <v>0.005228696063960979</v>
      </c>
      <c r="H8" s="231">
        <v>0.0020688761289426286</v>
      </c>
      <c r="I8" s="230">
        <v>0.09961134340336271</v>
      </c>
      <c r="J8" s="231">
        <v>0.12740097302259218</v>
      </c>
      <c r="K8" s="230">
        <v>0.00550421135278592</v>
      </c>
      <c r="L8" s="231">
        <v>0.0033536962842456866</v>
      </c>
      <c r="M8" s="230">
        <v>0.017629842342145822</v>
      </c>
      <c r="N8" s="231">
        <v>0.005835157634519893</v>
      </c>
      <c r="O8" s="230">
        <v>0.004588052430307643</v>
      </c>
      <c r="P8" s="231">
        <v>0.003628370710957582</v>
      </c>
      <c r="Q8" s="230">
        <v>0.004350424369555283</v>
      </c>
      <c r="R8" s="231">
        <v>0.0027331975858522115</v>
      </c>
      <c r="S8" s="230">
        <v>0.013083485526910523</v>
      </c>
      <c r="T8" s="231">
        <v>0.0044990938271700755</v>
      </c>
      <c r="U8" s="230">
        <v>0.00026701946770253047</v>
      </c>
      <c r="V8" s="231">
        <v>0.0004624912846707797</v>
      </c>
      <c r="W8" s="319"/>
      <c r="X8" s="320"/>
      <c r="Y8" s="231">
        <v>0.0030348494637974697</v>
      </c>
      <c r="Z8" s="231">
        <v>0.0031932600563124385</v>
      </c>
      <c r="AA8" s="230">
        <v>0.0008414036493888978</v>
      </c>
      <c r="AB8" s="231">
        <v>0.0010947213036149915</v>
      </c>
      <c r="AC8" s="230">
        <v>0.0001754794824983251</v>
      </c>
      <c r="AD8" s="326">
        <v>0.0001960181866919032</v>
      </c>
      <c r="AE8" s="327">
        <v>3.7391765151451755</v>
      </c>
      <c r="AF8" s="231">
        <v>2.1786479253975974</v>
      </c>
      <c r="AG8" s="230">
        <v>0.002722267436944087</v>
      </c>
      <c r="AH8" s="231">
        <v>0.0010951882996308887</v>
      </c>
      <c r="AI8" s="327">
        <v>0.13838239323244175</v>
      </c>
      <c r="AJ8" s="231">
        <v>0.09292801673949472</v>
      </c>
      <c r="AK8" s="230">
        <v>3.9788142591760827</v>
      </c>
      <c r="AL8" s="231">
        <v>0.9958416695817669</v>
      </c>
      <c r="AM8" s="327">
        <v>0.025948376267893286</v>
      </c>
      <c r="AN8" s="231">
        <v>0.003315275411935297</v>
      </c>
      <c r="AO8" s="230">
        <v>0.038380509866194</v>
      </c>
      <c r="AP8" s="231">
        <v>0.029229864136227718</v>
      </c>
      <c r="AQ8" s="327">
        <v>0.05279052743928853</v>
      </c>
      <c r="AR8" s="231">
        <v>0.03167194641612101</v>
      </c>
      <c r="AS8" s="230">
        <v>0.01173923487944322</v>
      </c>
      <c r="AT8" s="231">
        <v>0.0018902914564547153</v>
      </c>
      <c r="AU8" s="327">
        <v>0.08645639935269604</v>
      </c>
      <c r="AV8" s="231">
        <v>0.06314114093344873</v>
      </c>
      <c r="AW8" s="319"/>
      <c r="AX8" s="320"/>
      <c r="AY8" s="327">
        <v>0.6401514528778067</v>
      </c>
      <c r="AZ8" s="231">
        <v>0.31037492902039177</v>
      </c>
      <c r="BA8" s="230">
        <v>0.00034201807844256123</v>
      </c>
      <c r="BB8" s="231">
        <v>0.00015091464104941238</v>
      </c>
      <c r="BC8" s="327">
        <v>0.14753170209401115</v>
      </c>
      <c r="BD8" s="231">
        <v>0.028982231225101098</v>
      </c>
      <c r="BE8" s="318">
        <v>2.8371235116866207</v>
      </c>
      <c r="BF8" s="231">
        <v>0.18085681824167768</v>
      </c>
      <c r="BG8" s="230">
        <v>0.004240101441372351</v>
      </c>
      <c r="BH8" s="231">
        <v>0.0014093576269306647</v>
      </c>
      <c r="BI8" s="327">
        <v>0.044898349631676465</v>
      </c>
      <c r="BJ8" s="231">
        <v>0.00812955594091536</v>
      </c>
      <c r="BK8" s="230">
        <v>8.250315149781422</v>
      </c>
      <c r="BL8" s="231">
        <v>0.5282876844071346</v>
      </c>
      <c r="BM8" s="327">
        <v>0.21662974224190426</v>
      </c>
      <c r="BN8" s="231">
        <v>0.08282626918912878</v>
      </c>
      <c r="BO8" s="230">
        <v>0.4239242346892134</v>
      </c>
      <c r="BP8" s="231">
        <v>0.1665430295412023</v>
      </c>
      <c r="BQ8" s="327">
        <v>0.061651425821650396</v>
      </c>
      <c r="BR8" s="231">
        <v>0.024376584953695345</v>
      </c>
      <c r="BS8" s="230">
        <v>0.019231365299670993</v>
      </c>
      <c r="BT8" s="231">
        <v>0.0012301838016987694</v>
      </c>
      <c r="BU8" s="327">
        <v>0.05363239433391979</v>
      </c>
      <c r="BV8" s="231">
        <v>0.012904058395320833</v>
      </c>
      <c r="BW8" s="230">
        <v>0.010813139114274305</v>
      </c>
      <c r="BX8" s="231">
        <v>0.0018411742571240112</v>
      </c>
      <c r="BY8" s="327">
        <v>0.055127131104209415</v>
      </c>
      <c r="BZ8" s="231">
        <v>0.015873151882380046</v>
      </c>
      <c r="CA8" s="230">
        <v>0.000545950402354492</v>
      </c>
      <c r="CB8" s="231">
        <v>2.2869811659919604E-05</v>
      </c>
      <c r="CC8" s="327">
        <v>0.15380904603417833</v>
      </c>
      <c r="CD8" s="326">
        <v>0.01605616410948682</v>
      </c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</row>
    <row r="9" spans="1:99" s="57" customFormat="1" ht="12.75">
      <c r="A9" s="35" t="s">
        <v>220</v>
      </c>
      <c r="B9" s="105" t="s">
        <v>214</v>
      </c>
      <c r="C9" s="105" t="s">
        <v>215</v>
      </c>
      <c r="D9" s="223">
        <v>404956.1206563472</v>
      </c>
      <c r="E9" s="356">
        <v>0.048070556921604814</v>
      </c>
      <c r="F9" s="231">
        <v>0.017740663634660207</v>
      </c>
      <c r="G9" s="230">
        <v>0.00326906024654677</v>
      </c>
      <c r="H9" s="231">
        <v>0.0010739577388889064</v>
      </c>
      <c r="I9" s="230">
        <v>0.031678104578541665</v>
      </c>
      <c r="J9" s="231">
        <v>0.009909239509100028</v>
      </c>
      <c r="K9" s="230">
        <v>0.01218266199214843</v>
      </c>
      <c r="L9" s="231">
        <v>0.004079852641338819</v>
      </c>
      <c r="M9" s="230">
        <v>0.016412749206477686</v>
      </c>
      <c r="N9" s="231">
        <v>0.0013874525578906817</v>
      </c>
      <c r="O9" s="230">
        <v>0.0032166628140618443</v>
      </c>
      <c r="P9" s="231">
        <v>0.0005711061197139016</v>
      </c>
      <c r="Q9" s="230">
        <v>0.014384232919937989</v>
      </c>
      <c r="R9" s="231">
        <v>0.006859865464325306</v>
      </c>
      <c r="S9" s="230">
        <v>0.014326994430124612</v>
      </c>
      <c r="T9" s="231">
        <v>0.0029379468303322442</v>
      </c>
      <c r="U9" s="230">
        <v>0.0017174716889077491</v>
      </c>
      <c r="V9" s="231">
        <v>0.00030925303952360943</v>
      </c>
      <c r="W9" s="319"/>
      <c r="X9" s="320"/>
      <c r="Y9" s="231">
        <v>0.004658365287041512</v>
      </c>
      <c r="Z9" s="231">
        <v>0.0005869726515993537</v>
      </c>
      <c r="AA9" s="230">
        <v>0.00017524689860112463</v>
      </c>
      <c r="AB9" s="231">
        <v>2.973479597801875E-05</v>
      </c>
      <c r="AC9" s="230">
        <v>0.0003459526805473408</v>
      </c>
      <c r="AD9" s="326">
        <v>0.00010144692952300738</v>
      </c>
      <c r="AE9" s="327">
        <v>4.842830496988862</v>
      </c>
      <c r="AF9" s="231">
        <v>1.447826908931749</v>
      </c>
      <c r="AG9" s="230">
        <v>0.0037445422491403633</v>
      </c>
      <c r="AH9" s="231">
        <v>0.0027577042578233414</v>
      </c>
      <c r="AI9" s="327">
        <v>0.2444171635893863</v>
      </c>
      <c r="AJ9" s="231">
        <v>0.1354832992146702</v>
      </c>
      <c r="AK9" s="230">
        <v>4.505227471186809</v>
      </c>
      <c r="AL9" s="231">
        <v>0.6309249998912664</v>
      </c>
      <c r="AM9" s="327">
        <v>0.03432207396950175</v>
      </c>
      <c r="AN9" s="231">
        <v>0.014756970995987424</v>
      </c>
      <c r="AO9" s="230">
        <v>0.05957029158703427</v>
      </c>
      <c r="AP9" s="231">
        <v>0.03560621378030746</v>
      </c>
      <c r="AQ9" s="327">
        <v>0.30271819393982435</v>
      </c>
      <c r="AR9" s="231">
        <v>0.2968457172234076</v>
      </c>
      <c r="AS9" s="230">
        <v>0.010450403205318367</v>
      </c>
      <c r="AT9" s="231">
        <v>0.0010245219573258154</v>
      </c>
      <c r="AU9" s="327">
        <v>0.1747042854067578</v>
      </c>
      <c r="AV9" s="231">
        <v>0.08050601647078594</v>
      </c>
      <c r="AW9" s="319"/>
      <c r="AX9" s="320"/>
      <c r="AY9" s="327">
        <v>0.41832703645569536</v>
      </c>
      <c r="AZ9" s="231">
        <v>0.06128244586198282</v>
      </c>
      <c r="BA9" s="230">
        <v>0.00033393729746666607</v>
      </c>
      <c r="BB9" s="231">
        <v>0.00015667085833521245</v>
      </c>
      <c r="BC9" s="327">
        <v>0.14641242687096903</v>
      </c>
      <c r="BD9" s="231">
        <v>0.013052009721915553</v>
      </c>
      <c r="BE9" s="318">
        <v>2.142036416553245</v>
      </c>
      <c r="BF9" s="231">
        <v>0.614692640603366</v>
      </c>
      <c r="BG9" s="230">
        <v>0.00386885919198926</v>
      </c>
      <c r="BH9" s="231">
        <v>0.00163156952337634</v>
      </c>
      <c r="BI9" s="327">
        <v>0.04376140106015764</v>
      </c>
      <c r="BJ9" s="231">
        <v>0.01359352087854551</v>
      </c>
      <c r="BK9" s="230">
        <v>6.465577833671298</v>
      </c>
      <c r="BL9" s="231">
        <v>1.8861664166100496</v>
      </c>
      <c r="BM9" s="327">
        <v>0.2658795993835196</v>
      </c>
      <c r="BN9" s="231">
        <v>0.13538886843609418</v>
      </c>
      <c r="BO9" s="230">
        <v>0.4145381500116609</v>
      </c>
      <c r="BP9" s="231">
        <v>0.1765861521262834</v>
      </c>
      <c r="BQ9" s="327">
        <v>0.07652931969449715</v>
      </c>
      <c r="BR9" s="231">
        <v>0.03340051575773986</v>
      </c>
      <c r="BS9" s="230">
        <v>0.015813233544696065</v>
      </c>
      <c r="BT9" s="231">
        <v>0.0010818523338766849</v>
      </c>
      <c r="BU9" s="327">
        <v>0.03883732762545828</v>
      </c>
      <c r="BV9" s="231">
        <v>0.006296649843809737</v>
      </c>
      <c r="BW9" s="230">
        <v>0.011283283383425775</v>
      </c>
      <c r="BX9" s="231">
        <v>0.004708712034854996</v>
      </c>
      <c r="BY9" s="327">
        <v>0.05105119264944242</v>
      </c>
      <c r="BZ9" s="231">
        <v>0.005729069857675587</v>
      </c>
      <c r="CA9" s="230">
        <v>0.00043645858053925206</v>
      </c>
      <c r="CB9" s="231">
        <v>9.850883646964846E-05</v>
      </c>
      <c r="CC9" s="327">
        <v>0.1285370883307725</v>
      </c>
      <c r="CD9" s="326">
        <v>0.05589195432875872</v>
      </c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</row>
    <row r="10" spans="1:99" s="57" customFormat="1" ht="12.75">
      <c r="A10" s="35" t="s">
        <v>221</v>
      </c>
      <c r="B10" s="105" t="s">
        <v>214</v>
      </c>
      <c r="C10" s="105" t="s">
        <v>215</v>
      </c>
      <c r="D10" s="223">
        <v>533086.5909478407</v>
      </c>
      <c r="E10" s="356">
        <v>0.05028850995777807</v>
      </c>
      <c r="F10" s="231">
        <v>0.02119851025228564</v>
      </c>
      <c r="G10" s="230">
        <v>0.004337467729676712</v>
      </c>
      <c r="H10" s="231">
        <v>0.0014393929932329677</v>
      </c>
      <c r="I10" s="230">
        <v>0.09597368302438909</v>
      </c>
      <c r="J10" s="231">
        <v>0.08715439386846065</v>
      </c>
      <c r="K10" s="230">
        <v>0.01461141417886584</v>
      </c>
      <c r="L10" s="231">
        <v>0.005931929004735035</v>
      </c>
      <c r="M10" s="230">
        <v>0.02253388024695457</v>
      </c>
      <c r="N10" s="231">
        <v>0.0034977927840246295</v>
      </c>
      <c r="O10" s="230">
        <v>0.00536515327289015</v>
      </c>
      <c r="P10" s="231">
        <v>0.0043861263014922415</v>
      </c>
      <c r="Q10" s="230">
        <v>0.002172087445782511</v>
      </c>
      <c r="R10" s="231">
        <v>0.0009981924782668796</v>
      </c>
      <c r="S10" s="230">
        <v>0.009312031796959335</v>
      </c>
      <c r="T10" s="231">
        <v>0.0029213817342906862</v>
      </c>
      <c r="U10" s="230">
        <v>0.002187714916737698</v>
      </c>
      <c r="V10" s="231">
        <v>0.0002609774879326324</v>
      </c>
      <c r="W10" s="230">
        <v>0.0009427217695678034</v>
      </c>
      <c r="X10" s="231">
        <v>0.00018286509303957327</v>
      </c>
      <c r="Y10" s="231">
        <v>0.008214922946440625</v>
      </c>
      <c r="Z10" s="231">
        <v>0.003753767438550087</v>
      </c>
      <c r="AA10" s="230">
        <v>0.0007797517258479975</v>
      </c>
      <c r="AB10" s="231">
        <v>0.0007594581723121416</v>
      </c>
      <c r="AC10" s="230">
        <v>0.00020885955120644368</v>
      </c>
      <c r="AD10" s="326">
        <v>0.00011279426377134529</v>
      </c>
      <c r="AE10" s="327">
        <v>4.270972876975609</v>
      </c>
      <c r="AF10" s="231">
        <v>3.6961348982104894</v>
      </c>
      <c r="AG10" s="230">
        <v>0.0027435735553388184</v>
      </c>
      <c r="AH10" s="231">
        <v>0.0005422589006538344</v>
      </c>
      <c r="AI10" s="327">
        <v>0.12879905501488198</v>
      </c>
      <c r="AJ10" s="231">
        <v>0.028029177090185948</v>
      </c>
      <c r="AK10" s="230">
        <v>3.6434657398859294</v>
      </c>
      <c r="AL10" s="231">
        <v>0.6261075187071943</v>
      </c>
      <c r="AM10" s="327">
        <v>0.04338912379568248</v>
      </c>
      <c r="AN10" s="231">
        <v>0.015870083833640653</v>
      </c>
      <c r="AO10" s="230">
        <v>0.056613082955151564</v>
      </c>
      <c r="AP10" s="231">
        <v>0.031409197957209624</v>
      </c>
      <c r="AQ10" s="327">
        <v>0.04591715678675569</v>
      </c>
      <c r="AR10" s="231">
        <v>0.021821201656161384</v>
      </c>
      <c r="AS10" s="230">
        <v>0.011526293103769387</v>
      </c>
      <c r="AT10" s="231">
        <v>0.003203588879469996</v>
      </c>
      <c r="AU10" s="327">
        <v>0.10310649832258628</v>
      </c>
      <c r="AV10" s="231">
        <v>0.012885947543766306</v>
      </c>
      <c r="AW10" s="230">
        <v>0.0015325636373731092</v>
      </c>
      <c r="AX10" s="231">
        <v>6.188220905365595E-05</v>
      </c>
      <c r="AY10" s="327">
        <v>1.2924472442598787</v>
      </c>
      <c r="AZ10" s="231">
        <v>0.888295010681353</v>
      </c>
      <c r="BA10" s="230">
        <v>0.0003067036206926233</v>
      </c>
      <c r="BB10" s="231">
        <v>0.00019401768932872032</v>
      </c>
      <c r="BC10" s="327">
        <v>0.14174090459817695</v>
      </c>
      <c r="BD10" s="231">
        <v>0.06588644861151952</v>
      </c>
      <c r="BE10" s="318">
        <v>2.025581852823654</v>
      </c>
      <c r="BF10" s="231">
        <v>0.6645790858051343</v>
      </c>
      <c r="BG10" s="230">
        <v>0.003248855503098868</v>
      </c>
      <c r="BH10" s="231">
        <v>0.000665244616607115</v>
      </c>
      <c r="BI10" s="327">
        <v>0.03196363100646076</v>
      </c>
      <c r="BJ10" s="231">
        <v>0.01496846265599512</v>
      </c>
      <c r="BK10" s="230">
        <v>5.878548947600422</v>
      </c>
      <c r="BL10" s="231">
        <v>0.7191314567912538</v>
      </c>
      <c r="BM10" s="327">
        <v>0.2367363886768988</v>
      </c>
      <c r="BN10" s="231">
        <v>0.025745937797894573</v>
      </c>
      <c r="BO10" s="230">
        <v>0.2865670272329348</v>
      </c>
      <c r="BP10" s="231">
        <v>0.10981720990924905</v>
      </c>
      <c r="BQ10" s="327">
        <v>0.05970002519739451</v>
      </c>
      <c r="BR10" s="231">
        <v>0.017783159552968195</v>
      </c>
      <c r="BS10" s="230">
        <v>0.014526953664033643</v>
      </c>
      <c r="BT10" s="231">
        <v>0.0019435824119859806</v>
      </c>
      <c r="BU10" s="327">
        <v>0.054615577505811225</v>
      </c>
      <c r="BV10" s="231">
        <v>0.031517235069081086</v>
      </c>
      <c r="BW10" s="230">
        <v>0.010608620829135688</v>
      </c>
      <c r="BX10" s="231">
        <v>0.0025647075739655615</v>
      </c>
      <c r="BY10" s="327">
        <v>0.04115115030777667</v>
      </c>
      <c r="BZ10" s="231">
        <v>0.015509378313740043</v>
      </c>
      <c r="CA10" s="230">
        <v>0.00046399095352179853</v>
      </c>
      <c r="CB10" s="231">
        <v>0.00022408086493444607</v>
      </c>
      <c r="CC10" s="327">
        <v>0.07471965849536165</v>
      </c>
      <c r="CD10" s="326">
        <v>0.01699138919297135</v>
      </c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</row>
    <row r="11" spans="1:99" s="57" customFormat="1" ht="12.75">
      <c r="A11" s="35" t="s">
        <v>222</v>
      </c>
      <c r="B11" s="105" t="s">
        <v>214</v>
      </c>
      <c r="C11" s="105" t="s">
        <v>215</v>
      </c>
      <c r="D11" s="223">
        <v>370674.0107746914</v>
      </c>
      <c r="E11" s="356">
        <v>0.12351469425820132</v>
      </c>
      <c r="F11" s="231">
        <v>0.0030977615859574324</v>
      </c>
      <c r="G11" s="230">
        <v>0.004543357866968526</v>
      </c>
      <c r="H11" s="231">
        <v>0.0018291364980919935</v>
      </c>
      <c r="I11" s="230">
        <v>0.06549897065505257</v>
      </c>
      <c r="J11" s="231">
        <v>0.038483351100617444</v>
      </c>
      <c r="K11" s="230">
        <v>0.019599584665515413</v>
      </c>
      <c r="L11" s="231">
        <v>0.0011438396146610723</v>
      </c>
      <c r="M11" s="230">
        <v>0.02212716857277436</v>
      </c>
      <c r="N11" s="231">
        <v>0.005759748005039896</v>
      </c>
      <c r="O11" s="230">
        <v>0.004531541812527408</v>
      </c>
      <c r="P11" s="231">
        <v>0.0017893659567305086</v>
      </c>
      <c r="Q11" s="230">
        <v>0.003526732179860491</v>
      </c>
      <c r="R11" s="231">
        <v>0.003606980474035849</v>
      </c>
      <c r="S11" s="230">
        <v>0.013641976038522177</v>
      </c>
      <c r="T11" s="231">
        <v>0.0012807907006677297</v>
      </c>
      <c r="U11" s="230">
        <v>0.002287838891702809</v>
      </c>
      <c r="V11" s="231">
        <v>0.00028446472930663945</v>
      </c>
      <c r="W11" s="230">
        <v>0.0009274516421339178</v>
      </c>
      <c r="X11" s="231">
        <v>0.00019752233686899922</v>
      </c>
      <c r="Y11" s="231">
        <v>0.013657034035747683</v>
      </c>
      <c r="Z11" s="231">
        <v>0.006738982470314302</v>
      </c>
      <c r="AA11" s="230">
        <v>0.000334200168045484</v>
      </c>
      <c r="AB11" s="231">
        <v>0.00015989366403388428</v>
      </c>
      <c r="AC11" s="230">
        <v>0.00010318136280820243</v>
      </c>
      <c r="AD11" s="326">
        <v>6.0216093420993335E-06</v>
      </c>
      <c r="AE11" s="327">
        <v>7.742788337902369</v>
      </c>
      <c r="AF11" s="231">
        <v>2.19620443482175</v>
      </c>
      <c r="AG11" s="230">
        <v>0.0019349396119096376</v>
      </c>
      <c r="AH11" s="231">
        <v>0.0006338846755312103</v>
      </c>
      <c r="AI11" s="327">
        <v>0.03132952573545457</v>
      </c>
      <c r="AJ11" s="231">
        <v>0.018893508504774555</v>
      </c>
      <c r="AK11" s="230">
        <v>3.002767671960353</v>
      </c>
      <c r="AL11" s="231">
        <v>0.49754025945699115</v>
      </c>
      <c r="AM11" s="327">
        <v>0.02993194746515397</v>
      </c>
      <c r="AN11" s="231">
        <v>0.011733088142143164</v>
      </c>
      <c r="AO11" s="230">
        <v>0.0112737002609615</v>
      </c>
      <c r="AP11" s="231">
        <v>0.005111417729406613</v>
      </c>
      <c r="AQ11" s="327">
        <v>0.014913845251570083</v>
      </c>
      <c r="AR11" s="231">
        <v>0.009923635874202575</v>
      </c>
      <c r="AS11" s="230">
        <v>0.008639508575796623</v>
      </c>
      <c r="AT11" s="231">
        <v>0.0016163663707403743</v>
      </c>
      <c r="AU11" s="327">
        <v>0.04229260354006292</v>
      </c>
      <c r="AV11" s="231">
        <v>0.025666638496198022</v>
      </c>
      <c r="AW11" s="230">
        <v>0.0015697680107693425</v>
      </c>
      <c r="AX11" s="231">
        <v>0.00010579962958860183</v>
      </c>
      <c r="AY11" s="327">
        <v>1.7105059725770506</v>
      </c>
      <c r="AZ11" s="231">
        <v>0.8246797433039682</v>
      </c>
      <c r="BA11" s="230">
        <v>0.00012005962376263566</v>
      </c>
      <c r="BB11" s="231">
        <v>5.603645241228113E-05</v>
      </c>
      <c r="BC11" s="327">
        <v>0.06223693699319645</v>
      </c>
      <c r="BD11" s="231">
        <v>0.014190122680528675</v>
      </c>
      <c r="BE11" s="318">
        <v>3.6763726571345097</v>
      </c>
      <c r="BF11" s="231">
        <v>1.8348752719280819</v>
      </c>
      <c r="BG11" s="230">
        <v>0.0033366874115542482</v>
      </c>
      <c r="BH11" s="231">
        <v>0.0013686739108691674</v>
      </c>
      <c r="BI11" s="327">
        <v>0.01757632728166708</v>
      </c>
      <c r="BJ11" s="231">
        <v>0.0062036620413426745</v>
      </c>
      <c r="BK11" s="230">
        <v>7.332334467872702</v>
      </c>
      <c r="BL11" s="231">
        <v>2.7766639744035433</v>
      </c>
      <c r="BM11" s="327">
        <v>0.2643094340692927</v>
      </c>
      <c r="BN11" s="231">
        <v>0.07906614499041986</v>
      </c>
      <c r="BO11" s="230">
        <v>0.3372592343841347</v>
      </c>
      <c r="BP11" s="231">
        <v>0.1859671669899254</v>
      </c>
      <c r="BQ11" s="327">
        <v>0.050802277521156736</v>
      </c>
      <c r="BR11" s="231">
        <v>0.02074970861066327</v>
      </c>
      <c r="BS11" s="230">
        <v>0.013925184592186848</v>
      </c>
      <c r="BT11" s="231">
        <v>0.004692706448284428</v>
      </c>
      <c r="BU11" s="327">
        <v>0.0656702192653208</v>
      </c>
      <c r="BV11" s="231">
        <v>0.015146494297459276</v>
      </c>
      <c r="BW11" s="230">
        <v>0.015001717778918905</v>
      </c>
      <c r="BX11" s="231">
        <v>0.0026824865994912817</v>
      </c>
      <c r="BY11" s="327">
        <v>0.026052121501629385</v>
      </c>
      <c r="BZ11" s="231">
        <v>0.013879913095507011</v>
      </c>
      <c r="CA11" s="230">
        <v>0.0003218313261173145</v>
      </c>
      <c r="CB11" s="231">
        <v>6.817838224214188E-05</v>
      </c>
      <c r="CC11" s="327">
        <v>0.039994991828539946</v>
      </c>
      <c r="CD11" s="326">
        <v>0.018668000964419538</v>
      </c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</row>
    <row r="12" spans="1:99" s="57" customFormat="1" ht="12.75">
      <c r="A12" s="35" t="s">
        <v>223</v>
      </c>
      <c r="B12" s="105" t="s">
        <v>214</v>
      </c>
      <c r="C12" s="105" t="s">
        <v>215</v>
      </c>
      <c r="D12" s="223">
        <v>370674.0107746914</v>
      </c>
      <c r="E12" s="356">
        <v>0.12351469425820132</v>
      </c>
      <c r="F12" s="231">
        <v>0.0030977615859574324</v>
      </c>
      <c r="G12" s="230">
        <v>0.004543357866968526</v>
      </c>
      <c r="H12" s="231">
        <v>0.0018291364980919935</v>
      </c>
      <c r="I12" s="230">
        <v>0.06549897065505257</v>
      </c>
      <c r="J12" s="231">
        <v>0.038483351100617444</v>
      </c>
      <c r="K12" s="230">
        <v>0.019599584665515413</v>
      </c>
      <c r="L12" s="231">
        <v>0.0011438396146610723</v>
      </c>
      <c r="M12" s="230">
        <v>0.02212716857277436</v>
      </c>
      <c r="N12" s="231">
        <v>0.005759748005039896</v>
      </c>
      <c r="O12" s="230">
        <v>0.004531541812527408</v>
      </c>
      <c r="P12" s="231">
        <v>0.0017893659567305086</v>
      </c>
      <c r="Q12" s="230">
        <v>0.003526732179860491</v>
      </c>
      <c r="R12" s="231">
        <v>0.003606980474035849</v>
      </c>
      <c r="S12" s="230">
        <v>0.013641976038522177</v>
      </c>
      <c r="T12" s="231">
        <v>0.0012807907006677297</v>
      </c>
      <c r="U12" s="230">
        <v>0.002287838891702809</v>
      </c>
      <c r="V12" s="231">
        <v>0.00028446472930663945</v>
      </c>
      <c r="W12" s="230">
        <v>0.0009274516421339178</v>
      </c>
      <c r="X12" s="231">
        <v>0.00019752233686899922</v>
      </c>
      <c r="Y12" s="231">
        <v>0.013657034035747683</v>
      </c>
      <c r="Z12" s="231">
        <v>0.006738982470314302</v>
      </c>
      <c r="AA12" s="230">
        <v>0.000334200168045484</v>
      </c>
      <c r="AB12" s="231">
        <v>0.00015989366403388428</v>
      </c>
      <c r="AC12" s="230">
        <v>0.00010318136280820243</v>
      </c>
      <c r="AD12" s="326">
        <v>6.0216093420993335E-06</v>
      </c>
      <c r="AE12" s="327">
        <v>7.742788337902369</v>
      </c>
      <c r="AF12" s="231">
        <v>2.19620443482175</v>
      </c>
      <c r="AG12" s="230">
        <v>0.0019349396119096376</v>
      </c>
      <c r="AH12" s="231">
        <v>0.0006338846755312103</v>
      </c>
      <c r="AI12" s="327">
        <v>0.03132952573545457</v>
      </c>
      <c r="AJ12" s="231">
        <v>0.018893508504774555</v>
      </c>
      <c r="AK12" s="230">
        <v>3.002767671960353</v>
      </c>
      <c r="AL12" s="231">
        <v>0.49754025945699115</v>
      </c>
      <c r="AM12" s="327">
        <v>0.02993194746515397</v>
      </c>
      <c r="AN12" s="231">
        <v>0.011733088142143164</v>
      </c>
      <c r="AO12" s="230">
        <v>0.0112737002609615</v>
      </c>
      <c r="AP12" s="231">
        <v>0.005111417729406613</v>
      </c>
      <c r="AQ12" s="327">
        <v>0.014913845251570083</v>
      </c>
      <c r="AR12" s="231">
        <v>0.009923635874202575</v>
      </c>
      <c r="AS12" s="230">
        <v>0.008639508575796623</v>
      </c>
      <c r="AT12" s="231">
        <v>0.0016163663707403743</v>
      </c>
      <c r="AU12" s="327">
        <v>0.04229260354006292</v>
      </c>
      <c r="AV12" s="231">
        <v>0.025666638496198022</v>
      </c>
      <c r="AW12" s="230">
        <v>0.0015697680107693425</v>
      </c>
      <c r="AX12" s="231">
        <v>0.00010579962958860183</v>
      </c>
      <c r="AY12" s="327">
        <v>1.7105059725770506</v>
      </c>
      <c r="AZ12" s="231">
        <v>0.8246797433039682</v>
      </c>
      <c r="BA12" s="230">
        <v>0.00012005962376263566</v>
      </c>
      <c r="BB12" s="231">
        <v>5.603645241228113E-05</v>
      </c>
      <c r="BC12" s="327">
        <v>0.06223693699319645</v>
      </c>
      <c r="BD12" s="231">
        <v>0.014190122680528675</v>
      </c>
      <c r="BE12" s="318">
        <v>3.6763726571345097</v>
      </c>
      <c r="BF12" s="231">
        <v>1.8348752719280819</v>
      </c>
      <c r="BG12" s="230">
        <v>0.0033366874115542482</v>
      </c>
      <c r="BH12" s="231">
        <v>0.0013686739108691674</v>
      </c>
      <c r="BI12" s="327">
        <v>0.01757632728166708</v>
      </c>
      <c r="BJ12" s="231">
        <v>0.0062036620413426745</v>
      </c>
      <c r="BK12" s="230">
        <v>7.332334467872702</v>
      </c>
      <c r="BL12" s="231">
        <v>2.7766639744035433</v>
      </c>
      <c r="BM12" s="327">
        <v>0.2643094340692927</v>
      </c>
      <c r="BN12" s="231">
        <v>0.07906614499041986</v>
      </c>
      <c r="BO12" s="230">
        <v>0.3372592343841347</v>
      </c>
      <c r="BP12" s="231">
        <v>0.1859671669899254</v>
      </c>
      <c r="BQ12" s="327">
        <v>0.050802277521156736</v>
      </c>
      <c r="BR12" s="231">
        <v>0.02074970861066327</v>
      </c>
      <c r="BS12" s="230">
        <v>0.013925184592186848</v>
      </c>
      <c r="BT12" s="231">
        <v>0.004692706448284428</v>
      </c>
      <c r="BU12" s="327">
        <v>0.0656702192653208</v>
      </c>
      <c r="BV12" s="231">
        <v>0.015146494297459276</v>
      </c>
      <c r="BW12" s="230">
        <v>0.015001717778918905</v>
      </c>
      <c r="BX12" s="231">
        <v>0.0026824865994912817</v>
      </c>
      <c r="BY12" s="327">
        <v>0.026052121501629385</v>
      </c>
      <c r="BZ12" s="231">
        <v>0.013879913095507011</v>
      </c>
      <c r="CA12" s="230">
        <v>0.0003218313261173145</v>
      </c>
      <c r="CB12" s="231">
        <v>6.817838224214188E-05</v>
      </c>
      <c r="CC12" s="327">
        <v>0.039994991828539946</v>
      </c>
      <c r="CD12" s="326">
        <v>0.018668000964419538</v>
      </c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</row>
    <row r="13" spans="1:99" s="57" customFormat="1" ht="12.75">
      <c r="A13" s="35" t="s">
        <v>224</v>
      </c>
      <c r="B13" s="105" t="s">
        <v>214</v>
      </c>
      <c r="C13" s="105" t="s">
        <v>215</v>
      </c>
      <c r="D13" s="223">
        <v>309370.3915760103</v>
      </c>
      <c r="E13" s="356">
        <v>0.07329092684254186</v>
      </c>
      <c r="F13" s="231">
        <v>0.030973996038911687</v>
      </c>
      <c r="G13" s="230">
        <v>0.009670898491036842</v>
      </c>
      <c r="H13" s="231">
        <v>0.0009724808380567317</v>
      </c>
      <c r="I13" s="230">
        <v>0.07424433741948139</v>
      </c>
      <c r="J13" s="231">
        <v>0.04503027945733776</v>
      </c>
      <c r="K13" s="230">
        <v>0.009444142574793308</v>
      </c>
      <c r="L13" s="231">
        <v>0.009392925705955305</v>
      </c>
      <c r="M13" s="230">
        <v>0.03772303775890648</v>
      </c>
      <c r="N13" s="231">
        <v>0.009480850414974757</v>
      </c>
      <c r="O13" s="230">
        <v>0.005728673798558935</v>
      </c>
      <c r="P13" s="231">
        <v>0.001132469044110448</v>
      </c>
      <c r="Q13" s="230">
        <v>0.008335660047739021</v>
      </c>
      <c r="R13" s="231">
        <v>0.003642514237181416</v>
      </c>
      <c r="S13" s="230">
        <v>0.013394527739836556</v>
      </c>
      <c r="T13" s="231">
        <v>0.0024036033648367847</v>
      </c>
      <c r="U13" s="230">
        <v>0.002342683376148791</v>
      </c>
      <c r="V13" s="231">
        <v>6.732841024468335E-05</v>
      </c>
      <c r="W13" s="230">
        <v>0.001124128210450808</v>
      </c>
      <c r="X13" s="231">
        <v>0.0002084546960688451</v>
      </c>
      <c r="Y13" s="231">
        <v>0.010407667190408604</v>
      </c>
      <c r="Z13" s="231">
        <v>0.0017591981433468158</v>
      </c>
      <c r="AA13" s="230">
        <v>0.0010422372764976125</v>
      </c>
      <c r="AB13" s="231">
        <v>0.0007806191135426178</v>
      </c>
      <c r="AC13" s="230">
        <v>0.00011809488319310125</v>
      </c>
      <c r="AD13" s="326">
        <v>4.538628031459759E-06</v>
      </c>
      <c r="AE13" s="327">
        <v>6.621796285519707</v>
      </c>
      <c r="AF13" s="231">
        <v>1.1785056048734792</v>
      </c>
      <c r="AG13" s="230">
        <v>0.005138757404995371</v>
      </c>
      <c r="AH13" s="231">
        <v>0.0002983089860014065</v>
      </c>
      <c r="AI13" s="327">
        <v>0.19466384149919702</v>
      </c>
      <c r="AJ13" s="231">
        <v>0.014314171236952212</v>
      </c>
      <c r="AK13" s="230">
        <v>4.595410347115983</v>
      </c>
      <c r="AL13" s="231">
        <v>0.7715058959154018</v>
      </c>
      <c r="AM13" s="327">
        <v>0.0643290283544681</v>
      </c>
      <c r="AN13" s="231">
        <v>0.02104021380914137</v>
      </c>
      <c r="AO13" s="230">
        <v>0.11099309086213185</v>
      </c>
      <c r="AP13" s="231">
        <v>0.03731700350326775</v>
      </c>
      <c r="AQ13" s="327">
        <v>0.053622177996401926</v>
      </c>
      <c r="AR13" s="231">
        <v>0.012679687672005106</v>
      </c>
      <c r="AS13" s="230">
        <v>0.008941626549509156</v>
      </c>
      <c r="AT13" s="231">
        <v>0.0007027341121042873</v>
      </c>
      <c r="AU13" s="327">
        <v>0.20936135963028701</v>
      </c>
      <c r="AV13" s="231">
        <v>0.035292266018526315</v>
      </c>
      <c r="AW13" s="230">
        <v>0.0015803968155664386</v>
      </c>
      <c r="AX13" s="231">
        <v>0.00018836313505578772</v>
      </c>
      <c r="AY13" s="327">
        <v>1.3361879653776076</v>
      </c>
      <c r="AZ13" s="231">
        <v>0.20216038468952668</v>
      </c>
      <c r="BA13" s="230">
        <v>0.0006382577564625122</v>
      </c>
      <c r="BB13" s="231">
        <v>0.00016971429979953685</v>
      </c>
      <c r="BC13" s="327">
        <v>0.13849908652040463</v>
      </c>
      <c r="BD13" s="231">
        <v>0.021024474067046293</v>
      </c>
      <c r="BE13" s="318">
        <v>6.976588992875822</v>
      </c>
      <c r="BF13" s="231">
        <v>2.4599184953921887</v>
      </c>
      <c r="BG13" s="230">
        <v>0.018829201139147395</v>
      </c>
      <c r="BH13" s="231">
        <v>0.006254561964570625</v>
      </c>
      <c r="BI13" s="327">
        <v>0.04925456773188869</v>
      </c>
      <c r="BJ13" s="231">
        <v>0.019261605942085352</v>
      </c>
      <c r="BK13" s="230">
        <v>13.77044365279572</v>
      </c>
      <c r="BL13" s="231">
        <v>3.816152154516579</v>
      </c>
      <c r="BM13" s="327">
        <v>1.1230786483262098</v>
      </c>
      <c r="BN13" s="231">
        <v>0.5229983949755134</v>
      </c>
      <c r="BO13" s="230">
        <v>2.1768085457667383</v>
      </c>
      <c r="BP13" s="231">
        <v>0.9366752239852425</v>
      </c>
      <c r="BQ13" s="327">
        <v>0.09922155958002858</v>
      </c>
      <c r="BR13" s="231">
        <v>0.037259832932527534</v>
      </c>
      <c r="BS13" s="230">
        <v>0.022641560388847</v>
      </c>
      <c r="BT13" s="231">
        <v>0.009006075763805818</v>
      </c>
      <c r="BU13" s="327">
        <v>0.24306652024087164</v>
      </c>
      <c r="BV13" s="231">
        <v>0.053556770216821245</v>
      </c>
      <c r="BW13" s="230">
        <v>0.020046340873623635</v>
      </c>
      <c r="BX13" s="231">
        <v>0.008031510927668017</v>
      </c>
      <c r="BY13" s="327">
        <v>0.07832715171576575</v>
      </c>
      <c r="BZ13" s="231">
        <v>0.016475553598559275</v>
      </c>
      <c r="CA13" s="230">
        <v>0.0015687536016770782</v>
      </c>
      <c r="CB13" s="231">
        <v>0.00040992960535931726</v>
      </c>
      <c r="CC13" s="327">
        <v>0.17338252975856464</v>
      </c>
      <c r="CD13" s="326">
        <v>0.07870329089193344</v>
      </c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</row>
    <row r="14" spans="1:99" s="57" customFormat="1" ht="12.75">
      <c r="A14" s="35" t="s">
        <v>225</v>
      </c>
      <c r="B14" s="105" t="s">
        <v>214</v>
      </c>
      <c r="C14" s="105" t="s">
        <v>215</v>
      </c>
      <c r="D14" s="223">
        <v>591048.9850587241</v>
      </c>
      <c r="E14" s="356">
        <v>0.07099922137857623</v>
      </c>
      <c r="F14" s="231">
        <v>0.06379036186862691</v>
      </c>
      <c r="G14" s="230">
        <v>0.00479758873235808</v>
      </c>
      <c r="H14" s="231">
        <v>0.00044775098306238065</v>
      </c>
      <c r="I14" s="230">
        <v>0.028284080147182256</v>
      </c>
      <c r="J14" s="231">
        <v>0.013576016386235951</v>
      </c>
      <c r="K14" s="230">
        <v>0.01340194863806092</v>
      </c>
      <c r="L14" s="231">
        <v>0.006858267770011104</v>
      </c>
      <c r="M14" s="230">
        <v>0.018896218234804734</v>
      </c>
      <c r="N14" s="231">
        <v>0.001686507868329784</v>
      </c>
      <c r="O14" s="230">
        <v>0.0025138828585706606</v>
      </c>
      <c r="P14" s="231">
        <v>0.0012209091781536217</v>
      </c>
      <c r="Q14" s="230">
        <v>0.0013079722251430823</v>
      </c>
      <c r="R14" s="231">
        <v>0.00018315342811418603</v>
      </c>
      <c r="S14" s="230">
        <v>0.006085602376790354</v>
      </c>
      <c r="T14" s="231">
        <v>0.001063756464730845</v>
      </c>
      <c r="U14" s="230">
        <v>0.0021958731498024787</v>
      </c>
      <c r="V14" s="231">
        <v>0.0002173348029918098</v>
      </c>
      <c r="W14" s="230">
        <v>0.0009758247228399084</v>
      </c>
      <c r="X14" s="231">
        <v>0.00019717924570424232</v>
      </c>
      <c r="Y14" s="231">
        <v>0.016505661136557364</v>
      </c>
      <c r="Z14" s="231">
        <v>0.0028666447979765496</v>
      </c>
      <c r="AA14" s="230">
        <v>0.0003214132258868102</v>
      </c>
      <c r="AB14" s="231">
        <v>0.00017420398449818133</v>
      </c>
      <c r="AC14" s="230">
        <v>0.00018650870470823043</v>
      </c>
      <c r="AD14" s="326">
        <v>3.094564042648959E-05</v>
      </c>
      <c r="AE14" s="327">
        <v>7.159022886270929</v>
      </c>
      <c r="AF14" s="231">
        <v>2.072143799250288</v>
      </c>
      <c r="AG14" s="230">
        <v>0.0020516487389588755</v>
      </c>
      <c r="AH14" s="231">
        <v>0.00025297277359061563</v>
      </c>
      <c r="AI14" s="327">
        <v>0.03494734728109039</v>
      </c>
      <c r="AJ14" s="231">
        <v>0.014101683259406623</v>
      </c>
      <c r="AK14" s="230">
        <v>2.6634970285354953</v>
      </c>
      <c r="AL14" s="231">
        <v>1.5605725238738901</v>
      </c>
      <c r="AM14" s="327">
        <v>0.03024199270366791</v>
      </c>
      <c r="AN14" s="231">
        <v>0.0012403403623430444</v>
      </c>
      <c r="AO14" s="230">
        <v>0.014767660132289081</v>
      </c>
      <c r="AP14" s="231">
        <v>0.002508991870616999</v>
      </c>
      <c r="AQ14" s="327">
        <v>0.012738330253004124</v>
      </c>
      <c r="AR14" s="231">
        <v>0.009759888226478976</v>
      </c>
      <c r="AS14" s="230">
        <v>0.00863853706158523</v>
      </c>
      <c r="AT14" s="231">
        <v>0.0007966647602180474</v>
      </c>
      <c r="AU14" s="327">
        <v>0.0358564817449567</v>
      </c>
      <c r="AV14" s="231">
        <v>0.015131957308951852</v>
      </c>
      <c r="AW14" s="230">
        <v>0.0016402646572637129</v>
      </c>
      <c r="AX14" s="231">
        <v>0.00011481608666773148</v>
      </c>
      <c r="AY14" s="327">
        <v>2.2687780222739</v>
      </c>
      <c r="AZ14" s="231">
        <v>0.31130746183554303</v>
      </c>
      <c r="BA14" s="230">
        <v>0.00014097613121613817</v>
      </c>
      <c r="BB14" s="231">
        <v>2.8822169548110465E-05</v>
      </c>
      <c r="BC14" s="327">
        <v>0.06452795624707715</v>
      </c>
      <c r="BD14" s="231">
        <v>0.02159751031296191</v>
      </c>
      <c r="BE14" s="318">
        <v>2.9488649366741093</v>
      </c>
      <c r="BF14" s="231">
        <v>0.9487145880034117</v>
      </c>
      <c r="BG14" s="230">
        <v>0.00315705529059463</v>
      </c>
      <c r="BH14" s="231">
        <v>0.0009584215692148071</v>
      </c>
      <c r="BI14" s="327">
        <v>0.022814125759393556</v>
      </c>
      <c r="BJ14" s="231">
        <v>0.009175201994739215</v>
      </c>
      <c r="BK14" s="230">
        <v>5.975761516384655</v>
      </c>
      <c r="BL14" s="231">
        <v>1.4371716400912515</v>
      </c>
      <c r="BM14" s="327">
        <v>0.21557258160158876</v>
      </c>
      <c r="BN14" s="231">
        <v>0.04571470099277012</v>
      </c>
      <c r="BO14" s="230">
        <v>0.21071216645885196</v>
      </c>
      <c r="BP14" s="231">
        <v>0.06964464102789608</v>
      </c>
      <c r="BQ14" s="327">
        <v>0.045786303913746974</v>
      </c>
      <c r="BR14" s="231">
        <v>0.016835076028467573</v>
      </c>
      <c r="BS14" s="230">
        <v>0.014176830541620186</v>
      </c>
      <c r="BT14" s="231">
        <v>0.00304879015487703</v>
      </c>
      <c r="BU14" s="327">
        <v>0.05309838226834374</v>
      </c>
      <c r="BV14" s="231">
        <v>0.012747520291354678</v>
      </c>
      <c r="BW14" s="230">
        <v>0.011433262021584817</v>
      </c>
      <c r="BX14" s="231">
        <v>0.0013958598771690652</v>
      </c>
      <c r="BY14" s="327">
        <v>0.04005498105028237</v>
      </c>
      <c r="BZ14" s="231">
        <v>0.019293148893748203</v>
      </c>
      <c r="CA14" s="230">
        <v>0.00031008120818365616</v>
      </c>
      <c r="CB14" s="231">
        <v>9.177016808202608E-05</v>
      </c>
      <c r="CC14" s="327">
        <v>0.07783047348889416</v>
      </c>
      <c r="CD14" s="326">
        <v>0.014009262630781035</v>
      </c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</row>
    <row r="15" spans="1:99" s="57" customFormat="1" ht="12.75">
      <c r="A15" s="35" t="s">
        <v>226</v>
      </c>
      <c r="B15" s="105" t="s">
        <v>214</v>
      </c>
      <c r="C15" s="105" t="s">
        <v>215</v>
      </c>
      <c r="D15" s="223">
        <v>524131.6276157725</v>
      </c>
      <c r="E15" s="356">
        <v>0.03916786552833674</v>
      </c>
      <c r="F15" s="231">
        <v>0.019409061143662656</v>
      </c>
      <c r="G15" s="230">
        <v>0.00344516575294223</v>
      </c>
      <c r="H15" s="231">
        <v>0.00012469041822285067</v>
      </c>
      <c r="I15" s="230">
        <v>0.039378877977998605</v>
      </c>
      <c r="J15" s="231">
        <v>0.010730980282639004</v>
      </c>
      <c r="K15" s="230">
        <v>0.006308472976381793</v>
      </c>
      <c r="L15" s="231">
        <v>0.004589473648756931</v>
      </c>
      <c r="M15" s="230">
        <v>0.020144220595064277</v>
      </c>
      <c r="N15" s="231">
        <v>0.004169690957460167</v>
      </c>
      <c r="O15" s="230">
        <v>0.0034024131182399755</v>
      </c>
      <c r="P15" s="231">
        <v>0.0008036504323629476</v>
      </c>
      <c r="Q15" s="230">
        <v>0.004441773962380192</v>
      </c>
      <c r="R15" s="231">
        <v>0.0050083425159252485</v>
      </c>
      <c r="S15" s="230">
        <v>0.009769268230530462</v>
      </c>
      <c r="T15" s="231">
        <v>0.004690940703148089</v>
      </c>
      <c r="U15" s="230">
        <v>0.0020828432795041967</v>
      </c>
      <c r="V15" s="231">
        <v>9.635384704451979E-05</v>
      </c>
      <c r="W15" s="230">
        <v>0.0009971895761806673</v>
      </c>
      <c r="X15" s="231">
        <v>0.00019895723957052367</v>
      </c>
      <c r="Y15" s="231">
        <v>0.00939205742837685</v>
      </c>
      <c r="Z15" s="231">
        <v>0.003059373408019724</v>
      </c>
      <c r="AA15" s="230">
        <v>0.0002678354793317672</v>
      </c>
      <c r="AB15" s="231">
        <v>0.00012869184625018704</v>
      </c>
      <c r="AC15" s="230">
        <v>0.0001476023491229572</v>
      </c>
      <c r="AD15" s="326">
        <v>7.526316821485281E-05</v>
      </c>
      <c r="AE15" s="327">
        <v>5.250728075599505</v>
      </c>
      <c r="AF15" s="231">
        <v>1.04277012105686</v>
      </c>
      <c r="AG15" s="230">
        <v>0.0025213493508855303</v>
      </c>
      <c r="AH15" s="231">
        <v>0.0006455352094405452</v>
      </c>
      <c r="AI15" s="327">
        <v>0.0944566477977482</v>
      </c>
      <c r="AJ15" s="231">
        <v>0.033070383657499286</v>
      </c>
      <c r="AK15" s="230">
        <v>3.557177156538553</v>
      </c>
      <c r="AL15" s="231">
        <v>1.0498092925684055</v>
      </c>
      <c r="AM15" s="327">
        <v>0.029431443382674487</v>
      </c>
      <c r="AN15" s="231">
        <v>0.0018151115144962192</v>
      </c>
      <c r="AO15" s="230">
        <v>0.04548165972024271</v>
      </c>
      <c r="AP15" s="231">
        <v>0.006053776683583446</v>
      </c>
      <c r="AQ15" s="327">
        <v>0.06321205399745447</v>
      </c>
      <c r="AR15" s="231">
        <v>0.07202017708046288</v>
      </c>
      <c r="AS15" s="230">
        <v>0.009593371548074138</v>
      </c>
      <c r="AT15" s="231">
        <v>0.0009393943486006505</v>
      </c>
      <c r="AU15" s="327">
        <v>0.07487114600141803</v>
      </c>
      <c r="AV15" s="231">
        <v>0.014708227572663156</v>
      </c>
      <c r="AW15" s="230">
        <v>0.0015144221672244622</v>
      </c>
      <c r="AX15" s="231">
        <v>5.3205299271915365E-05</v>
      </c>
      <c r="AY15" s="327">
        <v>1.347354787582053</v>
      </c>
      <c r="AZ15" s="231">
        <v>0.30332118559669485</v>
      </c>
      <c r="BA15" s="230">
        <v>0.00024516687114178366</v>
      </c>
      <c r="BB15" s="231">
        <v>0.00013926377648113025</v>
      </c>
      <c r="BC15" s="327">
        <v>0.11168412897455123</v>
      </c>
      <c r="BD15" s="231">
        <v>0.020273223304706503</v>
      </c>
      <c r="BE15" s="318">
        <v>2.5912633567359644</v>
      </c>
      <c r="BF15" s="231">
        <v>0.34424977823305214</v>
      </c>
      <c r="BG15" s="230">
        <v>0.0037539637499282904</v>
      </c>
      <c r="BH15" s="231">
        <v>0.0006171776595907648</v>
      </c>
      <c r="BI15" s="327">
        <v>0.03504221720287674</v>
      </c>
      <c r="BJ15" s="231">
        <v>0.018830876242914508</v>
      </c>
      <c r="BK15" s="230">
        <v>7.333017302619646</v>
      </c>
      <c r="BL15" s="231">
        <v>0.45863860271882206</v>
      </c>
      <c r="BM15" s="327">
        <v>0.23617979069021633</v>
      </c>
      <c r="BN15" s="231">
        <v>0.04915418827970425</v>
      </c>
      <c r="BO15" s="230">
        <v>0.42205086048989043</v>
      </c>
      <c r="BP15" s="231">
        <v>0.13177162434561673</v>
      </c>
      <c r="BQ15" s="327">
        <v>0.07642867777553193</v>
      </c>
      <c r="BR15" s="231">
        <v>0.01775986869290332</v>
      </c>
      <c r="BS15" s="230">
        <v>0.013912709622048472</v>
      </c>
      <c r="BT15" s="231">
        <v>0.0027923119843268657</v>
      </c>
      <c r="BU15" s="327">
        <v>0.09249005049172897</v>
      </c>
      <c r="BV15" s="231">
        <v>0.00619848917136239</v>
      </c>
      <c r="BW15" s="230">
        <v>0.009876689710541958</v>
      </c>
      <c r="BX15" s="231">
        <v>0.0012526228608663776</v>
      </c>
      <c r="BY15" s="327">
        <v>0.038560388723127816</v>
      </c>
      <c r="BZ15" s="231">
        <v>0.0017499824116991667</v>
      </c>
      <c r="CA15" s="230">
        <v>0.0005077223778788422</v>
      </c>
      <c r="CB15" s="231">
        <v>0.0001055830700419282</v>
      </c>
      <c r="CC15" s="327">
        <v>0.11472741407496435</v>
      </c>
      <c r="CD15" s="326">
        <v>0.014384736372002303</v>
      </c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</row>
    <row r="16" spans="1:99" s="57" customFormat="1" ht="12.75">
      <c r="A16" s="35" t="s">
        <v>15</v>
      </c>
      <c r="B16" s="105" t="s">
        <v>214</v>
      </c>
      <c r="C16" s="105" t="s">
        <v>215</v>
      </c>
      <c r="D16" s="223">
        <v>224481.0614188784</v>
      </c>
      <c r="E16" s="356">
        <v>0.2388642752552491</v>
      </c>
      <c r="F16" s="231">
        <v>0.07615203182740127</v>
      </c>
      <c r="G16" s="230">
        <v>0.011318358792987959</v>
      </c>
      <c r="H16" s="231">
        <v>0.005850217823233112</v>
      </c>
      <c r="I16" s="230">
        <v>0.09991583903113693</v>
      </c>
      <c r="J16" s="231">
        <v>0.05191463418970798</v>
      </c>
      <c r="K16" s="230">
        <v>0.1940140081552305</v>
      </c>
      <c r="L16" s="231">
        <v>0.06441522130889582</v>
      </c>
      <c r="M16" s="230">
        <v>0.03954053646123994</v>
      </c>
      <c r="N16" s="231">
        <v>0.02233873779776483</v>
      </c>
      <c r="O16" s="230">
        <v>0.02260745162687586</v>
      </c>
      <c r="P16" s="231">
        <v>0.01450481614784926</v>
      </c>
      <c r="Q16" s="230">
        <v>0.0022919216476460073</v>
      </c>
      <c r="R16" s="231">
        <v>0.0007304306968323</v>
      </c>
      <c r="S16" s="230">
        <v>0.011462421863959299</v>
      </c>
      <c r="T16" s="231">
        <v>0.0029211207686334092</v>
      </c>
      <c r="U16" s="230">
        <v>0.005117591671267422</v>
      </c>
      <c r="V16" s="231">
        <v>0.0013663332082707376</v>
      </c>
      <c r="W16" s="230">
        <v>0.0013003395909055887</v>
      </c>
      <c r="X16" s="231">
        <v>0.0002959348107750088</v>
      </c>
      <c r="Y16" s="231">
        <v>0.0303433773811627</v>
      </c>
      <c r="Z16" s="231">
        <v>0.0295086211452598</v>
      </c>
      <c r="AA16" s="230">
        <v>0.0018988234659935456</v>
      </c>
      <c r="AB16" s="231">
        <v>0.0007169024002671396</v>
      </c>
      <c r="AC16" s="230">
        <v>0.008025722992986052</v>
      </c>
      <c r="AD16" s="326">
        <v>0.00420980314829518</v>
      </c>
      <c r="AE16" s="327">
        <v>5.375491140977323</v>
      </c>
      <c r="AF16" s="231">
        <v>2.145903162982991</v>
      </c>
      <c r="AG16" s="230">
        <v>0.0075317647788344395</v>
      </c>
      <c r="AH16" s="231">
        <v>0.0013639846338518885</v>
      </c>
      <c r="AI16" s="327">
        <v>0.521428112856613</v>
      </c>
      <c r="AJ16" s="231">
        <v>0.14387903381066156</v>
      </c>
      <c r="AK16" s="230">
        <v>7.686905498969594</v>
      </c>
      <c r="AL16" s="231">
        <v>1.4520262475857604</v>
      </c>
      <c r="AM16" s="327">
        <v>0.06686577407315786</v>
      </c>
      <c r="AN16" s="231">
        <v>0.025742677659123803</v>
      </c>
      <c r="AO16" s="230">
        <v>0.3113419247798367</v>
      </c>
      <c r="AP16" s="231">
        <v>0.07562792712878291</v>
      </c>
      <c r="AQ16" s="327">
        <v>0.023486050163968538</v>
      </c>
      <c r="AR16" s="231">
        <v>0.004952458559176743</v>
      </c>
      <c r="AS16" s="230">
        <v>0.014224655653169885</v>
      </c>
      <c r="AT16" s="231">
        <v>0.0018253114992365206</v>
      </c>
      <c r="AU16" s="327">
        <v>0.3447967045533992</v>
      </c>
      <c r="AV16" s="231">
        <v>0.10888987911050384</v>
      </c>
      <c r="AW16" s="230">
        <v>0.0032731271902482935</v>
      </c>
      <c r="AX16" s="231">
        <v>0.0001803602900041354</v>
      </c>
      <c r="AY16" s="327">
        <v>1.3305158354780056</v>
      </c>
      <c r="AZ16" s="231">
        <v>0.1255946986403671</v>
      </c>
      <c r="BA16" s="230">
        <v>0.0016868704217963503</v>
      </c>
      <c r="BB16" s="231">
        <v>0.0003947010599913911</v>
      </c>
      <c r="BC16" s="327">
        <v>0.354065575983412</v>
      </c>
      <c r="BD16" s="231">
        <v>0.07367730022818182</v>
      </c>
      <c r="BE16" s="318">
        <v>3.1089375603526643</v>
      </c>
      <c r="BF16" s="231">
        <v>0.9699999344963609</v>
      </c>
      <c r="BG16" s="230">
        <v>0.013351239435747975</v>
      </c>
      <c r="BH16" s="231">
        <v>0.005026434412309337</v>
      </c>
      <c r="BI16" s="327">
        <v>0.0601598729421052</v>
      </c>
      <c r="BJ16" s="231">
        <v>0.005033020257514433</v>
      </c>
      <c r="BK16" s="230">
        <v>5.661768002555573</v>
      </c>
      <c r="BL16" s="231">
        <v>1.0680943895406874</v>
      </c>
      <c r="BM16" s="327">
        <v>0.5494090283518241</v>
      </c>
      <c r="BN16" s="231">
        <v>0.27185953692149284</v>
      </c>
      <c r="BO16" s="230">
        <v>0.9226939608286912</v>
      </c>
      <c r="BP16" s="231">
        <v>0.34662595530846174</v>
      </c>
      <c r="BQ16" s="327">
        <v>0.047878708360906276</v>
      </c>
      <c r="BR16" s="231">
        <v>0.015018987814511671</v>
      </c>
      <c r="BS16" s="230">
        <v>0.015473277500842863</v>
      </c>
      <c r="BT16" s="231">
        <v>0.0025749720238576793</v>
      </c>
      <c r="BU16" s="327">
        <v>0.09287007470315818</v>
      </c>
      <c r="BV16" s="231">
        <v>0.025995397049164832</v>
      </c>
      <c r="BW16" s="230">
        <v>0.008741406843057744</v>
      </c>
      <c r="BX16" s="231">
        <v>0.0033464575147331152</v>
      </c>
      <c r="BY16" s="327">
        <v>0.06247679989623204</v>
      </c>
      <c r="BZ16" s="231">
        <v>0.03236640831886314</v>
      </c>
      <c r="CA16" s="230">
        <v>0.000643254146248523</v>
      </c>
      <c r="CB16" s="231">
        <v>0.00011942791008463655</v>
      </c>
      <c r="CC16" s="327">
        <v>0.182291968067245</v>
      </c>
      <c r="CD16" s="326">
        <v>0.046448227518535445</v>
      </c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</row>
    <row r="17" spans="1:99" s="266" customFormat="1" ht="12.75">
      <c r="A17" s="35" t="s">
        <v>227</v>
      </c>
      <c r="B17" s="105" t="s">
        <v>214</v>
      </c>
      <c r="C17" s="105" t="s">
        <v>215</v>
      </c>
      <c r="D17" s="223">
        <v>628031.8852991484</v>
      </c>
      <c r="E17" s="356">
        <v>0.046933389076434275</v>
      </c>
      <c r="F17" s="231">
        <v>0.014086892108372561</v>
      </c>
      <c r="G17" s="230">
        <v>0.017316773741793443</v>
      </c>
      <c r="H17" s="231">
        <v>0.010996466390118316</v>
      </c>
      <c r="I17" s="230">
        <v>0.2084830025751018</v>
      </c>
      <c r="J17" s="231">
        <v>0.15864951244106484</v>
      </c>
      <c r="K17" s="230">
        <v>0.04087323446139758</v>
      </c>
      <c r="L17" s="231">
        <v>0.040300653571036606</v>
      </c>
      <c r="M17" s="230">
        <v>0.032910634231133024</v>
      </c>
      <c r="N17" s="231">
        <v>0.014167268700629915</v>
      </c>
      <c r="O17" s="230">
        <v>0.03594919470179645</v>
      </c>
      <c r="P17" s="231">
        <v>0.03274908217513482</v>
      </c>
      <c r="Q17" s="230">
        <v>0.002256190595919484</v>
      </c>
      <c r="R17" s="231">
        <v>0.0015204931405849859</v>
      </c>
      <c r="S17" s="230">
        <v>0.009930992358389226</v>
      </c>
      <c r="T17" s="231">
        <v>0.00371491911471468</v>
      </c>
      <c r="U17" s="230">
        <v>0.004085759424720395</v>
      </c>
      <c r="V17" s="231">
        <v>0.0024665528931976546</v>
      </c>
      <c r="W17" s="230">
        <v>0.0007560565280394718</v>
      </c>
      <c r="X17" s="231">
        <v>4.807249979635392E-05</v>
      </c>
      <c r="Y17" s="231">
        <v>0.02965869729642856</v>
      </c>
      <c r="Z17" s="231">
        <v>0.02622342605873583</v>
      </c>
      <c r="AA17" s="230">
        <v>0.002971141465153733</v>
      </c>
      <c r="AB17" s="231">
        <v>0.0023547358698791884</v>
      </c>
      <c r="AC17" s="230">
        <v>0.0016684265714027684</v>
      </c>
      <c r="AD17" s="326">
        <v>0.0016608033428466922</v>
      </c>
      <c r="AE17" s="327">
        <v>3.514057620245006</v>
      </c>
      <c r="AF17" s="231">
        <v>3.124357358828293</v>
      </c>
      <c r="AG17" s="230">
        <v>0.005729282174058821</v>
      </c>
      <c r="AH17" s="231">
        <v>0.003853083906274604</v>
      </c>
      <c r="AI17" s="327">
        <v>0.5284659973811151</v>
      </c>
      <c r="AJ17" s="231">
        <v>0.7071889387716708</v>
      </c>
      <c r="AK17" s="230">
        <v>2.3832000466423517</v>
      </c>
      <c r="AL17" s="231">
        <v>0.6003343630326755</v>
      </c>
      <c r="AM17" s="327">
        <v>0.10042260194262279</v>
      </c>
      <c r="AN17" s="231">
        <v>0.10370352918957672</v>
      </c>
      <c r="AO17" s="230">
        <v>0.21902251000410367</v>
      </c>
      <c r="AP17" s="231">
        <v>0.22547092456807752</v>
      </c>
      <c r="AQ17" s="327">
        <v>0.050263678196666134</v>
      </c>
      <c r="AR17" s="231">
        <v>0.069867280325178</v>
      </c>
      <c r="AS17" s="230">
        <v>0.013581996328107079</v>
      </c>
      <c r="AT17" s="231">
        <v>0.006712384349961442</v>
      </c>
      <c r="AU17" s="327">
        <v>0.2411044341018629</v>
      </c>
      <c r="AV17" s="231">
        <v>0.2821343823395991</v>
      </c>
      <c r="AW17" s="230">
        <v>0.0023472589593630895</v>
      </c>
      <c r="AX17" s="231">
        <v>0.0007107457094167723</v>
      </c>
      <c r="AY17" s="327">
        <v>1.4443643860533184</v>
      </c>
      <c r="AZ17" s="231">
        <v>0.7754259859164814</v>
      </c>
      <c r="BA17" s="230">
        <v>0.0010434048024705856</v>
      </c>
      <c r="BB17" s="231">
        <v>0.0010090160354925223</v>
      </c>
      <c r="BC17" s="327">
        <v>0.13282718683516</v>
      </c>
      <c r="BD17" s="231">
        <v>0.07880915638277419</v>
      </c>
      <c r="BE17" s="318">
        <v>4.261738701740082</v>
      </c>
      <c r="BF17" s="231">
        <v>0.8971163992217872</v>
      </c>
      <c r="BG17" s="230">
        <v>0.013199278062817928</v>
      </c>
      <c r="BH17" s="231">
        <v>0.00997093060933817</v>
      </c>
      <c r="BI17" s="327">
        <v>0.07180898539232622</v>
      </c>
      <c r="BJ17" s="231">
        <v>0.05418525429079616</v>
      </c>
      <c r="BK17" s="230">
        <v>7.245946866234537</v>
      </c>
      <c r="BL17" s="231">
        <v>1.5503346773985793</v>
      </c>
      <c r="BM17" s="327">
        <v>0.7833823631045552</v>
      </c>
      <c r="BN17" s="231">
        <v>0.6692026352514509</v>
      </c>
      <c r="BO17" s="230">
        <v>1.0981945999310043</v>
      </c>
      <c r="BP17" s="231">
        <v>0.8627886135630258</v>
      </c>
      <c r="BQ17" s="327">
        <v>0.05940105483793647</v>
      </c>
      <c r="BR17" s="231">
        <v>0.019515385291376728</v>
      </c>
      <c r="BS17" s="230">
        <v>0.02292064735529328</v>
      </c>
      <c r="BT17" s="231">
        <v>0.010619941533492697</v>
      </c>
      <c r="BU17" s="327">
        <v>0.06348529990952606</v>
      </c>
      <c r="BV17" s="231">
        <v>0.014785044264254468</v>
      </c>
      <c r="BW17" s="230">
        <v>0.012132903132052548</v>
      </c>
      <c r="BX17" s="231">
        <v>0.0026414789707205595</v>
      </c>
      <c r="BY17" s="327">
        <v>0.07147601533494542</v>
      </c>
      <c r="BZ17" s="231">
        <v>0.045921389678426836</v>
      </c>
      <c r="CA17" s="230">
        <v>0.0006057178489700304</v>
      </c>
      <c r="CB17" s="231">
        <v>0.00022497291592128542</v>
      </c>
      <c r="CC17" s="327">
        <v>0.18606707420968213</v>
      </c>
      <c r="CD17" s="326">
        <v>0.10689197015290504</v>
      </c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</row>
    <row r="18" spans="1:83" s="288" customFormat="1" ht="12.75">
      <c r="A18" s="268">
        <v>101</v>
      </c>
      <c r="B18" s="269" t="s">
        <v>232</v>
      </c>
      <c r="C18" s="269" t="s">
        <v>215</v>
      </c>
      <c r="D18" s="270"/>
      <c r="E18" s="313">
        <v>0.08217103858534378</v>
      </c>
      <c r="F18" s="314">
        <v>0.048349524386134234</v>
      </c>
      <c r="G18" s="315">
        <v>0.005366912941804155</v>
      </c>
      <c r="H18" s="314">
        <v>0.0031578971450934323</v>
      </c>
      <c r="I18" s="315">
        <v>0.0130681708170662</v>
      </c>
      <c r="J18" s="314">
        <v>0.007689325271770467</v>
      </c>
      <c r="K18" s="315">
        <v>0.03272046636543837</v>
      </c>
      <c r="L18" s="314">
        <v>0.01925275636887983</v>
      </c>
      <c r="M18" s="315">
        <v>0.028505559703710413</v>
      </c>
      <c r="N18" s="314">
        <v>0.016772700914611253</v>
      </c>
      <c r="O18" s="315">
        <v>0.005496149019175657</v>
      </c>
      <c r="P18" s="314">
        <v>0.0032339397871485403</v>
      </c>
      <c r="Q18" s="315">
        <v>0.001707424369402124</v>
      </c>
      <c r="R18" s="314">
        <v>0.0010046502710337193</v>
      </c>
      <c r="S18" s="315">
        <v>0.0037849161464595217</v>
      </c>
      <c r="T18" s="314">
        <v>0.0022270485888121407</v>
      </c>
      <c r="U18" s="316"/>
      <c r="V18" s="317"/>
      <c r="W18" s="315">
        <v>0.00510487497422685</v>
      </c>
      <c r="X18" s="314">
        <v>0.003003713733010678</v>
      </c>
      <c r="Y18" s="315">
        <v>0.03873969646269514</v>
      </c>
      <c r="Z18" s="314">
        <v>0.0227944776052593</v>
      </c>
      <c r="AA18" s="315">
        <v>0</v>
      </c>
      <c r="AB18" s="314">
        <v>0</v>
      </c>
      <c r="AC18" s="316"/>
      <c r="AD18" s="334"/>
      <c r="AE18" s="335">
        <v>6.981154578872574</v>
      </c>
      <c r="AF18" s="335">
        <v>4.107718599710821</v>
      </c>
      <c r="AG18" s="315">
        <v>0.0017399419978062496</v>
      </c>
      <c r="AH18" s="314">
        <v>0.0037875093524775386</v>
      </c>
      <c r="AI18" s="335">
        <v>0.12410747284879561</v>
      </c>
      <c r="AJ18" s="335">
        <v>0.07302496583114389</v>
      </c>
      <c r="AK18" s="315">
        <v>2.3176345725064245</v>
      </c>
      <c r="AL18" s="314">
        <v>1.3636985878566443</v>
      </c>
      <c r="AM18" s="335">
        <v>0.01888879656816538</v>
      </c>
      <c r="AN18" s="335">
        <v>0.011114187504746137</v>
      </c>
      <c r="AO18" s="315">
        <v>0.04546591463115245</v>
      </c>
      <c r="AP18" s="314">
        <v>0.02675219135649198</v>
      </c>
      <c r="AQ18" s="335">
        <v>0.012478473986985926</v>
      </c>
      <c r="AR18" s="335">
        <v>0.007342347044925007</v>
      </c>
      <c r="AS18" s="315">
        <v>0.005906840467905105</v>
      </c>
      <c r="AT18" s="314">
        <v>0.003475591061823593</v>
      </c>
      <c r="AU18" s="335">
        <v>0.0028999033296770826</v>
      </c>
      <c r="AV18" s="335">
        <v>0.006312515587462564</v>
      </c>
      <c r="AW18" s="315">
        <v>0.007540453302930123</v>
      </c>
      <c r="AX18" s="314">
        <v>0.004436810549423349</v>
      </c>
      <c r="AY18" s="335">
        <v>1.089468987722369</v>
      </c>
      <c r="AZ18" s="335">
        <v>0.6410446830985407</v>
      </c>
      <c r="BA18" s="315">
        <v>7.769589335909726E-05</v>
      </c>
      <c r="BB18" s="314">
        <v>2.2858172145205104E-05</v>
      </c>
      <c r="BC18" s="335">
        <v>0.05041865557154104</v>
      </c>
      <c r="BD18" s="335">
        <v>0.0296663892660975</v>
      </c>
      <c r="BE18" s="313">
        <v>14.37847342746261</v>
      </c>
      <c r="BF18" s="335">
        <v>8.460308687646096</v>
      </c>
      <c r="BG18" s="336">
        <v>0.03198664900064188</v>
      </c>
      <c r="BH18" s="337">
        <v>0.01882097746982956</v>
      </c>
      <c r="BI18" s="338">
        <v>0.14230301452515676</v>
      </c>
      <c r="BJ18" s="338">
        <v>0.0837312414380468</v>
      </c>
      <c r="BK18" s="336">
        <v>22.421975763150666</v>
      </c>
      <c r="BL18" s="337">
        <v>13.193113810041643</v>
      </c>
      <c r="BM18" s="338">
        <v>1.806815866257651</v>
      </c>
      <c r="BN18" s="338">
        <v>1.0631323309385556</v>
      </c>
      <c r="BO18" s="336">
        <v>4.055426335592168</v>
      </c>
      <c r="BP18" s="337">
        <v>2.3862170648510874</v>
      </c>
      <c r="BQ18" s="338">
        <v>0.13661680093112483</v>
      </c>
      <c r="BR18" s="338">
        <v>0.08038546745779131</v>
      </c>
      <c r="BS18" s="336">
        <v>0.039730420251504854</v>
      </c>
      <c r="BT18" s="337">
        <v>0.02337742051083336</v>
      </c>
      <c r="BU18" s="338">
        <v>0.24072024822121074</v>
      </c>
      <c r="BV18" s="338">
        <v>0.14164004388869464</v>
      </c>
      <c r="BW18" s="336">
        <v>0.030871182959717792</v>
      </c>
      <c r="BX18" s="337">
        <v>0.018164636093645672</v>
      </c>
      <c r="BY18" s="338">
        <v>0.24072024822121074</v>
      </c>
      <c r="BZ18" s="339">
        <v>0.14164004388869464</v>
      </c>
      <c r="CA18" s="354">
        <v>0.0007534781227543606</v>
      </c>
      <c r="CB18" s="355">
        <v>0.00044334730943790696</v>
      </c>
      <c r="CC18" s="328">
        <v>0.7816063754391713</v>
      </c>
      <c r="CD18" s="329">
        <v>0.4598980025110035</v>
      </c>
      <c r="CE18" s="287"/>
    </row>
    <row r="19" spans="1:83" s="290" customFormat="1" ht="12.75">
      <c r="A19" s="289" t="s">
        <v>19</v>
      </c>
      <c r="B19" s="105" t="s">
        <v>232</v>
      </c>
      <c r="C19" s="105" t="s">
        <v>215</v>
      </c>
      <c r="D19" s="232"/>
      <c r="E19" s="318">
        <v>0.03765856002056389</v>
      </c>
      <c r="F19" s="231">
        <v>0.0225735737978964</v>
      </c>
      <c r="G19" s="230">
        <v>0.004990961664875511</v>
      </c>
      <c r="H19" s="231">
        <v>0.0030762509007707856</v>
      </c>
      <c r="I19" s="230">
        <v>0.03294954012172416</v>
      </c>
      <c r="J19" s="231">
        <v>0.01963537050010074</v>
      </c>
      <c r="K19" s="230">
        <v>0.014330240165235278</v>
      </c>
      <c r="L19" s="231">
        <v>0.019471485054344363</v>
      </c>
      <c r="M19" s="230">
        <v>0.021297840806991604</v>
      </c>
      <c r="N19" s="231">
        <v>0.012511854340875251</v>
      </c>
      <c r="O19" s="230">
        <v>0.00854074132788946</v>
      </c>
      <c r="P19" s="231">
        <v>0.0048974672986695335</v>
      </c>
      <c r="Q19" s="230">
        <v>0.004954992829277778</v>
      </c>
      <c r="R19" s="231">
        <v>0.002838480763934223</v>
      </c>
      <c r="S19" s="230">
        <v>0.0038256948949051445</v>
      </c>
      <c r="T19" s="231">
        <v>0.002257707715361175</v>
      </c>
      <c r="U19" s="319"/>
      <c r="V19" s="320"/>
      <c r="W19" s="230">
        <v>0.003765603661931773</v>
      </c>
      <c r="X19" s="231">
        <v>0.00220303799772507</v>
      </c>
      <c r="Y19" s="230">
        <v>0.02726403591804988</v>
      </c>
      <c r="Z19" s="231">
        <v>0.015686035708217326</v>
      </c>
      <c r="AA19" s="230">
        <v>0.00018237543129222101</v>
      </c>
      <c r="AB19" s="231">
        <v>0.00012902968560795045</v>
      </c>
      <c r="AC19" s="319"/>
      <c r="AD19" s="340"/>
      <c r="AE19" s="327">
        <v>7.230461029646423</v>
      </c>
      <c r="AF19" s="327">
        <v>4.077739572098459</v>
      </c>
      <c r="AG19" s="230">
        <v>0.0019225609085266682</v>
      </c>
      <c r="AH19" s="231">
        <v>0.0037216223010120932</v>
      </c>
      <c r="AI19" s="327">
        <v>0.01979966509132845</v>
      </c>
      <c r="AJ19" s="327">
        <v>0.011303641337357355</v>
      </c>
      <c r="AK19" s="230">
        <v>1.6412524303712945</v>
      </c>
      <c r="AL19" s="231">
        <v>0.9280579289780793</v>
      </c>
      <c r="AM19" s="327">
        <v>0.021324408061942822</v>
      </c>
      <c r="AN19" s="327">
        <v>0.012337343334978672</v>
      </c>
      <c r="AO19" s="230">
        <v>0.003842391070417779</v>
      </c>
      <c r="AP19" s="231">
        <v>0.0022388924074318575</v>
      </c>
      <c r="AQ19" s="327">
        <v>0.03986347223756194</v>
      </c>
      <c r="AR19" s="327">
        <v>0.022522608016114987</v>
      </c>
      <c r="AS19" s="230">
        <v>0.008031526521102728</v>
      </c>
      <c r="AT19" s="231">
        <v>0.00466618159183257</v>
      </c>
      <c r="AU19" s="327">
        <v>0.0028999033296770826</v>
      </c>
      <c r="AV19" s="327">
        <v>0.006278513906767047</v>
      </c>
      <c r="AW19" s="230">
        <v>0.007737010718297998</v>
      </c>
      <c r="AX19" s="231">
        <v>0.004484983451895704</v>
      </c>
      <c r="AY19" s="327">
        <v>1.0280474242490036</v>
      </c>
      <c r="AZ19" s="327">
        <v>0.5800722018831258</v>
      </c>
      <c r="BA19" s="230">
        <v>6.055396159322111E-05</v>
      </c>
      <c r="BB19" s="231">
        <v>7.808193376280068E-05</v>
      </c>
      <c r="BC19" s="327">
        <v>0.02266913899600337</v>
      </c>
      <c r="BD19" s="327">
        <v>0.012839766738114346</v>
      </c>
      <c r="BE19" s="318">
        <v>3.4350929032419426</v>
      </c>
      <c r="BF19" s="327">
        <v>1.943539572349669</v>
      </c>
      <c r="BG19" s="341">
        <v>0.0019723193410272673</v>
      </c>
      <c r="BH19" s="342">
        <v>0.004270223177613388</v>
      </c>
      <c r="BI19" s="93">
        <v>0.028133393388929926</v>
      </c>
      <c r="BJ19" s="93">
        <v>0.01612232061050779</v>
      </c>
      <c r="BK19" s="341">
        <v>7.48879223860011</v>
      </c>
      <c r="BL19" s="342">
        <v>4.247565218061327</v>
      </c>
      <c r="BM19" s="93">
        <v>0.13603994282723778</v>
      </c>
      <c r="BN19" s="93">
        <v>0.07772229436331951</v>
      </c>
      <c r="BO19" s="341">
        <v>0.194017365524223</v>
      </c>
      <c r="BP19" s="342">
        <v>0.10956786164003485</v>
      </c>
      <c r="BQ19" s="93">
        <v>0.030793748960710368</v>
      </c>
      <c r="BR19" s="93">
        <v>0.017444476587266295</v>
      </c>
      <c r="BS19" s="341">
        <v>0.014218461440080607</v>
      </c>
      <c r="BT19" s="342">
        <v>0.008376730080073398</v>
      </c>
      <c r="BU19" s="93">
        <v>0.07334390757726345</v>
      </c>
      <c r="BV19" s="93">
        <v>0.04193342637924468</v>
      </c>
      <c r="BW19" s="341">
        <v>0.013011276895738003</v>
      </c>
      <c r="BX19" s="342">
        <v>0.00752301572321409</v>
      </c>
      <c r="BY19" s="93">
        <v>0.07334390757726345</v>
      </c>
      <c r="BZ19" s="343">
        <v>0.04193342637924468</v>
      </c>
      <c r="CA19" s="344">
        <v>4.104699411967182E-05</v>
      </c>
      <c r="CB19" s="345">
        <v>6.901246539252703E-05</v>
      </c>
      <c r="CC19" s="330">
        <v>0.09254650939533578</v>
      </c>
      <c r="CD19" s="331">
        <v>0.05239833994043439</v>
      </c>
      <c r="CE19" s="262"/>
    </row>
    <row r="20" spans="1:83" s="290" customFormat="1" ht="12.75">
      <c r="A20" s="289" t="s">
        <v>5</v>
      </c>
      <c r="B20" s="105" t="s">
        <v>232</v>
      </c>
      <c r="C20" s="105" t="s">
        <v>215</v>
      </c>
      <c r="D20" s="232"/>
      <c r="E20" s="318">
        <v>0.07390001104912473</v>
      </c>
      <c r="F20" s="231">
        <v>0.042885069726292205</v>
      </c>
      <c r="G20" s="230">
        <v>0.0035041825727941166</v>
      </c>
      <c r="H20" s="231">
        <v>0.0021245976560234914</v>
      </c>
      <c r="I20" s="230">
        <v>0.029165047665181573</v>
      </c>
      <c r="J20" s="231">
        <v>0.017381125872169785</v>
      </c>
      <c r="K20" s="230">
        <v>0.030966138286618497</v>
      </c>
      <c r="L20" s="231">
        <v>0.018725399980831732</v>
      </c>
      <c r="M20" s="230">
        <v>0.024009008127921734</v>
      </c>
      <c r="N20" s="231">
        <v>0.014173156453977221</v>
      </c>
      <c r="O20" s="230">
        <v>0.0014310113669254343</v>
      </c>
      <c r="P20" s="231">
        <v>0.0008866398778046879</v>
      </c>
      <c r="Q20" s="230">
        <v>0.0022702492621249097</v>
      </c>
      <c r="R20" s="231">
        <v>0.001329184147149375</v>
      </c>
      <c r="S20" s="230">
        <v>0.006849926333530702</v>
      </c>
      <c r="T20" s="231">
        <v>0.004006947136794424</v>
      </c>
      <c r="U20" s="319"/>
      <c r="V20" s="320"/>
      <c r="W20" s="230">
        <v>0.004968681562651906</v>
      </c>
      <c r="X20" s="231">
        <v>0.0029128034809500557</v>
      </c>
      <c r="Y20" s="230">
        <v>0.040819348127287367</v>
      </c>
      <c r="Z20" s="231">
        <v>0.023645575682655247</v>
      </c>
      <c r="AA20" s="230">
        <v>0.00018334734058076462</v>
      </c>
      <c r="AB20" s="231">
        <v>0.0001095655384208592</v>
      </c>
      <c r="AC20" s="319"/>
      <c r="AD20" s="340"/>
      <c r="AE20" s="327">
        <v>9.953226916330891</v>
      </c>
      <c r="AF20" s="327">
        <v>5.7573198030187</v>
      </c>
      <c r="AG20" s="230">
        <v>0.0017399419978062496</v>
      </c>
      <c r="AH20" s="231">
        <v>0.0037830598932450115</v>
      </c>
      <c r="AI20" s="327">
        <v>0.02061885151351914</v>
      </c>
      <c r="AJ20" s="327">
        <v>0.011975718538480446</v>
      </c>
      <c r="AK20" s="230">
        <v>1.6354681943383982</v>
      </c>
      <c r="AL20" s="231">
        <v>0.9473099001477181</v>
      </c>
      <c r="AM20" s="327">
        <v>0.022676187372949352</v>
      </c>
      <c r="AN20" s="327">
        <v>0.013272795666997472</v>
      </c>
      <c r="AO20" s="230">
        <v>0.00205214436851028</v>
      </c>
      <c r="AP20" s="231">
        <v>0.0012144877427197256</v>
      </c>
      <c r="AQ20" s="327">
        <v>0.016830869132002088</v>
      </c>
      <c r="AR20" s="327">
        <v>0.009760535100664849</v>
      </c>
      <c r="AS20" s="230">
        <v>0.007230307721274178</v>
      </c>
      <c r="AT20" s="231">
        <v>0.004238615978421169</v>
      </c>
      <c r="AU20" s="327">
        <v>0.0028999033296770826</v>
      </c>
      <c r="AV20" s="327">
        <v>0.006305099822075019</v>
      </c>
      <c r="AW20" s="230">
        <v>0.007991504574058702</v>
      </c>
      <c r="AX20" s="231">
        <v>0.004685211452123744</v>
      </c>
      <c r="AY20" s="327">
        <v>1.2008016184496675</v>
      </c>
      <c r="AZ20" s="327">
        <v>0.6946552926928289</v>
      </c>
      <c r="BA20" s="230">
        <v>2.899903329677083E-05</v>
      </c>
      <c r="BB20" s="231">
        <v>6.305099822075019E-05</v>
      </c>
      <c r="BC20" s="327">
        <v>0.01607407672926066</v>
      </c>
      <c r="BD20" s="327">
        <v>0.009434109423718867</v>
      </c>
      <c r="BE20" s="318">
        <v>3.246151791797789</v>
      </c>
      <c r="BF20" s="327">
        <v>1.8796043597288652</v>
      </c>
      <c r="BG20" s="341">
        <v>0.0019723193410272673</v>
      </c>
      <c r="BH20" s="342">
        <v>0.004288305130354435</v>
      </c>
      <c r="BI20" s="93">
        <v>0.016831837125350947</v>
      </c>
      <c r="BJ20" s="93">
        <v>0.009772787450741761</v>
      </c>
      <c r="BK20" s="341">
        <v>1.2625612271715807</v>
      </c>
      <c r="BL20" s="342">
        <v>0.7415708634180038</v>
      </c>
      <c r="BM20" s="93">
        <v>0.15039567371144566</v>
      </c>
      <c r="BN20" s="93">
        <v>0.08740457783227039</v>
      </c>
      <c r="BO20" s="341">
        <v>0.14617573642253165</v>
      </c>
      <c r="BP20" s="342">
        <v>0.08453897143504426</v>
      </c>
      <c r="BQ20" s="93">
        <v>0.03523768865771849</v>
      </c>
      <c r="BR20" s="93">
        <v>0.020431990106599286</v>
      </c>
      <c r="BS20" s="341">
        <v>0.011839799244017842</v>
      </c>
      <c r="BT20" s="342">
        <v>0.006980007837002567</v>
      </c>
      <c r="BU20" s="93">
        <v>0.08658603986794378</v>
      </c>
      <c r="BV20" s="93">
        <v>0.05035013404772311</v>
      </c>
      <c r="BW20" s="341">
        <v>0.013522490230883035</v>
      </c>
      <c r="BX20" s="342">
        <v>0.00791576935961386</v>
      </c>
      <c r="BY20" s="93">
        <v>0.08658603986794378</v>
      </c>
      <c r="BZ20" s="343">
        <v>0.05035013404772311</v>
      </c>
      <c r="CA20" s="344">
        <v>3.2871989017121134E-05</v>
      </c>
      <c r="CB20" s="345">
        <v>7.147175217257393E-05</v>
      </c>
      <c r="CC20" s="330">
        <v>0.08939722282161927</v>
      </c>
      <c r="CD20" s="331">
        <v>0.05179297553793306</v>
      </c>
      <c r="CE20" s="262"/>
    </row>
    <row r="21" spans="1:83" s="290" customFormat="1" ht="12.75">
      <c r="A21" s="289" t="s">
        <v>21</v>
      </c>
      <c r="B21" s="105" t="s">
        <v>232</v>
      </c>
      <c r="C21" s="105" t="s">
        <v>215</v>
      </c>
      <c r="D21" s="232"/>
      <c r="E21" s="318">
        <v>0.06429603381438594</v>
      </c>
      <c r="F21" s="231">
        <v>0.03791885408328381</v>
      </c>
      <c r="G21" s="230">
        <v>0.004843175354058772</v>
      </c>
      <c r="H21" s="231">
        <v>0.002850770263136062</v>
      </c>
      <c r="I21" s="230">
        <v>0.008713825706004746</v>
      </c>
      <c r="J21" s="231">
        <v>0.005175035783078541</v>
      </c>
      <c r="K21" s="230">
        <v>0.02091542715143031</v>
      </c>
      <c r="L21" s="231">
        <v>0.0192232440670935</v>
      </c>
      <c r="M21" s="230">
        <v>0.013576050242700978</v>
      </c>
      <c r="N21" s="231">
        <v>0.007964502560374157</v>
      </c>
      <c r="O21" s="230">
        <v>0.0004780185889890842</v>
      </c>
      <c r="P21" s="231">
        <v>0.00042535360892073665</v>
      </c>
      <c r="Q21" s="230">
        <v>0.00017836805300230812</v>
      </c>
      <c r="R21" s="231">
        <v>0.00036402992907506003</v>
      </c>
      <c r="S21" s="230">
        <v>0.004278028037592471</v>
      </c>
      <c r="T21" s="231">
        <v>0.0024864963433191617</v>
      </c>
      <c r="U21" s="319"/>
      <c r="V21" s="320"/>
      <c r="W21" s="230">
        <v>0.005014670137240367</v>
      </c>
      <c r="X21" s="231">
        <v>0.002909785365735063</v>
      </c>
      <c r="Y21" s="230">
        <v>0.02701498594897184</v>
      </c>
      <c r="Z21" s="231">
        <v>0.015630976109693814</v>
      </c>
      <c r="AA21" s="230">
        <v>0.00012523170297227792</v>
      </c>
      <c r="AB21" s="231">
        <v>7.409654789839383E-05</v>
      </c>
      <c r="AC21" s="319"/>
      <c r="AD21" s="340"/>
      <c r="AE21" s="327">
        <v>5.1165926349594155</v>
      </c>
      <c r="AF21" s="327">
        <v>2.9718689039819357</v>
      </c>
      <c r="AG21" s="230">
        <v>0.0017399419978062496</v>
      </c>
      <c r="AH21" s="231">
        <v>0.003760458330925242</v>
      </c>
      <c r="AI21" s="327">
        <v>0.0260104366095915</v>
      </c>
      <c r="AJ21" s="327">
        <v>0.01648460293979178</v>
      </c>
      <c r="AK21" s="230">
        <v>1.081273640598685</v>
      </c>
      <c r="AL21" s="231">
        <v>0.6341107838693911</v>
      </c>
      <c r="AM21" s="327">
        <v>0.023110884547791637</v>
      </c>
      <c r="AN21" s="327">
        <v>0.013399933696255861</v>
      </c>
      <c r="AO21" s="230">
        <v>0.011963076606077414</v>
      </c>
      <c r="AP21" s="231">
        <v>0.006959382996465813</v>
      </c>
      <c r="AQ21" s="327">
        <v>0.0034517921306649645</v>
      </c>
      <c r="AR21" s="327">
        <v>0.0023138697403682316</v>
      </c>
      <c r="AS21" s="230">
        <v>0.009235876531662263</v>
      </c>
      <c r="AT21" s="231">
        <v>0.0053563683882410645</v>
      </c>
      <c r="AU21" s="327">
        <v>0.3750250610001943</v>
      </c>
      <c r="AV21" s="327">
        <v>0.2148709716957645</v>
      </c>
      <c r="AW21" s="230">
        <v>0.007948168973748214</v>
      </c>
      <c r="AX21" s="231">
        <v>0.0046109454783433024</v>
      </c>
      <c r="AY21" s="327">
        <v>0.970128524180271</v>
      </c>
      <c r="AZ21" s="327">
        <v>0.5608588520284368</v>
      </c>
      <c r="BA21" s="230">
        <v>3.6506218025369574E-05</v>
      </c>
      <c r="BB21" s="231">
        <v>6.651708868975277E-05</v>
      </c>
      <c r="BC21" s="327">
        <v>0.030487548052821885</v>
      </c>
      <c r="BD21" s="327">
        <v>0.017635214834043605</v>
      </c>
      <c r="BE21" s="318">
        <v>3.350268552984423</v>
      </c>
      <c r="BF21" s="327">
        <v>1.931480439941417</v>
      </c>
      <c r="BG21" s="341">
        <v>0.004553380180009267</v>
      </c>
      <c r="BH21" s="342">
        <v>0.0027487753944168743</v>
      </c>
      <c r="BI21" s="93">
        <v>0.026434072751339875</v>
      </c>
      <c r="BJ21" s="93">
        <v>0.015161089263193482</v>
      </c>
      <c r="BK21" s="341">
        <v>6.568466840480676</v>
      </c>
      <c r="BL21" s="342">
        <v>3.7964233006490162</v>
      </c>
      <c r="BM21" s="93">
        <v>0.2639584695613964</v>
      </c>
      <c r="BN21" s="93">
        <v>0.15127879724748208</v>
      </c>
      <c r="BO21" s="341">
        <v>0.4494589031665925</v>
      </c>
      <c r="BP21" s="342">
        <v>0.2573490890339918</v>
      </c>
      <c r="BQ21" s="93">
        <v>0.05294602426738242</v>
      </c>
      <c r="BR21" s="93">
        <v>0.030379830685838122</v>
      </c>
      <c r="BS21" s="341">
        <v>0.018269320515384095</v>
      </c>
      <c r="BT21" s="342">
        <v>0.010563880677148762</v>
      </c>
      <c r="BU21" s="93">
        <v>0.06999899592007494</v>
      </c>
      <c r="BV21" s="93">
        <v>0.040346978264490505</v>
      </c>
      <c r="BW21" s="341">
        <v>0.018433500417201057</v>
      </c>
      <c r="BX21" s="342">
        <v>0.010642285726217239</v>
      </c>
      <c r="BY21" s="93">
        <v>0.06999899592007494</v>
      </c>
      <c r="BZ21" s="343">
        <v>0.040346978264490505</v>
      </c>
      <c r="CA21" s="344">
        <v>0.0001891664091385257</v>
      </c>
      <c r="CB21" s="345">
        <v>0.00011036908516247276</v>
      </c>
      <c r="CC21" s="330">
        <v>0.1411939390655366</v>
      </c>
      <c r="CD21" s="331">
        <v>0.0810260059664233</v>
      </c>
      <c r="CE21" s="262"/>
    </row>
    <row r="22" spans="1:83" s="290" customFormat="1" ht="12.75">
      <c r="A22" s="289" t="s">
        <v>12</v>
      </c>
      <c r="B22" s="105" t="s">
        <v>232</v>
      </c>
      <c r="C22" s="105" t="s">
        <v>215</v>
      </c>
      <c r="D22" s="232"/>
      <c r="E22" s="318">
        <v>0.017926855218466604</v>
      </c>
      <c r="F22" s="231">
        <v>0.011016864253783494</v>
      </c>
      <c r="G22" s="230">
        <v>0.0024092273017045783</v>
      </c>
      <c r="H22" s="231">
        <v>0.0017642730918893338</v>
      </c>
      <c r="I22" s="230">
        <v>0.02537776257163818</v>
      </c>
      <c r="J22" s="231">
        <v>0.015270590348661687</v>
      </c>
      <c r="K22" s="230">
        <v>0.008540007752293901</v>
      </c>
      <c r="L22" s="231">
        <v>0.018446490758509543</v>
      </c>
      <c r="M22" s="230">
        <v>0.01647636582507829</v>
      </c>
      <c r="N22" s="231">
        <v>0.009581322672580215</v>
      </c>
      <c r="O22" s="230">
        <v>0.0005506015095132911</v>
      </c>
      <c r="P22" s="231">
        <v>0.000548124916902869</v>
      </c>
      <c r="Q22" s="230">
        <v>0.002585581515068109</v>
      </c>
      <c r="R22" s="231">
        <v>0.001663032043465267</v>
      </c>
      <c r="S22" s="230">
        <v>0.0041173915721328105</v>
      </c>
      <c r="T22" s="231">
        <v>0.002381810643736373</v>
      </c>
      <c r="U22" s="319"/>
      <c r="V22" s="320"/>
      <c r="W22" s="230">
        <v>0.004944319983631777</v>
      </c>
      <c r="X22" s="231">
        <v>0.002859187071591079</v>
      </c>
      <c r="Y22" s="230">
        <v>0.012452290865541962</v>
      </c>
      <c r="Z22" s="231">
        <v>0.0070992472945613574</v>
      </c>
      <c r="AA22" s="230">
        <v>0.00010859195227002426</v>
      </c>
      <c r="AB22" s="231">
        <v>7.271549621515382E-05</v>
      </c>
      <c r="AC22" s="319"/>
      <c r="AD22" s="340"/>
      <c r="AE22" s="327">
        <v>0.8105431656691043</v>
      </c>
      <c r="AF22" s="327">
        <v>0.4771692341314438</v>
      </c>
      <c r="AG22" s="230">
        <v>0.0017399419978062498</v>
      </c>
      <c r="AH22" s="231">
        <v>0.003758289794790229</v>
      </c>
      <c r="AI22" s="327">
        <v>0.008046368992752084</v>
      </c>
      <c r="AJ22" s="327">
        <v>0.004696554102603671</v>
      </c>
      <c r="AK22" s="230">
        <v>0.6211480091342537</v>
      </c>
      <c r="AL22" s="231">
        <v>0.3689491591286796</v>
      </c>
      <c r="AM22" s="327">
        <v>0.02079011710592102</v>
      </c>
      <c r="AN22" s="327">
        <v>0.01207275323953538</v>
      </c>
      <c r="AO22" s="230">
        <v>0.0006423202604682849</v>
      </c>
      <c r="AP22" s="231">
        <v>0.0007334222340795938</v>
      </c>
      <c r="AQ22" s="327">
        <v>0.004942833989486866</v>
      </c>
      <c r="AR22" s="327">
        <v>0.00330411249557779</v>
      </c>
      <c r="AS22" s="230">
        <v>0.008639577485128586</v>
      </c>
      <c r="AT22" s="231">
        <v>0.005024718858064271</v>
      </c>
      <c r="AU22" s="327">
        <v>0.0028999033296770826</v>
      </c>
      <c r="AV22" s="327">
        <v>0.006263816324650381</v>
      </c>
      <c r="AW22" s="230">
        <v>0.0073456675873049115</v>
      </c>
      <c r="AX22" s="231">
        <v>0.0042573268852491</v>
      </c>
      <c r="AY22" s="327">
        <v>0.12705012510292965</v>
      </c>
      <c r="AZ22" s="327">
        <v>0.07358116268723357</v>
      </c>
      <c r="BA22" s="230">
        <v>2.8999033296770822E-05</v>
      </c>
      <c r="BB22" s="231">
        <v>6.26381632465038E-05</v>
      </c>
      <c r="BC22" s="327">
        <v>0.007492166822255564</v>
      </c>
      <c r="BD22" s="327">
        <v>0.004929144904428501</v>
      </c>
      <c r="BE22" s="318">
        <v>1.8364019458238658</v>
      </c>
      <c r="BF22" s="327">
        <v>1.0519531282461572</v>
      </c>
      <c r="BG22" s="341">
        <v>0.0019723193410272673</v>
      </c>
      <c r="BH22" s="342">
        <v>0.004260226870088797</v>
      </c>
      <c r="BI22" s="93">
        <v>0.025421403634186702</v>
      </c>
      <c r="BJ22" s="93">
        <v>0.014464515324435673</v>
      </c>
      <c r="BK22" s="341">
        <v>4.851405157939572</v>
      </c>
      <c r="BL22" s="342">
        <v>2.8072512522762385</v>
      </c>
      <c r="BM22" s="93">
        <v>0.16684921449764425</v>
      </c>
      <c r="BN22" s="93">
        <v>0.09499062535422205</v>
      </c>
      <c r="BO22" s="341">
        <v>0.24553204114758254</v>
      </c>
      <c r="BP22" s="342">
        <v>0.13874006676847736</v>
      </c>
      <c r="BQ22" s="93">
        <v>0.06303845451063675</v>
      </c>
      <c r="BR22" s="93">
        <v>0.035693614113238514</v>
      </c>
      <c r="BS22" s="341">
        <v>0.01498111617587046</v>
      </c>
      <c r="BT22" s="342">
        <v>0.008682374994179752</v>
      </c>
      <c r="BU22" s="93">
        <v>0.04249114697775301</v>
      </c>
      <c r="BV22" s="93">
        <v>0.02472592999727101</v>
      </c>
      <c r="BW22" s="341">
        <v>0.014658678177628778</v>
      </c>
      <c r="BX22" s="342">
        <v>0.00844094922619786</v>
      </c>
      <c r="BY22" s="93">
        <v>0.04249114697775301</v>
      </c>
      <c r="BZ22" s="343">
        <v>0.02472592999727101</v>
      </c>
      <c r="CA22" s="344">
        <v>0.00018042049779073703</v>
      </c>
      <c r="CB22" s="345">
        <v>0.00010718268661102405</v>
      </c>
      <c r="CC22" s="330">
        <v>0.10579245582571664</v>
      </c>
      <c r="CD22" s="331">
        <v>0.06093159715401645</v>
      </c>
      <c r="CE22" s="262"/>
    </row>
    <row r="23" spans="1:83" s="290" customFormat="1" ht="12.75">
      <c r="A23" s="289" t="s">
        <v>20</v>
      </c>
      <c r="B23" s="105" t="s">
        <v>232</v>
      </c>
      <c r="C23" s="105" t="s">
        <v>215</v>
      </c>
      <c r="D23" s="232"/>
      <c r="E23" s="318">
        <v>0.14559656815151528</v>
      </c>
      <c r="F23" s="231">
        <v>0.08550728294212717</v>
      </c>
      <c r="G23" s="230">
        <v>0.0034792221861961745</v>
      </c>
      <c r="H23" s="231">
        <v>0.0020061655842903434</v>
      </c>
      <c r="I23" s="230">
        <v>0.02094143962122466</v>
      </c>
      <c r="J23" s="231">
        <v>0.012280235322397174</v>
      </c>
      <c r="K23" s="230">
        <v>0.019323936346267927</v>
      </c>
      <c r="L23" s="231">
        <v>0.017275394334521986</v>
      </c>
      <c r="M23" s="230">
        <v>0.014735399248051596</v>
      </c>
      <c r="N23" s="231">
        <v>0.00858665769321065</v>
      </c>
      <c r="O23" s="230">
        <v>0.004768298871761847</v>
      </c>
      <c r="P23" s="231">
        <v>0.0027781442669814857</v>
      </c>
      <c r="Q23" s="230">
        <v>0.0006606465873982714</v>
      </c>
      <c r="R23" s="231">
        <v>0.0003821956540724924</v>
      </c>
      <c r="S23" s="230">
        <v>0.003449576428928363</v>
      </c>
      <c r="T23" s="231">
        <v>0.0020179752983304254</v>
      </c>
      <c r="U23" s="319"/>
      <c r="V23" s="320"/>
      <c r="W23" s="230">
        <v>0.004077671737371225</v>
      </c>
      <c r="X23" s="231">
        <v>0.0023827688180527436</v>
      </c>
      <c r="Y23" s="230">
        <v>0.009375394672528648</v>
      </c>
      <c r="Z23" s="231">
        <v>0.005407024852422657</v>
      </c>
      <c r="AA23" s="230">
        <v>0.00028312902260134237</v>
      </c>
      <c r="AB23" s="231">
        <v>0.00016620301102880967</v>
      </c>
      <c r="AC23" s="319"/>
      <c r="AD23" s="340"/>
      <c r="AE23" s="327">
        <v>4.5539807647481565</v>
      </c>
      <c r="AF23" s="327">
        <v>2.57589903757196</v>
      </c>
      <c r="AG23" s="230">
        <v>0.00218421578906959</v>
      </c>
      <c r="AH23" s="231">
        <v>0.0028258198278318498</v>
      </c>
      <c r="AI23" s="327">
        <v>0.031218249897439286</v>
      </c>
      <c r="AJ23" s="327">
        <v>0.017643774759024882</v>
      </c>
      <c r="AK23" s="230">
        <v>3.0051021293455555</v>
      </c>
      <c r="AL23" s="231">
        <v>1.6975233888447596</v>
      </c>
      <c r="AM23" s="327">
        <v>0.015174550600309632</v>
      </c>
      <c r="AN23" s="327">
        <v>0.00877079734304641</v>
      </c>
      <c r="AO23" s="230">
        <v>0.028989386602347594</v>
      </c>
      <c r="AP23" s="231">
        <v>0.01646129910540437</v>
      </c>
      <c r="AQ23" s="327">
        <v>0.005538172550765269</v>
      </c>
      <c r="AR23" s="327">
        <v>0.0032557610957754906</v>
      </c>
      <c r="AS23" s="230">
        <v>0.0056751727454560355</v>
      </c>
      <c r="AT23" s="231">
        <v>0.0032916426770992773</v>
      </c>
      <c r="AU23" s="327">
        <v>0.3180360187385848</v>
      </c>
      <c r="AV23" s="327">
        <v>0.18174803201623613</v>
      </c>
      <c r="AW23" s="230">
        <v>0.006812034556327205</v>
      </c>
      <c r="AX23" s="231">
        <v>0.00396878204330119</v>
      </c>
      <c r="AY23" s="327">
        <v>0.4181926489147858</v>
      </c>
      <c r="AZ23" s="327">
        <v>0.23589921649505238</v>
      </c>
      <c r="BA23" s="230">
        <v>5.5401380948912234E-05</v>
      </c>
      <c r="BB23" s="231">
        <v>5.779477867360176E-05</v>
      </c>
      <c r="BC23" s="327">
        <v>0.023871391132644706</v>
      </c>
      <c r="BD23" s="327">
        <v>0.0135839193031244</v>
      </c>
      <c r="BE23" s="318">
        <v>5.1049165335695035</v>
      </c>
      <c r="BF23" s="327">
        <v>2.887173603994871</v>
      </c>
      <c r="BG23" s="341">
        <v>0.009364254115576894</v>
      </c>
      <c r="BH23" s="342">
        <v>0.006206071053484388</v>
      </c>
      <c r="BI23" s="93">
        <v>0.01745581974597632</v>
      </c>
      <c r="BJ23" s="93">
        <v>0.009900510628080788</v>
      </c>
      <c r="BK23" s="341">
        <v>18.260441834673284</v>
      </c>
      <c r="BL23" s="342">
        <v>10.392642337000122</v>
      </c>
      <c r="BM23" s="93">
        <v>0.828091575007926</v>
      </c>
      <c r="BN23" s="93">
        <v>0.4670422830901944</v>
      </c>
      <c r="BO23" s="341">
        <v>1.7699880698457358</v>
      </c>
      <c r="BP23" s="342">
        <v>0.9974673610316609</v>
      </c>
      <c r="BQ23" s="93">
        <v>0.06382581958191252</v>
      </c>
      <c r="BR23" s="93">
        <v>0.03613135623080321</v>
      </c>
      <c r="BS23" s="341">
        <v>0.015981905009826953</v>
      </c>
      <c r="BT23" s="342">
        <v>0.00915288726436015</v>
      </c>
      <c r="BU23" s="93">
        <v>0.11838503578447136</v>
      </c>
      <c r="BV23" s="93">
        <v>0.0670807273201262</v>
      </c>
      <c r="BW23" s="341">
        <v>0.018491554476001794</v>
      </c>
      <c r="BX23" s="342">
        <v>0.010600038171044806</v>
      </c>
      <c r="BY23" s="93">
        <v>0.11838503578447136</v>
      </c>
      <c r="BZ23" s="343">
        <v>0.0670807273201262</v>
      </c>
      <c r="CA23" s="344">
        <v>0.00029930378539567564</v>
      </c>
      <c r="CB23" s="345">
        <v>0.00017205988516940293</v>
      </c>
      <c r="CC23" s="330">
        <v>0.20236878132668518</v>
      </c>
      <c r="CD23" s="331">
        <v>0.11481642987792746</v>
      </c>
      <c r="CE23" s="262"/>
    </row>
    <row r="24" spans="1:83" s="290" customFormat="1" ht="12.75">
      <c r="A24" s="289" t="s">
        <v>17</v>
      </c>
      <c r="B24" s="105" t="s">
        <v>232</v>
      </c>
      <c r="C24" s="105" t="s">
        <v>215</v>
      </c>
      <c r="D24" s="232"/>
      <c r="E24" s="318">
        <v>0.11072489833300604</v>
      </c>
      <c r="F24" s="231">
        <v>0.06486686334698129</v>
      </c>
      <c r="G24" s="230">
        <v>0.005812654279082951</v>
      </c>
      <c r="H24" s="231">
        <v>0.0033295772491032465</v>
      </c>
      <c r="I24" s="230">
        <v>0.07768019566380958</v>
      </c>
      <c r="J24" s="231">
        <v>0.04687727074607796</v>
      </c>
      <c r="K24" s="230">
        <v>0.020450391438509217</v>
      </c>
      <c r="L24" s="231">
        <v>0.01951431119438806</v>
      </c>
      <c r="M24" s="230">
        <v>0.019250323532361474</v>
      </c>
      <c r="N24" s="231">
        <v>0.011402828470327395</v>
      </c>
      <c r="O24" s="230">
        <v>0.011879473399268925</v>
      </c>
      <c r="P24" s="231">
        <v>0.007116077897507665</v>
      </c>
      <c r="Q24" s="230">
        <v>0.0005290333080666778</v>
      </c>
      <c r="R24" s="231">
        <v>0.00048628735438510136</v>
      </c>
      <c r="S24" s="230">
        <v>0.003550542688964975</v>
      </c>
      <c r="T24" s="231">
        <v>0.002080807060737381</v>
      </c>
      <c r="U24" s="319"/>
      <c r="V24" s="320"/>
      <c r="W24" s="230">
        <v>0.004234785624014697</v>
      </c>
      <c r="X24" s="231">
        <v>0.0024795758370454095</v>
      </c>
      <c r="Y24" s="230">
        <v>0.016687464972998903</v>
      </c>
      <c r="Z24" s="231">
        <v>0.009573905544015611</v>
      </c>
      <c r="AA24" s="230">
        <v>0.0012045949059891214</v>
      </c>
      <c r="AB24" s="231">
        <v>0.0007184770932032317</v>
      </c>
      <c r="AC24" s="319"/>
      <c r="AD24" s="340"/>
      <c r="AE24" s="327">
        <v>10.879273936571446</v>
      </c>
      <c r="AF24" s="327">
        <v>6.139043181321542</v>
      </c>
      <c r="AG24" s="230">
        <v>0.0036400800532240284</v>
      </c>
      <c r="AH24" s="231">
        <v>0.0026170688322407357</v>
      </c>
      <c r="AI24" s="327">
        <v>0.10236738720938901</v>
      </c>
      <c r="AJ24" s="327">
        <v>0.05796631800137317</v>
      </c>
      <c r="AK24" s="230">
        <v>2.768320570699023</v>
      </c>
      <c r="AL24" s="231">
        <v>1.581277181826282</v>
      </c>
      <c r="AM24" s="327">
        <v>0.017963289885900496</v>
      </c>
      <c r="AN24" s="327">
        <v>0.01044264595696511</v>
      </c>
      <c r="AO24" s="230">
        <v>0.025879325440992102</v>
      </c>
      <c r="AP24" s="231">
        <v>0.014667376537377111</v>
      </c>
      <c r="AQ24" s="327">
        <v>0.001977360527325585</v>
      </c>
      <c r="AR24" s="327">
        <v>0.0012080176539532453</v>
      </c>
      <c r="AS24" s="230">
        <v>0.006729341746368372</v>
      </c>
      <c r="AT24" s="231">
        <v>0.003925587212177801</v>
      </c>
      <c r="AU24" s="327">
        <v>0.6623752758588768</v>
      </c>
      <c r="AV24" s="327">
        <v>0.37540960959934155</v>
      </c>
      <c r="AW24" s="230">
        <v>0.008049459593469116</v>
      </c>
      <c r="AX24" s="231">
        <v>0.004704194236371712</v>
      </c>
      <c r="AY24" s="327">
        <v>1.0676763828417473</v>
      </c>
      <c r="AZ24" s="327">
        <v>0.6020837865243265</v>
      </c>
      <c r="BA24" s="230">
        <v>0.0004675379691091854</v>
      </c>
      <c r="BB24" s="231">
        <v>0.00026471466263039466</v>
      </c>
      <c r="BC24" s="327">
        <v>0.03862116684887015</v>
      </c>
      <c r="BD24" s="327">
        <v>0.022249508456542763</v>
      </c>
      <c r="BE24" s="318">
        <v>5.209749278675639</v>
      </c>
      <c r="BF24" s="327">
        <v>2.9488297078134833</v>
      </c>
      <c r="BG24" s="341">
        <v>0.010102857093011543</v>
      </c>
      <c r="BH24" s="342">
        <v>0.0063320700630848225</v>
      </c>
      <c r="BI24" s="93">
        <v>0.0353337420910828</v>
      </c>
      <c r="BJ24" s="93">
        <v>0.02000649794106362</v>
      </c>
      <c r="BK24" s="341">
        <v>14.185497840687466</v>
      </c>
      <c r="BL24" s="342">
        <v>8.087249431741045</v>
      </c>
      <c r="BM24" s="93">
        <v>0.47056824676618</v>
      </c>
      <c r="BN24" s="93">
        <v>0.26588517645425463</v>
      </c>
      <c r="BO24" s="341">
        <v>1.3628133691651556</v>
      </c>
      <c r="BP24" s="342">
        <v>0.7681260162040443</v>
      </c>
      <c r="BQ24" s="93">
        <v>0.0092132076807447</v>
      </c>
      <c r="BR24" s="93">
        <v>0.005264176045667226</v>
      </c>
      <c r="BS24" s="341">
        <v>0.013410806304564177</v>
      </c>
      <c r="BT24" s="342">
        <v>0.007768485345918885</v>
      </c>
      <c r="BU24" s="93">
        <v>0.09049265043839831</v>
      </c>
      <c r="BV24" s="93">
        <v>0.051456124361082024</v>
      </c>
      <c r="BW24" s="341">
        <v>0.013719754462358158</v>
      </c>
      <c r="BX24" s="342">
        <v>0.007941811156757711</v>
      </c>
      <c r="BY24" s="93">
        <v>0.09049265043839831</v>
      </c>
      <c r="BZ24" s="343">
        <v>0.051456124361082024</v>
      </c>
      <c r="CA24" s="344">
        <v>0.0007697211093752612</v>
      </c>
      <c r="CB24" s="345">
        <v>0.0004354470834997186</v>
      </c>
      <c r="CC24" s="330">
        <v>0.25397859083633095</v>
      </c>
      <c r="CD24" s="331">
        <v>0.14512274155732444</v>
      </c>
      <c r="CE24" s="262"/>
    </row>
    <row r="25" spans="1:83" s="311" customFormat="1" ht="12.75">
      <c r="A25" s="291" t="s">
        <v>22</v>
      </c>
      <c r="B25" s="292" t="s">
        <v>232</v>
      </c>
      <c r="C25" s="292" t="s">
        <v>215</v>
      </c>
      <c r="D25" s="293"/>
      <c r="E25" s="321">
        <v>0.039841743416037925</v>
      </c>
      <c r="F25" s="322">
        <v>0.025881736728999818</v>
      </c>
      <c r="G25" s="323">
        <v>0.0012348332725061301</v>
      </c>
      <c r="H25" s="322">
        <v>0.0021558677870531697</v>
      </c>
      <c r="I25" s="323">
        <v>0.007998687876550989</v>
      </c>
      <c r="J25" s="322">
        <v>0.005284395451778644</v>
      </c>
      <c r="K25" s="323">
        <v>0.008540007752293901</v>
      </c>
      <c r="L25" s="322">
        <v>0.018651190331143708</v>
      </c>
      <c r="M25" s="323">
        <v>0.013427030582184031</v>
      </c>
      <c r="N25" s="322">
        <v>0.008232881318725994</v>
      </c>
      <c r="O25" s="323">
        <v>0.0006099993681458923</v>
      </c>
      <c r="P25" s="322">
        <v>0.0006653235662738084</v>
      </c>
      <c r="Q25" s="323">
        <v>0.0012831375026762142</v>
      </c>
      <c r="R25" s="322">
        <v>0.0008375131128980425</v>
      </c>
      <c r="S25" s="323">
        <v>0.0030322582918923427</v>
      </c>
      <c r="T25" s="322">
        <v>0.0018321691808147807</v>
      </c>
      <c r="U25" s="324"/>
      <c r="V25" s="325"/>
      <c r="W25" s="323">
        <v>0.004102150791319315</v>
      </c>
      <c r="X25" s="322">
        <v>0.002456151972074615</v>
      </c>
      <c r="Y25" s="323">
        <v>0.014964600449118036</v>
      </c>
      <c r="Z25" s="322">
        <v>0.008764711761630493</v>
      </c>
      <c r="AA25" s="323">
        <v>3.3680242733250095E-05</v>
      </c>
      <c r="AB25" s="322">
        <v>4.5848810544812386E-05</v>
      </c>
      <c r="AC25" s="324"/>
      <c r="AD25" s="346"/>
      <c r="AE25" s="347">
        <v>5.211153065577019</v>
      </c>
      <c r="AF25" s="347">
        <v>3.2176355818871665</v>
      </c>
      <c r="AG25" s="323">
        <v>0.0017399419978062494</v>
      </c>
      <c r="AH25" s="322">
        <v>0.003799995305334234</v>
      </c>
      <c r="AI25" s="347">
        <v>0.3972408582515544</v>
      </c>
      <c r="AJ25" s="347">
        <v>0.22625171174531453</v>
      </c>
      <c r="AK25" s="323">
        <v>1.5735562734376265</v>
      </c>
      <c r="AL25" s="322">
        <v>0.9885080247418263</v>
      </c>
      <c r="AM25" s="347">
        <v>0.029789657992163644</v>
      </c>
      <c r="AN25" s="347">
        <v>0.017501178706225442</v>
      </c>
      <c r="AO25" s="323">
        <v>0.020753110170013342</v>
      </c>
      <c r="AP25" s="322">
        <v>0.011873720326504472</v>
      </c>
      <c r="AQ25" s="347">
        <v>0.09131935461737335</v>
      </c>
      <c r="AR25" s="347">
        <v>0.05276373706647912</v>
      </c>
      <c r="AS25" s="323">
        <v>0.008685342482350812</v>
      </c>
      <c r="AT25" s="322">
        <v>0.005154346801456524</v>
      </c>
      <c r="AU25" s="347">
        <v>0.9091181282504727</v>
      </c>
      <c r="AV25" s="347">
        <v>0.5313824269496005</v>
      </c>
      <c r="AW25" s="323">
        <v>0.00882256714703103</v>
      </c>
      <c r="AX25" s="322">
        <v>0.005238783800555595</v>
      </c>
      <c r="AY25" s="347">
        <v>0.9091181282504727</v>
      </c>
      <c r="AZ25" s="347">
        <v>0.5313824269496005</v>
      </c>
      <c r="BA25" s="323">
        <v>0.0002080458240075323</v>
      </c>
      <c r="BB25" s="322">
        <v>0.00012541453362697737</v>
      </c>
      <c r="BC25" s="347">
        <v>0.036907112165032535</v>
      </c>
      <c r="BD25" s="347">
        <v>0.021630600138784574</v>
      </c>
      <c r="BE25" s="321">
        <v>2.2808611611331298</v>
      </c>
      <c r="BF25" s="347">
        <v>1.4192346053540017</v>
      </c>
      <c r="BG25" s="348">
        <v>0.004276452045341763</v>
      </c>
      <c r="BH25" s="349">
        <v>0.0029371308257844266</v>
      </c>
      <c r="BI25" s="350">
        <v>0.04161583358998395</v>
      </c>
      <c r="BJ25" s="350">
        <v>0.024167221688509755</v>
      </c>
      <c r="BK25" s="348">
        <v>7.065643719871475</v>
      </c>
      <c r="BL25" s="349">
        <v>4.410788090035145</v>
      </c>
      <c r="BM25" s="350">
        <v>0.2870941710599048</v>
      </c>
      <c r="BN25" s="350">
        <v>0.1678330168414251</v>
      </c>
      <c r="BO25" s="348">
        <v>0.39632183459424236</v>
      </c>
      <c r="BP25" s="349">
        <v>0.23509438271561095</v>
      </c>
      <c r="BQ25" s="350">
        <v>0.11561948891793489</v>
      </c>
      <c r="BR25" s="350">
        <v>0.06849192830052787</v>
      </c>
      <c r="BS25" s="348">
        <v>0.012264965398103969</v>
      </c>
      <c r="BT25" s="349">
        <v>0.007238669704316497</v>
      </c>
      <c r="BU25" s="350">
        <v>0.10338014176968166</v>
      </c>
      <c r="BV25" s="350">
        <v>0.06086442098015965</v>
      </c>
      <c r="BW25" s="348">
        <v>0.017016730172014338</v>
      </c>
      <c r="BX25" s="349">
        <v>0.01010756911724183</v>
      </c>
      <c r="BY25" s="350">
        <v>0.10338014176968166</v>
      </c>
      <c r="BZ25" s="351">
        <v>0.06086442098015965</v>
      </c>
      <c r="CA25" s="352">
        <v>0.00010755436315310066</v>
      </c>
      <c r="CB25" s="353">
        <v>6.389010828573648E-05</v>
      </c>
      <c r="CC25" s="332">
        <v>0.17709327110144957</v>
      </c>
      <c r="CD25" s="333">
        <v>0.10648562577714493</v>
      </c>
      <c r="CE25" s="310"/>
    </row>
    <row r="26" spans="1:99" s="267" customFormat="1" ht="12.75">
      <c r="A26" s="35"/>
      <c r="B26" s="105"/>
      <c r="C26" s="105"/>
      <c r="D26" s="223"/>
      <c r="E26" s="219"/>
      <c r="F26" s="226"/>
      <c r="G26" s="229"/>
      <c r="H26" s="226"/>
      <c r="I26" s="229"/>
      <c r="J26" s="226"/>
      <c r="K26" s="229"/>
      <c r="L26" s="226"/>
      <c r="M26" s="229"/>
      <c r="N26" s="226"/>
      <c r="O26" s="229"/>
      <c r="P26" s="226"/>
      <c r="Q26" s="229"/>
      <c r="R26" s="226"/>
      <c r="S26" s="229"/>
      <c r="T26" s="226"/>
      <c r="U26" s="229"/>
      <c r="V26" s="226"/>
      <c r="W26" s="229"/>
      <c r="X26" s="226"/>
      <c r="Y26" s="229"/>
      <c r="Z26" s="226"/>
      <c r="AA26" s="229"/>
      <c r="AB26" s="226"/>
      <c r="AC26" s="229"/>
      <c r="AD26" s="241"/>
      <c r="AE26" s="101"/>
      <c r="AF26" s="101"/>
      <c r="AG26" s="227"/>
      <c r="AH26" s="228"/>
      <c r="AI26" s="101"/>
      <c r="AJ26" s="101"/>
      <c r="AK26" s="227"/>
      <c r="AL26" s="228"/>
      <c r="AM26" s="101"/>
      <c r="AN26" s="101"/>
      <c r="AO26" s="227"/>
      <c r="AP26" s="228"/>
      <c r="AQ26" s="101"/>
      <c r="AR26" s="101"/>
      <c r="AS26" s="227"/>
      <c r="AT26" s="228"/>
      <c r="AU26" s="101"/>
      <c r="AV26" s="101"/>
      <c r="AW26" s="227"/>
      <c r="AX26" s="228"/>
      <c r="AY26" s="101"/>
      <c r="AZ26" s="101"/>
      <c r="BA26" s="227"/>
      <c r="BB26" s="228"/>
      <c r="BC26" s="101"/>
      <c r="BD26" s="101"/>
      <c r="BE26" s="243"/>
      <c r="BF26" s="101"/>
      <c r="BG26" s="227"/>
      <c r="BH26" s="228"/>
      <c r="BI26" s="101"/>
      <c r="BJ26" s="101"/>
      <c r="BK26" s="227"/>
      <c r="BL26" s="228"/>
      <c r="BM26" s="101"/>
      <c r="BN26" s="101"/>
      <c r="BO26" s="227"/>
      <c r="BP26" s="228"/>
      <c r="BQ26" s="101"/>
      <c r="BR26" s="101"/>
      <c r="BS26" s="227"/>
      <c r="BT26" s="228"/>
      <c r="BU26" s="101"/>
      <c r="BV26" s="101"/>
      <c r="BW26" s="227"/>
      <c r="BX26" s="228"/>
      <c r="BY26" s="101"/>
      <c r="BZ26" s="101"/>
      <c r="CA26" s="227"/>
      <c r="CB26" s="228"/>
      <c r="CC26" s="101"/>
      <c r="CD26" s="264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</row>
  </sheetData>
  <mergeCells count="3">
    <mergeCell ref="E2:AC2"/>
    <mergeCell ref="AE2:BC2"/>
    <mergeCell ref="BE2:C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 Vadeboncoeur</cp:lastModifiedBy>
  <dcterms:created xsi:type="dcterms:W3CDTF">2005-11-07T20:01:34Z</dcterms:created>
  <dcterms:modified xsi:type="dcterms:W3CDTF">2007-03-21T14:04:29Z</dcterms:modified>
  <cp:category/>
  <cp:version/>
  <cp:contentType/>
  <cp:contentStatus/>
</cp:coreProperties>
</file>